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E:\Dropbox\FFF Engenharia\1. PROJETOS PÚBLICOS\2024_93_DEFENSORIA PUBLICA - PROJETOS DIVERSOS\02 - Naj Sol Nascente\01 - Anteprojeto\00 - Orçamento\R_09\3 - ORÇ. GERAL sem desoneração\"/>
    </mc:Choice>
  </mc:AlternateContent>
  <xr:revisionPtr revIDLastSave="0" documentId="13_ncr:1_{FCB9D76F-9BA3-4AC9-9065-49B615392141}" xr6:coauthVersionLast="47" xr6:coauthVersionMax="47" xr10:uidLastSave="{00000000-0000-0000-0000-000000000000}"/>
  <bookViews>
    <workbookView xWindow="-120" yWindow="-120" windowWidth="29040" windowHeight="15840" tabRatio="878" xr2:uid="{00000000-000D-0000-FFFF-FFFF00000000}"/>
  </bookViews>
  <sheets>
    <sheet name="0 - ARQUIVOS DA PLANILHA" sheetId="35" r:id="rId1"/>
    <sheet name="1 - CAPA" sheetId="1" r:id="rId2"/>
    <sheet name="2 - RESUMO GLOBAL" sheetId="2" r:id="rId3"/>
    <sheet name="3 - PLAN. ORÇAMENTÁRIA" sheetId="27" r:id="rId4"/>
    <sheet name="4 - R. ANALÍTICO - ORIGINAIS" sheetId="18" r:id="rId5"/>
    <sheet name="5 - R. ANALÍTICO - MODIFICAD" sheetId="21" r:id="rId6"/>
    <sheet name="6 - COTAÇÃO MERCADO" sheetId="24" r:id="rId7"/>
    <sheet name="7 - CRONOGRAMA" sheetId="16" r:id="rId8"/>
    <sheet name="8 - CURVA S" sheetId="33" r:id="rId9"/>
    <sheet name="9 - HISTOGRAMA" sheetId="30" r:id="rId10"/>
    <sheet name="10 - CURVA ABC SERVIÇOS" sheetId="32" r:id="rId11"/>
    <sheet name="11 - CURVA ABC EQUIPAMENTOS" sheetId="37" r:id="rId12"/>
    <sheet name="12 - CURVA ABC MATERIAIS" sheetId="38" r:id="rId13"/>
    <sheet name="13 - ENCARGOS" sheetId="13" r:id="rId14"/>
    <sheet name="14 -BDI-EDIFICAÇÕES - SEM DESON" sheetId="10" r:id="rId15"/>
    <sheet name="15 -BDI-EQUIPAMENTO - SEM DESON"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0" localSheetId="2">#REF!</definedName>
    <definedName name="\0" localSheetId="3">#REF!</definedName>
    <definedName name="\0">#REF!</definedName>
    <definedName name="__SM1" localSheetId="0">#REF!</definedName>
    <definedName name="__SM1" localSheetId="1">#REF!</definedName>
    <definedName name="__SM1" localSheetId="2">#REF!</definedName>
    <definedName name="__SM1">#REF!</definedName>
    <definedName name="__SM10" localSheetId="0">#REF!</definedName>
    <definedName name="__SM10" localSheetId="1">#REF!</definedName>
    <definedName name="__SM10" localSheetId="2">#REF!</definedName>
    <definedName name="__SM10">#REF!</definedName>
    <definedName name="__SM100" localSheetId="2">#REF!</definedName>
    <definedName name="__SM100">#REF!</definedName>
    <definedName name="__SM11" localSheetId="0">#REF!</definedName>
    <definedName name="__SM11" localSheetId="1">#REF!</definedName>
    <definedName name="__SM11" localSheetId="2">#REF!</definedName>
    <definedName name="__SM11">#REF!</definedName>
    <definedName name="__SM12" localSheetId="2">#REF!</definedName>
    <definedName name="__SM12">#REF!</definedName>
    <definedName name="__sm13" localSheetId="2">#REF!</definedName>
    <definedName name="__sm13">#REF!</definedName>
    <definedName name="__SM2" localSheetId="2">#REF!</definedName>
    <definedName name="__SM2">#REF!</definedName>
    <definedName name="__SM3" localSheetId="2">#REF!</definedName>
    <definedName name="__SM3">#REF!</definedName>
    <definedName name="__SM4" localSheetId="2">#REF!</definedName>
    <definedName name="__SM4">#REF!</definedName>
    <definedName name="__SM5" localSheetId="2">#REF!</definedName>
    <definedName name="__SM5">#REF!</definedName>
    <definedName name="__SM6" localSheetId="2">#REF!</definedName>
    <definedName name="__SM6">#REF!</definedName>
    <definedName name="__SM7" localSheetId="2">#REF!</definedName>
    <definedName name="__SM7">#REF!</definedName>
    <definedName name="__SM8" localSheetId="2">#REF!</definedName>
    <definedName name="__SM8">#REF!</definedName>
    <definedName name="__SM9" localSheetId="2">#REF!</definedName>
    <definedName name="__SM9">#REF!</definedName>
    <definedName name="_0">NA()</definedName>
    <definedName name="_1Excel_BuiltIn_Print_Area_1_1" localSheetId="3">#REF!</definedName>
    <definedName name="_1Excel_BuiltIn_Print_Area_1_1">#REF!</definedName>
    <definedName name="_SM1" localSheetId="0">#REF!</definedName>
    <definedName name="_SM1" localSheetId="1">#REF!</definedName>
    <definedName name="_SM1" localSheetId="2">#REF!</definedName>
    <definedName name="_SM1">#REF!</definedName>
    <definedName name="_SM10" localSheetId="0">#REF!</definedName>
    <definedName name="_SM10" localSheetId="1">#REF!</definedName>
    <definedName name="_SM10" localSheetId="2">#REF!</definedName>
    <definedName name="_SM10">#REF!</definedName>
    <definedName name="_SM11" localSheetId="2">#REF!</definedName>
    <definedName name="_SM11">#REF!</definedName>
    <definedName name="_SM12" localSheetId="2">#REF!</definedName>
    <definedName name="_SM12">#REF!</definedName>
    <definedName name="_sm13" localSheetId="2">#REF!</definedName>
    <definedName name="_sm13">#REF!</definedName>
    <definedName name="_SM2" localSheetId="2">#REF!</definedName>
    <definedName name="_SM2">#REF!</definedName>
    <definedName name="_SM3" localSheetId="2">#REF!</definedName>
    <definedName name="_SM3">#REF!</definedName>
    <definedName name="_SM35">#REF!</definedName>
    <definedName name="_SM4" localSheetId="2">#REF!</definedName>
    <definedName name="_SM4">#REF!</definedName>
    <definedName name="_SM5" localSheetId="2">#REF!</definedName>
    <definedName name="_SM5">#REF!</definedName>
    <definedName name="_SM6" localSheetId="2">#REF!</definedName>
    <definedName name="_SM6">#REF!</definedName>
    <definedName name="_SM66">#REF!</definedName>
    <definedName name="_SM7" localSheetId="2">#REF!</definedName>
    <definedName name="_SM7">#REF!</definedName>
    <definedName name="_SM8" localSheetId="2">#REF!</definedName>
    <definedName name="_SM8">#REF!</definedName>
    <definedName name="_SM9" localSheetId="2">#REF!</definedName>
    <definedName name="_SM9">#REF!</definedName>
    <definedName name="_sss" localSheetId="2">#REF!</definedName>
    <definedName name="_sss">#REF!</definedName>
    <definedName name="aaaa" localSheetId="2">#REF!</definedName>
    <definedName name="aaaa">#REF!</definedName>
    <definedName name="aaaaaaaaaaa" localSheetId="2">#REF!</definedName>
    <definedName name="aaaaaaaaaaa">#REF!</definedName>
    <definedName name="AC" localSheetId="3">'[1]B.D.I.'!$D$15</definedName>
    <definedName name="AC">'[2]B.D.I.'!$D$15</definedName>
    <definedName name="Administração" localSheetId="3">#REF!</definedName>
    <definedName name="Administração">#REF!</definedName>
    <definedName name="_xlnm.Print_Area" localSheetId="0">'0 - ARQUIVOS DA PLANILHA'!$A$2:$G$30</definedName>
    <definedName name="_xlnm.Print_Area" localSheetId="1">'1 - CAPA'!$A$2:$G$36</definedName>
    <definedName name="_xlnm.Print_Area" localSheetId="10">'10 - CURVA ABC SERVIÇOS'!$A$1:$J$521</definedName>
    <definedName name="_xlnm.Print_Area" localSheetId="11">'11 - CURVA ABC EQUIPAMENTOS'!$A$1:$J$60</definedName>
    <definedName name="_xlnm.Print_Area" localSheetId="12">'12 - CURVA ABC MATERIAIS'!$A$1:$J$631</definedName>
    <definedName name="_xlnm.Print_Area" localSheetId="13">'13 - ENCARGOS'!$A$1:$G$339</definedName>
    <definedName name="_xlnm.Print_Area" localSheetId="14">'14 -BDI-EDIFICAÇÕES - SEM DESON'!$A$1:$I$40</definedName>
    <definedName name="_xlnm.Print_Area" localSheetId="15">'15 -BDI-EQUIPAMENTO - SEM DESON'!$A$1:$I$40</definedName>
    <definedName name="_xlnm.Print_Area" localSheetId="2">'2 - RESUMO GLOBAL'!$B$1:$E$39</definedName>
    <definedName name="_xlnm.Print_Area" localSheetId="3">'3 - PLAN. ORÇAMENTÁRIA'!$A$1:$J$724</definedName>
    <definedName name="_xlnm.Print_Area" localSheetId="4">'4 - R. ANALÍTICO - ORIGINAIS'!$A$1:$I$4144</definedName>
    <definedName name="_xlnm.Print_Area" localSheetId="5">'5 - R. ANALÍTICO - MODIFICAD'!$A$1:$I$2772</definedName>
    <definedName name="_xlnm.Print_Area" localSheetId="6">'6 - COTAÇÃO MERCADO'!$A$1:$J$311</definedName>
    <definedName name="_xlnm.Print_Area" localSheetId="7">'7 - CRONOGRAMA'!$A$1:$N$181</definedName>
    <definedName name="_xlnm.Print_Area" localSheetId="9">'9 - HISTOGRAMA'!$A$1:$M$307</definedName>
    <definedName name="B">'[1]B.D.I.'!$D$15</definedName>
    <definedName name="_xlnm.Database" localSheetId="0">#REF!</definedName>
    <definedName name="_xlnm.Database" localSheetId="1">#REF!</definedName>
    <definedName name="_xlnm.Database" localSheetId="2">#REF!</definedName>
    <definedName name="_xlnm.Database" localSheetId="3">#REF!</definedName>
    <definedName name="_xlnm.Database">#REF!</definedName>
    <definedName name="BDI">[3]Sintético!$I$10</definedName>
    <definedName name="BDI_1" localSheetId="3">[4]ORÇAMENTO!#REF!</definedName>
    <definedName name="BDI_1">[4]ORÇAMENTO!#REF!</definedName>
    <definedName name="BDI_10" localSheetId="14">#REF!</definedName>
    <definedName name="BDI_10" localSheetId="15">#REF!</definedName>
    <definedName name="BDI_10" localSheetId="3">#REF!</definedName>
    <definedName name="BDI_10">#REF!</definedName>
    <definedName name="BDI_11" localSheetId="3">#REF!</definedName>
    <definedName name="BDI_11">#REF!</definedName>
    <definedName name="BDI_2" localSheetId="3">#REF!</definedName>
    <definedName name="BDI_2">#REF!</definedName>
    <definedName name="BDI_3">#REF!</definedName>
    <definedName name="BDI_4">#REF!</definedName>
    <definedName name="BDI_5">#REF!</definedName>
    <definedName name="BDI_6">#REF!</definedName>
    <definedName name="BDI_7">#REF!</definedName>
    <definedName name="BDI_8">#REF!</definedName>
    <definedName name="BDI_9">#REF!</definedName>
    <definedName name="Betune" localSheetId="0">#REF!</definedName>
    <definedName name="Betune" localSheetId="1">#REF!</definedName>
    <definedName name="Betune" localSheetId="2">#REF!</definedName>
    <definedName name="Betune">#REF!</definedName>
    <definedName name="COLETA">'[5]111-17-COTAÇÃO'!$A$9:$D$1215</definedName>
    <definedName name="comp2" localSheetId="0">[6]PLANILHA!#REF!</definedName>
    <definedName name="comp2" localSheetId="1">[6]PLANILHA!#REF!</definedName>
    <definedName name="comp2" localSheetId="2">[6]PLANILHA!#REF!</definedName>
    <definedName name="comp2" localSheetId="3">[6]PLANILHA!#REF!</definedName>
    <definedName name="comp2">[6]PLANILHA!#REF!</definedName>
    <definedName name="compinst." localSheetId="0">[7]PLANILHA!#REF!</definedName>
    <definedName name="compinst." localSheetId="1">[7]PLANILHA!#REF!</definedName>
    <definedName name="compinst." localSheetId="2">[7]PLANILHA!#REF!</definedName>
    <definedName name="compinst.">[7]PLANILHA!#REF!</definedName>
    <definedName name="COTAÇÕES" localSheetId="2">#REF!</definedName>
    <definedName name="COTAÇÕES" localSheetId="3">#REF!</definedName>
    <definedName name="COTAÇÕES">#REF!</definedName>
    <definedName name="_xlnm.Criteria" localSheetId="14">#REF!</definedName>
    <definedName name="_xlnm.Criteria" localSheetId="15">#REF!</definedName>
    <definedName name="_xlnm.Criteria" localSheetId="3">#REF!</definedName>
    <definedName name="_xlnm.Criteria">#REF!</definedName>
    <definedName name="crogr" localSheetId="0">[8]PLANILHA!#REF!</definedName>
    <definedName name="crogr" localSheetId="1">[8]PLANILHA!#REF!</definedName>
    <definedName name="crogr" localSheetId="2">[8]PLANILHA!#REF!</definedName>
    <definedName name="crogr" localSheetId="3">[8]PLANILHA!#REF!</definedName>
    <definedName name="crogr">[8]PLANILHA!#REF!</definedName>
    <definedName name="ddddddd" localSheetId="0">#REF!</definedName>
    <definedName name="ddddddd" localSheetId="1">#REF!</definedName>
    <definedName name="ddddddd" localSheetId="2">#REF!</definedName>
    <definedName name="ddddddd" localSheetId="3">#REF!</definedName>
    <definedName name="ddddddd">#REF!</definedName>
    <definedName name="DF" localSheetId="3">'[1]B.D.I.'!$D$16</definedName>
    <definedName name="DF">'[2]B.D.I.'!$D$16</definedName>
    <definedName name="dk">'[9]unit arq'!$L$5</definedName>
    <definedName name="Excel_BuiltIn__FilterDatabase_2_1">NA()</definedName>
    <definedName name="Excel_BuiltIn_Print_Area_1" localSheetId="3">#REF!</definedName>
    <definedName name="Excel_BuiltIn_Print_Area_1">#REF!</definedName>
    <definedName name="Excel_BuiltIn_Print_Area_1_1" localSheetId="3">#REF!</definedName>
    <definedName name="Excel_BuiltIn_Print_Area_1_1">#REF!</definedName>
    <definedName name="Excel_BuiltIn_Print_Area_1_1_1_1">NA()</definedName>
    <definedName name="Excel_BuiltIn_Print_Area_1_1_1_1_1" localSheetId="3">#REF!</definedName>
    <definedName name="Excel_BuiltIn_Print_Area_1_1_1_1_1">#REF!</definedName>
    <definedName name="Excel_BuiltIn_Print_Area_1_1_1_1_1_1" localSheetId="3">#REF!</definedName>
    <definedName name="Excel_BuiltIn_Print_Area_1_1_1_1_1_1">#REF!</definedName>
    <definedName name="Excel_BuiltIn_Print_Area_1_1_1_1_1_1_1" localSheetId="3">#REF!</definedName>
    <definedName name="Excel_BuiltIn_Print_Area_1_1_1_1_1_1_1">#REF!</definedName>
    <definedName name="Excel_BuiltIn_Print_Area_1_1_1_1_1_1_1_1_1">"$#REF!.$C$1:$L$291"</definedName>
    <definedName name="Excel_BuiltIn_Print_Area_1_1_1_1_1_1_1_1_1_1">NA()</definedName>
    <definedName name="Excel_BuiltIn_Print_Area_1_1_1_1_1_1_1_1_1_1_1">NA()</definedName>
    <definedName name="Excel_BuiltIn_Print_Area_1_1_1_1_1_1_3">NA()</definedName>
    <definedName name="Excel_BuiltIn_Print_Area_1_1_1_1_1_1_4">NA()</definedName>
    <definedName name="Excel_BuiltIn_Print_Area_1_1_1_1_1_3">NA()</definedName>
    <definedName name="Excel_BuiltIn_Print_Area_1_1_1_1_1_4">NA()</definedName>
    <definedName name="Excel_BuiltIn_Print_Area_1_1_1_1_3">NA()</definedName>
    <definedName name="Excel_BuiltIn_Print_Area_1_1_1_1_4">NA()</definedName>
    <definedName name="Excel_BuiltIn_Print_Area_1_1_1_3">NA()</definedName>
    <definedName name="Excel_BuiltIn_Print_Area_1_1_1_4">NA()</definedName>
    <definedName name="Excel_BuiltIn_Print_Area_1_1_3">NA()</definedName>
    <definedName name="Excel_BuiltIn_Print_Area_1_1_3_1">NA()</definedName>
    <definedName name="Excel_BuiltIn_Print_Area_1_1_4">NA()</definedName>
    <definedName name="Excel_BuiltIn_Print_Area_10">"$#REF!.$A$1:$X$22"</definedName>
    <definedName name="Excel_BuiltIn_Print_Area_10_1">"$#REF!.$A$1:$X$22"</definedName>
    <definedName name="Excel_BuiltIn_Print_Area_11">"$#REF!.$A$1:$X$22"</definedName>
    <definedName name="Excel_BuiltIn_Print_Area_2">NA()</definedName>
    <definedName name="Excel_BuiltIn_Print_Area_2_1">NA()</definedName>
    <definedName name="Excel_BuiltIn_Print_Area_2_1_1">NA()</definedName>
    <definedName name="Excel_BuiltIn_Print_Area_2_1_1_1">"$#REF!.$A$1:$BN$17"</definedName>
    <definedName name="Excel_BuiltIn_Print_Area_3">NA()</definedName>
    <definedName name="Excel_BuiltIn_Print_Area_3_1_1_1">NA()</definedName>
    <definedName name="Excel_BuiltIn_Print_Area_3_1_2">NA()</definedName>
    <definedName name="Excel_BuiltIn_Print_Area_3_3">"$#REF!.$A$1:$BN$17"</definedName>
    <definedName name="Excel_BuiltIn_Print_Area_5">"$#REF!.$A$1:$X$22"</definedName>
    <definedName name="Excel_BuiltIn_Print_Area_5_1">"$#REF!.$A$1:$X$22"</definedName>
    <definedName name="Excel_BuiltIn_Print_Area_5_1_1">"$#REF!.$A$1:$X$22"</definedName>
    <definedName name="Excel_BuiltIn_Print_Area_6">"$#REF!.$A$1:$X$22"</definedName>
    <definedName name="Excel_BuiltIn_Print_Area_9">"$#REF!.$A$1:$X$22"</definedName>
    <definedName name="Excel_BuiltIn_Print_Titles_1" localSheetId="3">#REF!</definedName>
    <definedName name="Excel_BuiltIn_Print_Titles_1">#REF!</definedName>
    <definedName name="Excel_BuiltIn_Print_Titles_1_1">"$#REF!.$B$1:$C$9"</definedName>
    <definedName name="Excel_BuiltIn_Print_Titles_1_1_1">"$#REF!.$A$1:$C$291"</definedName>
    <definedName name="Excel_BuiltIn_Print_Titles_1_1_2">NA()</definedName>
    <definedName name="Excel_BuiltIn_Print_Titles_2_1">"$#REF!.$A$9:$AMJ$17"</definedName>
    <definedName name="Excel_BuiltIn_Print_Titles_3_1">"$#REF!.$A$1:$AMJ$17"</definedName>
    <definedName name="Excel_BuiltIn_Print_Titles_3_1_1">"$#REF!.$A$9:$AMJ$17"</definedName>
    <definedName name="FATOR_K1" localSheetId="14">[4]ORÇAMENTO!#REF!</definedName>
    <definedName name="FATOR_K1" localSheetId="15">[4]ORÇAMENTO!#REF!</definedName>
    <definedName name="FATOR_K1" localSheetId="3">[4]ORÇAMENTO!#REF!</definedName>
    <definedName name="FATOR_K1">[4]ORÇAMENTO!#REF!</definedName>
    <definedName name="FATOR_K10" localSheetId="14">#REF!</definedName>
    <definedName name="FATOR_K10" localSheetId="15">#REF!</definedName>
    <definedName name="FATOR_K10" localSheetId="3">#REF!</definedName>
    <definedName name="FATOR_K10">#REF!</definedName>
    <definedName name="FATOR_K11" localSheetId="3">#REF!</definedName>
    <definedName name="FATOR_K11">#REF!</definedName>
    <definedName name="FATOR_K2" localSheetId="14">#REF!</definedName>
    <definedName name="FATOR_K2" localSheetId="15">#REF!</definedName>
    <definedName name="FATOR_K2" localSheetId="3">#REF!</definedName>
    <definedName name="FATOR_K2">#REF!</definedName>
    <definedName name="FATOR_K3">#REF!</definedName>
    <definedName name="FATOR_K4">#REF!</definedName>
    <definedName name="FATOR_K5">#REF!</definedName>
    <definedName name="FATOR_K6">#REF!</definedName>
    <definedName name="FATOR_K7">#REF!</definedName>
    <definedName name="FATOR_K8">#REF!</definedName>
    <definedName name="FATOR_K9">#REF!</definedName>
    <definedName name="g">#REF!</definedName>
    <definedName name="I" localSheetId="3">'[1]B.D.I.'!$D$20</definedName>
    <definedName name="I">'[2]B.D.I.'!$D$20</definedName>
    <definedName name="INSUMO_TAG">[10]INSUMO!$B$2:$B$475</definedName>
    <definedName name="k">[9]Eletrica!$L$5</definedName>
    <definedName name="kle">'[9]unit arq'!$L$4</definedName>
    <definedName name="kmo">[9]Eletrica!$L$6</definedName>
    <definedName name="l.sociais" localSheetId="0">[8]PLANILHA!#REF!</definedName>
    <definedName name="l.sociais" localSheetId="1">[8]PLANILHA!#REF!</definedName>
    <definedName name="l.sociais" localSheetId="2">[8]PLANILHA!#REF!</definedName>
    <definedName name="l.sociais" localSheetId="3">[8]PLANILHA!#REF!</definedName>
    <definedName name="l.sociais">[8]PLANILHA!#REF!</definedName>
    <definedName name="LEISSOCIAIS">[11]Analitico!$J$10</definedName>
    <definedName name="LUCRO" localSheetId="3">'[1]B.D.I.'!$D$19</definedName>
    <definedName name="LUCRO">'[2]B.D.I.'!$D$19</definedName>
    <definedName name="m" localSheetId="14">#REF!</definedName>
    <definedName name="m" localSheetId="15">#REF!</definedName>
    <definedName name="m" localSheetId="3">#REF!</definedName>
    <definedName name="m">#REF!</definedName>
    <definedName name="M.O." localSheetId="3">#REF!</definedName>
    <definedName name="M.O.">#REF!</definedName>
    <definedName name="nao" localSheetId="0">#REF!</definedName>
    <definedName name="nao" localSheetId="1">#REF!</definedName>
    <definedName name="nao" localSheetId="2">#REF!</definedName>
    <definedName name="nao">#REF!</definedName>
    <definedName name="popspkasdjhlasdbhasfknb" localSheetId="0">#REF!</definedName>
    <definedName name="popspkasdjhlasdbhasfknb" localSheetId="1">#REF!</definedName>
    <definedName name="popspkasdjhlasdbhasfknb" localSheetId="2">#REF!</definedName>
    <definedName name="popspkasdjhlasdbhasfknb">#REF!</definedName>
    <definedName name="RESUMO2">#REF!</definedName>
    <definedName name="RI" localSheetId="3">'[1]B.D.I.'!$D$17</definedName>
    <definedName name="RI">'[2]B.D.I.'!$D$17</definedName>
    <definedName name="S" localSheetId="3">'[1]B.D.I.'!$D$18</definedName>
    <definedName name="S">'[2]B.D.I.'!$D$18</definedName>
    <definedName name="ssss" localSheetId="0">#REF!</definedName>
    <definedName name="ssss" localSheetId="1">#REF!</definedName>
    <definedName name="ssss" localSheetId="2">#REF!</definedName>
    <definedName name="ssss" localSheetId="3">#REF!</definedName>
    <definedName name="ssss">#REF!</definedName>
    <definedName name="TESTA">#REF!</definedName>
    <definedName name="TESTE" localSheetId="2">#REF!</definedName>
    <definedName name="TESTE">#REF!</definedName>
    <definedName name="_xlnm.Print_Titles" localSheetId="2">'2 - RESUMO GLOBAL'!$1:$14</definedName>
    <definedName name="Total_ReaterroComAreia">[12]Planilha!$DH$1:$DH$65536</definedName>
    <definedName name="Total_ReaterroMecanicoComControleGrauCompactacao">[12]Planilha!$DG$1:$DG$65536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 i="38" l="1"/>
  <c r="J10" i="38"/>
  <c r="J11" i="38"/>
  <c r="J12" i="38"/>
  <c r="J13" i="38"/>
  <c r="J14" i="38"/>
  <c r="J15" i="38"/>
  <c r="J16" i="38"/>
  <c r="J17" i="38"/>
  <c r="J18" i="38"/>
  <c r="J19" i="38"/>
  <c r="J20" i="38"/>
  <c r="J21" i="38"/>
  <c r="J22" i="38"/>
  <c r="J23" i="38"/>
  <c r="J24" i="38"/>
  <c r="J25" i="38"/>
  <c r="J26" i="38"/>
  <c r="J27" i="38"/>
  <c r="J28" i="38"/>
  <c r="J29" i="38"/>
  <c r="J30" i="38"/>
  <c r="J31" i="38"/>
  <c r="J32" i="38"/>
  <c r="J33" i="38"/>
  <c r="J34" i="38"/>
  <c r="J35" i="38"/>
  <c r="J36" i="38"/>
  <c r="J37" i="38"/>
  <c r="J38" i="38"/>
  <c r="J39" i="38"/>
  <c r="J40" i="38"/>
  <c r="J41" i="38"/>
  <c r="J42" i="38"/>
  <c r="J43" i="38"/>
  <c r="J44" i="38"/>
  <c r="J45" i="38"/>
  <c r="J46" i="38"/>
  <c r="J47" i="38"/>
  <c r="J48" i="38"/>
  <c r="J49" i="38"/>
  <c r="J50" i="38"/>
  <c r="J51" i="38"/>
  <c r="J52" i="38"/>
  <c r="J53" i="38"/>
  <c r="J54" i="38"/>
  <c r="J55" i="38"/>
  <c r="J56" i="38"/>
  <c r="J57" i="38"/>
  <c r="J58" i="38"/>
  <c r="J59" i="38"/>
  <c r="J60" i="38"/>
  <c r="J61" i="38"/>
  <c r="J62" i="38"/>
  <c r="J63" i="38"/>
  <c r="J64" i="38"/>
  <c r="J65" i="38"/>
  <c r="J66" i="38"/>
  <c r="J67" i="38"/>
  <c r="J68" i="38"/>
  <c r="J69" i="38"/>
  <c r="J70" i="38"/>
  <c r="J71" i="38"/>
  <c r="J72" i="38"/>
  <c r="J73" i="38"/>
  <c r="J74" i="38"/>
  <c r="J75" i="38"/>
  <c r="J76" i="38"/>
  <c r="J77" i="38"/>
  <c r="J78" i="38"/>
  <c r="J79" i="38"/>
  <c r="J80" i="38"/>
  <c r="J81" i="38"/>
  <c r="J82" i="38"/>
  <c r="J83" i="38"/>
  <c r="J84" i="38"/>
  <c r="J85" i="38"/>
  <c r="J86" i="38"/>
  <c r="J87" i="38"/>
  <c r="J88" i="38"/>
  <c r="J89" i="38"/>
  <c r="J90" i="38"/>
  <c r="J91" i="38"/>
  <c r="J92" i="38"/>
  <c r="J93" i="38"/>
  <c r="J94" i="38"/>
  <c r="J95" i="38"/>
  <c r="J96" i="38"/>
  <c r="J97" i="38"/>
  <c r="J98" i="38"/>
  <c r="J99" i="38"/>
  <c r="J100" i="38"/>
  <c r="J101" i="38"/>
  <c r="J102" i="38"/>
  <c r="J103" i="38"/>
  <c r="J104" i="38"/>
  <c r="J105" i="38"/>
  <c r="J106" i="38"/>
  <c r="J107" i="38"/>
  <c r="J108" i="38"/>
  <c r="J109" i="38"/>
  <c r="J110" i="38"/>
  <c r="J111" i="38"/>
  <c r="J112" i="38"/>
  <c r="J113" i="38"/>
  <c r="J114" i="38"/>
  <c r="J115" i="38"/>
  <c r="J116" i="38"/>
  <c r="J117" i="38"/>
  <c r="J118" i="38"/>
  <c r="J119" i="38"/>
  <c r="J120" i="38"/>
  <c r="J121" i="38"/>
  <c r="J122" i="38"/>
  <c r="J123" i="38"/>
  <c r="J124" i="38"/>
  <c r="J125" i="38"/>
  <c r="J126" i="38"/>
  <c r="J127" i="38"/>
  <c r="J128" i="38"/>
  <c r="J129" i="38"/>
  <c r="J130" i="38"/>
  <c r="J131" i="38"/>
  <c r="J132" i="38"/>
  <c r="J133" i="38"/>
  <c r="J134" i="38"/>
  <c r="J135" i="38"/>
  <c r="J136" i="38"/>
  <c r="J137" i="38"/>
  <c r="J138" i="38"/>
  <c r="J139" i="38"/>
  <c r="J140" i="38"/>
  <c r="J141" i="38"/>
  <c r="J142" i="38"/>
  <c r="J143" i="38"/>
  <c r="J144" i="38"/>
  <c r="J145" i="38"/>
  <c r="J146" i="38"/>
  <c r="J147" i="38"/>
  <c r="J148" i="38"/>
  <c r="J149" i="38"/>
  <c r="J150" i="38"/>
  <c r="J151" i="38"/>
  <c r="J152" i="38"/>
  <c r="J153" i="38"/>
  <c r="J154" i="38"/>
  <c r="J155" i="38"/>
  <c r="J156" i="38"/>
  <c r="J157" i="38"/>
  <c r="J158" i="38"/>
  <c r="J159" i="38"/>
  <c r="J160" i="38"/>
  <c r="J161" i="38"/>
  <c r="J162" i="38"/>
  <c r="J163" i="38"/>
  <c r="J164" i="38"/>
  <c r="J165" i="38"/>
  <c r="J166" i="38"/>
  <c r="J167" i="38"/>
  <c r="J168" i="38"/>
  <c r="J169" i="38"/>
  <c r="J170" i="38"/>
  <c r="J171" i="38"/>
  <c r="J172" i="38"/>
  <c r="J173" i="38"/>
  <c r="J174" i="38"/>
  <c r="J175" i="38"/>
  <c r="J176" i="38"/>
  <c r="J177" i="38"/>
  <c r="J178" i="38"/>
  <c r="J179" i="38"/>
  <c r="J180" i="38"/>
  <c r="J181" i="38"/>
  <c r="J182" i="38"/>
  <c r="J183" i="38"/>
  <c r="J184" i="38"/>
  <c r="J185" i="38"/>
  <c r="J186" i="38"/>
  <c r="J187" i="38"/>
  <c r="J188" i="38"/>
  <c r="J189" i="38"/>
  <c r="J190" i="38"/>
  <c r="J191" i="38"/>
  <c r="J192" i="38"/>
  <c r="J193" i="38"/>
  <c r="J194" i="38"/>
  <c r="J195" i="38"/>
  <c r="J196" i="38"/>
  <c r="J197" i="38"/>
  <c r="J198" i="38"/>
  <c r="J199" i="38"/>
  <c r="J200" i="38"/>
  <c r="J201" i="38"/>
  <c r="J202" i="38"/>
  <c r="J203" i="38"/>
  <c r="J204" i="38"/>
  <c r="J205" i="38"/>
  <c r="J206" i="38"/>
  <c r="J207" i="38"/>
  <c r="J208" i="38"/>
  <c r="J209" i="38"/>
  <c r="J210" i="38"/>
  <c r="J211" i="38"/>
  <c r="J212" i="38"/>
  <c r="J213" i="38"/>
  <c r="J214" i="38"/>
  <c r="J215" i="38"/>
  <c r="J216" i="38"/>
  <c r="J217" i="38"/>
  <c r="J218" i="38"/>
  <c r="J219" i="38"/>
  <c r="J220" i="38"/>
  <c r="J221" i="38"/>
  <c r="J222" i="38"/>
  <c r="J223" i="38"/>
  <c r="J224" i="38"/>
  <c r="J225" i="38"/>
  <c r="J226" i="38"/>
  <c r="J227" i="38"/>
  <c r="J228" i="38"/>
  <c r="J229" i="38"/>
  <c r="J230" i="38"/>
  <c r="J231" i="38"/>
  <c r="J232" i="38"/>
  <c r="J233" i="38"/>
  <c r="J234" i="38"/>
  <c r="J235" i="38"/>
  <c r="J236" i="38"/>
  <c r="J237" i="38"/>
  <c r="J238" i="38"/>
  <c r="J239" i="38"/>
  <c r="J240" i="38"/>
  <c r="J241" i="38"/>
  <c r="J242" i="38"/>
  <c r="J243" i="38"/>
  <c r="J244" i="38"/>
  <c r="J245" i="38"/>
  <c r="J246" i="38"/>
  <c r="J247" i="38"/>
  <c r="J248" i="38"/>
  <c r="J249" i="38"/>
  <c r="J250" i="38"/>
  <c r="J251" i="38"/>
  <c r="J252" i="38"/>
  <c r="J253" i="38"/>
  <c r="J254" i="38"/>
  <c r="J255" i="38"/>
  <c r="J256" i="38"/>
  <c r="J257" i="38"/>
  <c r="J258" i="38"/>
  <c r="J259" i="38"/>
  <c r="J260" i="38"/>
  <c r="J261" i="38"/>
  <c r="J262" i="38"/>
  <c r="J263" i="38"/>
  <c r="J264" i="38"/>
  <c r="J265" i="38"/>
  <c r="J266" i="38"/>
  <c r="J267" i="38"/>
  <c r="J268" i="38"/>
  <c r="J269" i="38"/>
  <c r="J270" i="38"/>
  <c r="J271" i="38"/>
  <c r="J272" i="38"/>
  <c r="J273" i="38"/>
  <c r="J274" i="38"/>
  <c r="J275" i="38"/>
  <c r="J276" i="38"/>
  <c r="J277" i="38"/>
  <c r="J278" i="38"/>
  <c r="J279" i="38"/>
  <c r="J280" i="38"/>
  <c r="J281" i="38"/>
  <c r="J282" i="38"/>
  <c r="J283" i="38"/>
  <c r="J284" i="38"/>
  <c r="J285" i="38"/>
  <c r="J286" i="38"/>
  <c r="J287" i="38"/>
  <c r="J288" i="38"/>
  <c r="J289" i="38"/>
  <c r="J290" i="38"/>
  <c r="J291" i="38"/>
  <c r="J292" i="38"/>
  <c r="J293" i="38"/>
  <c r="J294" i="38"/>
  <c r="J295" i="38"/>
  <c r="J296" i="38"/>
  <c r="J297" i="38"/>
  <c r="J298" i="38"/>
  <c r="J299" i="38"/>
  <c r="J300" i="38"/>
  <c r="J301" i="38"/>
  <c r="J302" i="38"/>
  <c r="J303" i="38"/>
  <c r="J304" i="38"/>
  <c r="J305" i="38"/>
  <c r="J306" i="38"/>
  <c r="J307" i="38"/>
  <c r="J308" i="38"/>
  <c r="J309" i="38"/>
  <c r="J310" i="38"/>
  <c r="J311" i="38"/>
  <c r="J312" i="38"/>
  <c r="J313" i="38"/>
  <c r="J314" i="38"/>
  <c r="J315" i="38"/>
  <c r="J316" i="38"/>
  <c r="J317" i="38"/>
  <c r="J318" i="38"/>
  <c r="J319" i="38"/>
  <c r="J320" i="38"/>
  <c r="J321" i="38"/>
  <c r="J322" i="38"/>
  <c r="J323" i="38"/>
  <c r="J324" i="38"/>
  <c r="J325" i="38"/>
  <c r="J326" i="38"/>
  <c r="J327" i="38"/>
  <c r="J328" i="38"/>
  <c r="J329" i="38"/>
  <c r="J330" i="38"/>
  <c r="J331" i="38"/>
  <c r="J332" i="38"/>
  <c r="J333" i="38"/>
  <c r="J334" i="38"/>
  <c r="J335" i="38"/>
  <c r="J336" i="38"/>
  <c r="J337" i="38"/>
  <c r="J338" i="38"/>
  <c r="J339" i="38"/>
  <c r="J340" i="38"/>
  <c r="J341" i="38"/>
  <c r="J342" i="38"/>
  <c r="J343" i="38"/>
  <c r="J344" i="38"/>
  <c r="J345" i="38"/>
  <c r="J346" i="38"/>
  <c r="J347" i="38"/>
  <c r="J348" i="38"/>
  <c r="J349" i="38"/>
  <c r="J350" i="38"/>
  <c r="J351" i="38"/>
  <c r="J352" i="38"/>
  <c r="J353" i="38"/>
  <c r="J354" i="38"/>
  <c r="J355" i="38"/>
  <c r="J356" i="38"/>
  <c r="J357" i="38"/>
  <c r="J358" i="38"/>
  <c r="J359" i="38"/>
  <c r="J360" i="38"/>
  <c r="J361" i="38"/>
  <c r="J362" i="38"/>
  <c r="J363" i="38"/>
  <c r="J364" i="38"/>
  <c r="J365" i="38"/>
  <c r="J366" i="38"/>
  <c r="J367" i="38"/>
  <c r="J368" i="38"/>
  <c r="J369" i="38"/>
  <c r="J370" i="38"/>
  <c r="J371" i="38"/>
  <c r="J372" i="38"/>
  <c r="J373" i="38"/>
  <c r="J374" i="38"/>
  <c r="J375" i="38"/>
  <c r="J376" i="38"/>
  <c r="J377" i="38"/>
  <c r="J378" i="38"/>
  <c r="J379" i="38"/>
  <c r="J380" i="38"/>
  <c r="J381" i="38"/>
  <c r="J382" i="38"/>
  <c r="J383" i="38"/>
  <c r="J384" i="38"/>
  <c r="J385" i="38"/>
  <c r="J386" i="38"/>
  <c r="J387" i="38"/>
  <c r="J388" i="38"/>
  <c r="J389" i="38"/>
  <c r="J390" i="38"/>
  <c r="J391" i="38"/>
  <c r="J392" i="38"/>
  <c r="J393" i="38"/>
  <c r="J394" i="38"/>
  <c r="J395" i="38"/>
  <c r="J396" i="38"/>
  <c r="J397" i="38"/>
  <c r="J398" i="38"/>
  <c r="J399" i="38"/>
  <c r="J400" i="38"/>
  <c r="J401" i="38"/>
  <c r="J402" i="38"/>
  <c r="J403" i="38"/>
  <c r="J404" i="38"/>
  <c r="J405" i="38"/>
  <c r="J406" i="38"/>
  <c r="J407" i="38"/>
  <c r="J408" i="38"/>
  <c r="J409" i="38"/>
  <c r="J410" i="38"/>
  <c r="J411" i="38"/>
  <c r="J412" i="38"/>
  <c r="J413" i="38"/>
  <c r="J414" i="38"/>
  <c r="J415" i="38"/>
  <c r="J416" i="38"/>
  <c r="J417" i="38"/>
  <c r="J418" i="38"/>
  <c r="J419" i="38"/>
  <c r="J420" i="38"/>
  <c r="J421" i="38"/>
  <c r="J422" i="38"/>
  <c r="J423" i="38"/>
  <c r="J424" i="38"/>
  <c r="J425" i="38"/>
  <c r="J426" i="38"/>
  <c r="J427" i="38"/>
  <c r="J428" i="38"/>
  <c r="J429" i="38"/>
  <c r="J430" i="38"/>
  <c r="J431" i="38"/>
  <c r="J432" i="38"/>
  <c r="J433" i="38"/>
  <c r="J434" i="38"/>
  <c r="J435" i="38"/>
  <c r="J436" i="38"/>
  <c r="J437" i="38"/>
  <c r="J438" i="38"/>
  <c r="J439" i="38"/>
  <c r="J440" i="38"/>
  <c r="J441" i="38"/>
  <c r="J442" i="38"/>
  <c r="J443" i="38"/>
  <c r="J444" i="38"/>
  <c r="J445" i="38"/>
  <c r="J446" i="38"/>
  <c r="J447" i="38"/>
  <c r="J448" i="38"/>
  <c r="J449" i="38"/>
  <c r="J450" i="38"/>
  <c r="J451" i="38"/>
  <c r="J452" i="38"/>
  <c r="J453" i="38"/>
  <c r="J454" i="38"/>
  <c r="J455" i="38"/>
  <c r="J456" i="38"/>
  <c r="J457" i="38"/>
  <c r="J458" i="38"/>
  <c r="J459" i="38"/>
  <c r="J460" i="38"/>
  <c r="J461" i="38"/>
  <c r="J462" i="38"/>
  <c r="J463" i="38"/>
  <c r="J464" i="38"/>
  <c r="J465" i="38"/>
  <c r="J466" i="38"/>
  <c r="J467" i="38"/>
  <c r="J468" i="38"/>
  <c r="J469" i="38"/>
  <c r="J470" i="38"/>
  <c r="J471" i="38"/>
  <c r="J472" i="38"/>
  <c r="J473" i="38"/>
  <c r="J474" i="38"/>
  <c r="J475" i="38"/>
  <c r="J476" i="38"/>
  <c r="J477" i="38"/>
  <c r="J478" i="38"/>
  <c r="J479" i="38"/>
  <c r="J480" i="38"/>
  <c r="J481" i="38"/>
  <c r="J482" i="38"/>
  <c r="J483" i="38"/>
  <c r="J484" i="38"/>
  <c r="J485" i="38"/>
  <c r="J486" i="38"/>
  <c r="J487" i="38"/>
  <c r="J488" i="38"/>
  <c r="J489" i="38"/>
  <c r="J490" i="38"/>
  <c r="J491" i="38"/>
  <c r="J492" i="38"/>
  <c r="J493" i="38"/>
  <c r="J494" i="38"/>
  <c r="J495" i="38"/>
  <c r="J496" i="38"/>
  <c r="J497" i="38"/>
  <c r="J498" i="38"/>
  <c r="J499" i="38"/>
  <c r="J500" i="38"/>
  <c r="J501" i="38"/>
  <c r="J502" i="38"/>
  <c r="J503" i="38"/>
  <c r="J504" i="38"/>
  <c r="J505" i="38"/>
  <c r="J506" i="38"/>
  <c r="J507" i="38"/>
  <c r="J508" i="38"/>
  <c r="J509" i="38"/>
  <c r="J510" i="38"/>
  <c r="J511" i="38"/>
  <c r="J512" i="38"/>
  <c r="J513" i="38"/>
  <c r="J514" i="38"/>
  <c r="J515" i="38"/>
  <c r="J516" i="38"/>
  <c r="J517" i="38"/>
  <c r="J518" i="38"/>
  <c r="J519" i="38"/>
  <c r="J520" i="38"/>
  <c r="J521" i="38"/>
  <c r="J522" i="38"/>
  <c r="J523" i="38"/>
  <c r="J524" i="38"/>
  <c r="J525" i="38"/>
  <c r="J526" i="38"/>
  <c r="J527" i="38"/>
  <c r="J528" i="38"/>
  <c r="J529" i="38"/>
  <c r="J530" i="38"/>
  <c r="J531" i="38"/>
  <c r="J532" i="38"/>
  <c r="J533" i="38"/>
  <c r="J534" i="38"/>
  <c r="J535" i="38"/>
  <c r="J536" i="38"/>
  <c r="J537" i="38"/>
  <c r="J538" i="38"/>
  <c r="J539" i="38"/>
  <c r="J540" i="38"/>
  <c r="J541" i="38"/>
  <c r="J542" i="38"/>
  <c r="J543" i="38"/>
  <c r="J544" i="38"/>
  <c r="J545" i="38"/>
  <c r="J546" i="38"/>
  <c r="J547" i="38"/>
  <c r="J548" i="38"/>
  <c r="J549" i="38"/>
  <c r="J550" i="38"/>
  <c r="J551" i="38"/>
  <c r="J552" i="38"/>
  <c r="J553" i="38"/>
  <c r="J554" i="38"/>
  <c r="J555" i="38"/>
  <c r="J556" i="38"/>
  <c r="J557" i="38"/>
  <c r="J558" i="38"/>
  <c r="J559" i="38"/>
  <c r="J560" i="38"/>
  <c r="J561" i="38"/>
  <c r="J562" i="38"/>
  <c r="J563" i="38"/>
  <c r="J564" i="38"/>
  <c r="J565" i="38"/>
  <c r="J566" i="38"/>
  <c r="J567" i="38"/>
  <c r="J568" i="38"/>
  <c r="J569" i="38"/>
  <c r="J570" i="38"/>
  <c r="J571" i="38"/>
  <c r="J572" i="38"/>
  <c r="J573" i="38"/>
  <c r="J574" i="38"/>
  <c r="J575" i="38"/>
  <c r="J576" i="38"/>
  <c r="J577" i="38"/>
  <c r="J578" i="38"/>
  <c r="J579" i="38"/>
  <c r="J580" i="38"/>
  <c r="J581" i="38"/>
  <c r="J582" i="38"/>
  <c r="J583" i="38"/>
  <c r="J584" i="38"/>
  <c r="J585" i="38"/>
  <c r="J586" i="38"/>
  <c r="J587" i="38"/>
  <c r="J588" i="38"/>
  <c r="J589" i="38"/>
  <c r="J590" i="38"/>
  <c r="J591" i="38"/>
  <c r="J592" i="38"/>
  <c r="J593" i="38"/>
  <c r="J594" i="38"/>
  <c r="J595" i="38"/>
  <c r="J596" i="38"/>
  <c r="J597" i="38"/>
  <c r="J598" i="38"/>
  <c r="J599" i="38"/>
  <c r="J600" i="38"/>
  <c r="J601" i="38"/>
  <c r="J602" i="38"/>
  <c r="J603" i="38"/>
  <c r="J604" i="38"/>
  <c r="J605" i="38"/>
  <c r="J606" i="38"/>
  <c r="J607" i="38"/>
  <c r="J608" i="38"/>
  <c r="J609" i="38"/>
  <c r="J610" i="38"/>
  <c r="J611" i="38"/>
  <c r="J612" i="38"/>
  <c r="J613" i="38"/>
  <c r="J614" i="38"/>
  <c r="J615" i="38"/>
  <c r="J616" i="38"/>
  <c r="J617" i="38"/>
  <c r="J618" i="38"/>
  <c r="J619" i="38"/>
  <c r="J620" i="38"/>
  <c r="J621" i="38"/>
  <c r="J622" i="38"/>
  <c r="J623" i="38"/>
  <c r="J624" i="38"/>
  <c r="J625" i="38"/>
  <c r="J626" i="38"/>
  <c r="J627" i="38"/>
  <c r="J628" i="38"/>
  <c r="I10" i="38"/>
  <c r="I11" i="38" s="1"/>
  <c r="I12" i="38" s="1"/>
  <c r="I13" i="38" s="1"/>
  <c r="I14" i="38" s="1"/>
  <c r="I15" i="38" s="1"/>
  <c r="I16" i="38" s="1"/>
  <c r="I17" i="38" s="1"/>
  <c r="I18" i="38" s="1"/>
  <c r="I19" i="38" s="1"/>
  <c r="I20" i="38" s="1"/>
  <c r="I21" i="38" s="1"/>
  <c r="I22" i="38" s="1"/>
  <c r="I23" i="38" s="1"/>
  <c r="I24" i="38" s="1"/>
  <c r="I25" i="38" s="1"/>
  <c r="I26" i="38" s="1"/>
  <c r="I27" i="38" s="1"/>
  <c r="I28" i="38" s="1"/>
  <c r="I29" i="38" s="1"/>
  <c r="I30" i="38" s="1"/>
  <c r="I31" i="38" s="1"/>
  <c r="I32" i="38" s="1"/>
  <c r="I33" i="38" s="1"/>
  <c r="I34" i="38" s="1"/>
  <c r="I35" i="38" s="1"/>
  <c r="I36" i="38" s="1"/>
  <c r="I37" i="38" s="1"/>
  <c r="I38" i="38" s="1"/>
  <c r="I39" i="38" s="1"/>
  <c r="I40" i="38" s="1"/>
  <c r="I41" i="38" s="1"/>
  <c r="I42" i="38" s="1"/>
  <c r="I43" i="38" s="1"/>
  <c r="I44" i="38" s="1"/>
  <c r="I45" i="38" s="1"/>
  <c r="I46" i="38" s="1"/>
  <c r="I47" i="38" s="1"/>
  <c r="I48" i="38" s="1"/>
  <c r="I49" i="38" s="1"/>
  <c r="I50" i="38" s="1"/>
  <c r="I51" i="38" s="1"/>
  <c r="I52" i="38" s="1"/>
  <c r="I53" i="38" s="1"/>
  <c r="I54" i="38" s="1"/>
  <c r="I55" i="38" s="1"/>
  <c r="I56" i="38" s="1"/>
  <c r="I57" i="38" s="1"/>
  <c r="I58" i="38" s="1"/>
  <c r="I59" i="38" s="1"/>
  <c r="I60" i="38" s="1"/>
  <c r="I61" i="38" s="1"/>
  <c r="I62" i="38" s="1"/>
  <c r="I63" i="38" s="1"/>
  <c r="I64" i="38" s="1"/>
  <c r="I65" i="38" s="1"/>
  <c r="I66" i="38" s="1"/>
  <c r="I67" i="38" s="1"/>
  <c r="I68" i="38" s="1"/>
  <c r="I69" i="38" s="1"/>
  <c r="I70" i="38" s="1"/>
  <c r="I71" i="38" s="1"/>
  <c r="I72" i="38" s="1"/>
  <c r="I73" i="38" s="1"/>
  <c r="I74" i="38" s="1"/>
  <c r="I75" i="38" s="1"/>
  <c r="I76" i="38" s="1"/>
  <c r="I77" i="38" s="1"/>
  <c r="I78" i="38" s="1"/>
  <c r="I79" i="38" s="1"/>
  <c r="I80" i="38" s="1"/>
  <c r="I81" i="38" s="1"/>
  <c r="I82" i="38" s="1"/>
  <c r="I83" i="38" s="1"/>
  <c r="I84" i="38" s="1"/>
  <c r="I85" i="38" s="1"/>
  <c r="I86" i="38" s="1"/>
  <c r="I87" i="38" s="1"/>
  <c r="I88" i="38" s="1"/>
  <c r="I89" i="38" s="1"/>
  <c r="I90" i="38" s="1"/>
  <c r="I91" i="38" s="1"/>
  <c r="I92" i="38" s="1"/>
  <c r="I93" i="38" s="1"/>
  <c r="I94" i="38" s="1"/>
  <c r="I95" i="38" s="1"/>
  <c r="I96" i="38" s="1"/>
  <c r="I97" i="38" s="1"/>
  <c r="I98" i="38" s="1"/>
  <c r="I99" i="38" s="1"/>
  <c r="I100" i="38" s="1"/>
  <c r="I101" i="38" s="1"/>
  <c r="I102" i="38" s="1"/>
  <c r="I103" i="38" s="1"/>
  <c r="I104" i="38" s="1"/>
  <c r="I105" i="38" s="1"/>
  <c r="I106" i="38" s="1"/>
  <c r="I107" i="38" s="1"/>
  <c r="I108" i="38" s="1"/>
  <c r="I109" i="38" s="1"/>
  <c r="I110" i="38" s="1"/>
  <c r="I111" i="38" s="1"/>
  <c r="I112" i="38" s="1"/>
  <c r="I113" i="38" s="1"/>
  <c r="I114" i="38" s="1"/>
  <c r="I115" i="38" s="1"/>
  <c r="I116" i="38" s="1"/>
  <c r="I117" i="38" s="1"/>
  <c r="I118" i="38" s="1"/>
  <c r="I119" i="38" s="1"/>
  <c r="I120" i="38" s="1"/>
  <c r="I121" i="38" s="1"/>
  <c r="I122" i="38" s="1"/>
  <c r="I123" i="38" s="1"/>
  <c r="I124" i="38" s="1"/>
  <c r="I125" i="38" s="1"/>
  <c r="I126" i="38" s="1"/>
  <c r="I127" i="38" s="1"/>
  <c r="I128" i="38" s="1"/>
  <c r="I129" i="38" s="1"/>
  <c r="I130" i="38" s="1"/>
  <c r="I131" i="38" s="1"/>
  <c r="I132" i="38" s="1"/>
  <c r="I133" i="38" s="1"/>
  <c r="I134" i="38" s="1"/>
  <c r="I135" i="38" s="1"/>
  <c r="I136" i="38" s="1"/>
  <c r="I137" i="38" s="1"/>
  <c r="I138" i="38" s="1"/>
  <c r="I139" i="38" s="1"/>
  <c r="I140" i="38" s="1"/>
  <c r="I141" i="38" s="1"/>
  <c r="I142" i="38" s="1"/>
  <c r="I143" i="38" s="1"/>
  <c r="I144" i="38" s="1"/>
  <c r="I145" i="38" s="1"/>
  <c r="I146" i="38" s="1"/>
  <c r="I147" i="38" s="1"/>
  <c r="I148" i="38" s="1"/>
  <c r="I149" i="38" s="1"/>
  <c r="I150" i="38" s="1"/>
  <c r="I151" i="38" s="1"/>
  <c r="I152" i="38" s="1"/>
  <c r="I153" i="38" s="1"/>
  <c r="I154" i="38" s="1"/>
  <c r="I155" i="38" s="1"/>
  <c r="I156" i="38" s="1"/>
  <c r="I157" i="38" s="1"/>
  <c r="I158" i="38" s="1"/>
  <c r="I159" i="38" s="1"/>
  <c r="I160" i="38" s="1"/>
  <c r="I161" i="38" s="1"/>
  <c r="I162" i="38" s="1"/>
  <c r="I163" i="38" s="1"/>
  <c r="I164" i="38" s="1"/>
  <c r="I165" i="38" s="1"/>
  <c r="I166" i="38" s="1"/>
  <c r="I167" i="38" s="1"/>
  <c r="I168" i="38" s="1"/>
  <c r="I169" i="38" s="1"/>
  <c r="I170" i="38" s="1"/>
  <c r="I171" i="38" s="1"/>
  <c r="I172" i="38" s="1"/>
  <c r="I173" i="38" s="1"/>
  <c r="I174" i="38" s="1"/>
  <c r="I175" i="38" s="1"/>
  <c r="I176" i="38" s="1"/>
  <c r="I177" i="38" s="1"/>
  <c r="I178" i="38" s="1"/>
  <c r="I179" i="38" s="1"/>
  <c r="I180" i="38" s="1"/>
  <c r="I181" i="38" s="1"/>
  <c r="I182" i="38" s="1"/>
  <c r="I183" i="38" s="1"/>
  <c r="I184" i="38" s="1"/>
  <c r="I185" i="38" s="1"/>
  <c r="I186" i="38" s="1"/>
  <c r="I187" i="38" s="1"/>
  <c r="I188" i="38" s="1"/>
  <c r="I189" i="38" s="1"/>
  <c r="I190" i="38" s="1"/>
  <c r="I191" i="38" s="1"/>
  <c r="I192" i="38" s="1"/>
  <c r="I193" i="38" s="1"/>
  <c r="I194" i="38" s="1"/>
  <c r="I195" i="38" s="1"/>
  <c r="I196" i="38" s="1"/>
  <c r="I197" i="38" s="1"/>
  <c r="I198" i="38" s="1"/>
  <c r="I199" i="38" s="1"/>
  <c r="I200" i="38" s="1"/>
  <c r="I201" i="38" s="1"/>
  <c r="I202" i="38" s="1"/>
  <c r="I203" i="38" s="1"/>
  <c r="I204" i="38" s="1"/>
  <c r="I205" i="38" s="1"/>
  <c r="I206" i="38" s="1"/>
  <c r="I207" i="38" s="1"/>
  <c r="I208" i="38" s="1"/>
  <c r="I209" i="38" s="1"/>
  <c r="I210" i="38" s="1"/>
  <c r="I211" i="38" s="1"/>
  <c r="I212" i="38" s="1"/>
  <c r="I213" i="38" s="1"/>
  <c r="I214" i="38" s="1"/>
  <c r="I215" i="38" s="1"/>
  <c r="I216" i="38" s="1"/>
  <c r="I217" i="38" s="1"/>
  <c r="I218" i="38" s="1"/>
  <c r="I219" i="38" s="1"/>
  <c r="I220" i="38" s="1"/>
  <c r="I221" i="38" s="1"/>
  <c r="I222" i="38" s="1"/>
  <c r="I223" i="38" s="1"/>
  <c r="I224" i="38" s="1"/>
  <c r="I225" i="38" s="1"/>
  <c r="I226" i="38" s="1"/>
  <c r="I227" i="38" s="1"/>
  <c r="I228" i="38" s="1"/>
  <c r="I229" i="38" s="1"/>
  <c r="I230" i="38" s="1"/>
  <c r="I231" i="38" s="1"/>
  <c r="I232" i="38" s="1"/>
  <c r="I233" i="38" s="1"/>
  <c r="I234" i="38" s="1"/>
  <c r="I235" i="38" s="1"/>
  <c r="I236" i="38" s="1"/>
  <c r="I237" i="38" s="1"/>
  <c r="I238" i="38" s="1"/>
  <c r="I239" i="38" s="1"/>
  <c r="I240" i="38" s="1"/>
  <c r="I241" i="38" s="1"/>
  <c r="I242" i="38" s="1"/>
  <c r="I243" i="38" s="1"/>
  <c r="I244" i="38" s="1"/>
  <c r="I245" i="38" s="1"/>
  <c r="I246" i="38" s="1"/>
  <c r="I247" i="38" s="1"/>
  <c r="I248" i="38" s="1"/>
  <c r="I249" i="38" s="1"/>
  <c r="I250" i="38" s="1"/>
  <c r="I251" i="38" s="1"/>
  <c r="I252" i="38" s="1"/>
  <c r="I253" i="38" s="1"/>
  <c r="I254" i="38" s="1"/>
  <c r="I255" i="38" s="1"/>
  <c r="I256" i="38" s="1"/>
  <c r="I257" i="38" s="1"/>
  <c r="I258" i="38" s="1"/>
  <c r="I259" i="38" s="1"/>
  <c r="I260" i="38" s="1"/>
  <c r="I261" i="38" s="1"/>
  <c r="I262" i="38" s="1"/>
  <c r="I263" i="38" s="1"/>
  <c r="I264" i="38" s="1"/>
  <c r="I265" i="38" s="1"/>
  <c r="I266" i="38" s="1"/>
  <c r="I267" i="38" s="1"/>
  <c r="I268" i="38" s="1"/>
  <c r="I269" i="38" s="1"/>
  <c r="I270" i="38" s="1"/>
  <c r="I271" i="38" s="1"/>
  <c r="I272" i="38" s="1"/>
  <c r="I273" i="38" s="1"/>
  <c r="I274" i="38" s="1"/>
  <c r="I275" i="38" s="1"/>
  <c r="I276" i="38" s="1"/>
  <c r="I277" i="38" s="1"/>
  <c r="I278" i="38" s="1"/>
  <c r="I279" i="38" s="1"/>
  <c r="I280" i="38" s="1"/>
  <c r="I281" i="38" s="1"/>
  <c r="I282" i="38" s="1"/>
  <c r="I283" i="38" s="1"/>
  <c r="I284" i="38" s="1"/>
  <c r="I285" i="38" s="1"/>
  <c r="I286" i="38" s="1"/>
  <c r="I287" i="38" s="1"/>
  <c r="I288" i="38" s="1"/>
  <c r="I289" i="38" s="1"/>
  <c r="I290" i="38" s="1"/>
  <c r="I291" i="38" s="1"/>
  <c r="I292" i="38" s="1"/>
  <c r="I293" i="38" s="1"/>
  <c r="I294" i="38" s="1"/>
  <c r="I295" i="38" s="1"/>
  <c r="I296" i="38" s="1"/>
  <c r="I297" i="38" s="1"/>
  <c r="I298" i="38" s="1"/>
  <c r="I299" i="38" s="1"/>
  <c r="I300" i="38" s="1"/>
  <c r="I301" i="38" s="1"/>
  <c r="I302" i="38" s="1"/>
  <c r="I303" i="38" s="1"/>
  <c r="I304" i="38" s="1"/>
  <c r="I305" i="38" s="1"/>
  <c r="I306" i="38" s="1"/>
  <c r="I307" i="38" s="1"/>
  <c r="I308" i="38" s="1"/>
  <c r="I309" i="38" s="1"/>
  <c r="I310" i="38" s="1"/>
  <c r="I311" i="38" s="1"/>
  <c r="I312" i="38" s="1"/>
  <c r="I313" i="38" s="1"/>
  <c r="I314" i="38" s="1"/>
  <c r="I315" i="38" s="1"/>
  <c r="I316" i="38" s="1"/>
  <c r="I317" i="38" s="1"/>
  <c r="I318" i="38" s="1"/>
  <c r="I319" i="38" s="1"/>
  <c r="I320" i="38" s="1"/>
  <c r="I321" i="38" s="1"/>
  <c r="I322" i="38" s="1"/>
  <c r="I323" i="38" s="1"/>
  <c r="I324" i="38" s="1"/>
  <c r="I325" i="38" s="1"/>
  <c r="I326" i="38" s="1"/>
  <c r="I327" i="38" s="1"/>
  <c r="I328" i="38" s="1"/>
  <c r="I329" i="38" s="1"/>
  <c r="I330" i="38" s="1"/>
  <c r="I331" i="38" s="1"/>
  <c r="I332" i="38" s="1"/>
  <c r="I333" i="38" s="1"/>
  <c r="I334" i="38" s="1"/>
  <c r="I335" i="38" s="1"/>
  <c r="I336" i="38" s="1"/>
  <c r="I337" i="38" s="1"/>
  <c r="I338" i="38" s="1"/>
  <c r="I339" i="38" s="1"/>
  <c r="I340" i="38" s="1"/>
  <c r="I341" i="38" s="1"/>
  <c r="I342" i="38" s="1"/>
  <c r="I343" i="38" s="1"/>
  <c r="I344" i="38" s="1"/>
  <c r="I345" i="38" s="1"/>
  <c r="I346" i="38" s="1"/>
  <c r="I347" i="38" s="1"/>
  <c r="I348" i="38" s="1"/>
  <c r="I349" i="38" s="1"/>
  <c r="I350" i="38" s="1"/>
  <c r="I351" i="38" s="1"/>
  <c r="I352" i="38" s="1"/>
  <c r="I353" i="38" s="1"/>
  <c r="I354" i="38" s="1"/>
  <c r="I355" i="38" s="1"/>
  <c r="I356" i="38" s="1"/>
  <c r="I357" i="38" s="1"/>
  <c r="I358" i="38" s="1"/>
  <c r="I359" i="38" s="1"/>
  <c r="I360" i="38" s="1"/>
  <c r="I361" i="38" s="1"/>
  <c r="I362" i="38" s="1"/>
  <c r="I363" i="38" s="1"/>
  <c r="I364" i="38" s="1"/>
  <c r="I365" i="38" s="1"/>
  <c r="I366" i="38" s="1"/>
  <c r="I367" i="38" s="1"/>
  <c r="I368" i="38" s="1"/>
  <c r="I369" i="38" s="1"/>
  <c r="I370" i="38" s="1"/>
  <c r="I371" i="38" s="1"/>
  <c r="I372" i="38" s="1"/>
  <c r="I373" i="38" s="1"/>
  <c r="I374" i="38" s="1"/>
  <c r="I375" i="38" s="1"/>
  <c r="I376" i="38" s="1"/>
  <c r="I377" i="38" s="1"/>
  <c r="I378" i="38" s="1"/>
  <c r="I379" i="38" s="1"/>
  <c r="I380" i="38" s="1"/>
  <c r="I381" i="38" s="1"/>
  <c r="I382" i="38" s="1"/>
  <c r="I383" i="38" s="1"/>
  <c r="I384" i="38" s="1"/>
  <c r="I385" i="38" s="1"/>
  <c r="I386" i="38" s="1"/>
  <c r="I387" i="38" s="1"/>
  <c r="I388" i="38" s="1"/>
  <c r="I389" i="38" s="1"/>
  <c r="I390" i="38" s="1"/>
  <c r="I391" i="38" s="1"/>
  <c r="I392" i="38" s="1"/>
  <c r="I393" i="38" s="1"/>
  <c r="I394" i="38" s="1"/>
  <c r="I395" i="38" s="1"/>
  <c r="I396" i="38" s="1"/>
  <c r="I397" i="38" s="1"/>
  <c r="I398" i="38" s="1"/>
  <c r="I399" i="38" s="1"/>
  <c r="I400" i="38" s="1"/>
  <c r="I401" i="38" s="1"/>
  <c r="I402" i="38" s="1"/>
  <c r="I403" i="38" s="1"/>
  <c r="I404" i="38" s="1"/>
  <c r="I405" i="38" s="1"/>
  <c r="I406" i="38" s="1"/>
  <c r="I407" i="38" s="1"/>
  <c r="I408" i="38" s="1"/>
  <c r="I409" i="38" s="1"/>
  <c r="I410" i="38" s="1"/>
  <c r="I411" i="38" s="1"/>
  <c r="I412" i="38" s="1"/>
  <c r="I413" i="38" s="1"/>
  <c r="I414" i="38" s="1"/>
  <c r="I415" i="38" s="1"/>
  <c r="I416" i="38" s="1"/>
  <c r="I417" i="38" s="1"/>
  <c r="I418" i="38" s="1"/>
  <c r="I419" i="38" s="1"/>
  <c r="I420" i="38" s="1"/>
  <c r="I421" i="38" s="1"/>
  <c r="I422" i="38" s="1"/>
  <c r="I423" i="38" s="1"/>
  <c r="I424" i="38" s="1"/>
  <c r="I425" i="38" s="1"/>
  <c r="I426" i="38" s="1"/>
  <c r="I427" i="38" s="1"/>
  <c r="I428" i="38" s="1"/>
  <c r="I429" i="38" s="1"/>
  <c r="I430" i="38" s="1"/>
  <c r="I431" i="38" s="1"/>
  <c r="I432" i="38" s="1"/>
  <c r="I433" i="38" s="1"/>
  <c r="I434" i="38" s="1"/>
  <c r="I435" i="38" s="1"/>
  <c r="I436" i="38" s="1"/>
  <c r="I437" i="38" s="1"/>
  <c r="I438" i="38" s="1"/>
  <c r="I439" i="38" s="1"/>
  <c r="I440" i="38" s="1"/>
  <c r="I441" i="38" s="1"/>
  <c r="I442" i="38" s="1"/>
  <c r="I443" i="38" s="1"/>
  <c r="I444" i="38" s="1"/>
  <c r="I445" i="38" s="1"/>
  <c r="I446" i="38" s="1"/>
  <c r="I447" i="38" s="1"/>
  <c r="I448" i="38" s="1"/>
  <c r="I449" i="38" s="1"/>
  <c r="I450" i="38" s="1"/>
  <c r="I451" i="38" s="1"/>
  <c r="I452" i="38" s="1"/>
  <c r="I453" i="38" s="1"/>
  <c r="I454" i="38" s="1"/>
  <c r="I455" i="38" s="1"/>
  <c r="I456" i="38" s="1"/>
  <c r="I457" i="38" s="1"/>
  <c r="I458" i="38" s="1"/>
  <c r="I459" i="38" s="1"/>
  <c r="I460" i="38" s="1"/>
  <c r="I461" i="38" s="1"/>
  <c r="I462" i="38" s="1"/>
  <c r="I463" i="38" s="1"/>
  <c r="I464" i="38" s="1"/>
  <c r="I465" i="38" s="1"/>
  <c r="I466" i="38" s="1"/>
  <c r="I467" i="38" s="1"/>
  <c r="I468" i="38" s="1"/>
  <c r="I469" i="38" s="1"/>
  <c r="I470" i="38" s="1"/>
  <c r="I471" i="38" s="1"/>
  <c r="I472" i="38" s="1"/>
  <c r="I473" i="38" s="1"/>
  <c r="I474" i="38" s="1"/>
  <c r="I475" i="38" s="1"/>
  <c r="I476" i="38" s="1"/>
  <c r="I477" i="38" s="1"/>
  <c r="I478" i="38" s="1"/>
  <c r="I479" i="38" s="1"/>
  <c r="I480" i="38" s="1"/>
  <c r="I481" i="38" s="1"/>
  <c r="I482" i="38" s="1"/>
  <c r="I483" i="38" s="1"/>
  <c r="I484" i="38" s="1"/>
  <c r="I485" i="38" s="1"/>
  <c r="I486" i="38" s="1"/>
  <c r="I487" i="38" s="1"/>
  <c r="I488" i="38" s="1"/>
  <c r="I489" i="38" s="1"/>
  <c r="I490" i="38" s="1"/>
  <c r="I491" i="38" s="1"/>
  <c r="I492" i="38" s="1"/>
  <c r="I493" i="38" s="1"/>
  <c r="I494" i="38" s="1"/>
  <c r="I495" i="38" s="1"/>
  <c r="I496" i="38" s="1"/>
  <c r="I497" i="38" s="1"/>
  <c r="I498" i="38" s="1"/>
  <c r="I499" i="38" s="1"/>
  <c r="I500" i="38" s="1"/>
  <c r="I501" i="38" s="1"/>
  <c r="I502" i="38" s="1"/>
  <c r="I503" i="38" s="1"/>
  <c r="I504" i="38" s="1"/>
  <c r="I505" i="38" s="1"/>
  <c r="I506" i="38" s="1"/>
  <c r="I507" i="38" s="1"/>
  <c r="I508" i="38" s="1"/>
  <c r="I509" i="38" s="1"/>
  <c r="I510" i="38" s="1"/>
  <c r="I511" i="38" s="1"/>
  <c r="I512" i="38" s="1"/>
  <c r="I513" i="38" s="1"/>
  <c r="I514" i="38" s="1"/>
  <c r="I515" i="38" s="1"/>
  <c r="I516" i="38" s="1"/>
  <c r="I517" i="38" s="1"/>
  <c r="I518" i="38" s="1"/>
  <c r="I519" i="38" s="1"/>
  <c r="I520" i="38" s="1"/>
  <c r="I521" i="38" s="1"/>
  <c r="I522" i="38" s="1"/>
  <c r="I523" i="38" s="1"/>
  <c r="I524" i="38" s="1"/>
  <c r="I525" i="38" s="1"/>
  <c r="I526" i="38" s="1"/>
  <c r="I527" i="38" s="1"/>
  <c r="I528" i="38" s="1"/>
  <c r="I529" i="38" s="1"/>
  <c r="I530" i="38" s="1"/>
  <c r="I531" i="38" s="1"/>
  <c r="I532" i="38" s="1"/>
  <c r="I533" i="38" s="1"/>
  <c r="I534" i="38" s="1"/>
  <c r="I535" i="38" s="1"/>
  <c r="I536" i="38" s="1"/>
  <c r="I537" i="38" s="1"/>
  <c r="I538" i="38" s="1"/>
  <c r="I539" i="38" s="1"/>
  <c r="I540" i="38" s="1"/>
  <c r="I541" i="38" s="1"/>
  <c r="I542" i="38" s="1"/>
  <c r="I543" i="38" s="1"/>
  <c r="I544" i="38" s="1"/>
  <c r="I545" i="38" s="1"/>
  <c r="I546" i="38" s="1"/>
  <c r="I547" i="38" s="1"/>
  <c r="I548" i="38" s="1"/>
  <c r="I549" i="38" s="1"/>
  <c r="I550" i="38" s="1"/>
  <c r="I551" i="38" s="1"/>
  <c r="I552" i="38" s="1"/>
  <c r="I553" i="38" s="1"/>
  <c r="I554" i="38" s="1"/>
  <c r="I555" i="38" s="1"/>
  <c r="I556" i="38" s="1"/>
  <c r="I557" i="38" s="1"/>
  <c r="I558" i="38" s="1"/>
  <c r="I559" i="38" s="1"/>
  <c r="I560" i="38" s="1"/>
  <c r="I561" i="38" s="1"/>
  <c r="I562" i="38" s="1"/>
  <c r="I563" i="38" s="1"/>
  <c r="I564" i="38" s="1"/>
  <c r="I565" i="38" s="1"/>
  <c r="I566" i="38" s="1"/>
  <c r="I567" i="38" s="1"/>
  <c r="I568" i="38" s="1"/>
  <c r="I569" i="38" s="1"/>
  <c r="I570" i="38" s="1"/>
  <c r="I571" i="38" s="1"/>
  <c r="I572" i="38" s="1"/>
  <c r="I573" i="38" s="1"/>
  <c r="I574" i="38" s="1"/>
  <c r="I575" i="38" s="1"/>
  <c r="I576" i="38" s="1"/>
  <c r="I577" i="38" s="1"/>
  <c r="I578" i="38" s="1"/>
  <c r="I579" i="38" s="1"/>
  <c r="I580" i="38" s="1"/>
  <c r="I581" i="38" s="1"/>
  <c r="I582" i="38" s="1"/>
  <c r="I583" i="38" s="1"/>
  <c r="I584" i="38" s="1"/>
  <c r="I585" i="38" s="1"/>
  <c r="I586" i="38" s="1"/>
  <c r="I587" i="38" s="1"/>
  <c r="I588" i="38" s="1"/>
  <c r="I589" i="38" s="1"/>
  <c r="I590" i="38" s="1"/>
  <c r="I591" i="38" s="1"/>
  <c r="I592" i="38" s="1"/>
  <c r="I593" i="38" s="1"/>
  <c r="I594" i="38" s="1"/>
  <c r="I595" i="38" s="1"/>
  <c r="I596" i="38" s="1"/>
  <c r="I597" i="38" s="1"/>
  <c r="I598" i="38" s="1"/>
  <c r="I599" i="38" s="1"/>
  <c r="I600" i="38" s="1"/>
  <c r="I601" i="38" s="1"/>
  <c r="I602" i="38" s="1"/>
  <c r="I603" i="38" s="1"/>
  <c r="I604" i="38" s="1"/>
  <c r="I605" i="38" s="1"/>
  <c r="I606" i="38" s="1"/>
  <c r="I607" i="38" s="1"/>
  <c r="I608" i="38" s="1"/>
  <c r="I609" i="38" s="1"/>
  <c r="I610" i="38" s="1"/>
  <c r="I611" i="38" s="1"/>
  <c r="I612" i="38" s="1"/>
  <c r="I613" i="38" s="1"/>
  <c r="I614" i="38" s="1"/>
  <c r="I615" i="38" s="1"/>
  <c r="I616" i="38" s="1"/>
  <c r="I617" i="38" s="1"/>
  <c r="I618" i="38" s="1"/>
  <c r="I619" i="38" s="1"/>
  <c r="I620" i="38" s="1"/>
  <c r="I621" i="38" s="1"/>
  <c r="I622" i="38" s="1"/>
  <c r="I623" i="38" s="1"/>
  <c r="I624" i="38" s="1"/>
  <c r="I625" i="38" s="1"/>
  <c r="I626" i="38" s="1"/>
  <c r="I627" i="38" s="1"/>
  <c r="I628" i="38" s="1"/>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H80" i="38"/>
  <c r="H81" i="38"/>
  <c r="H82" i="38"/>
  <c r="H83" i="38"/>
  <c r="H84" i="38"/>
  <c r="H85" i="38"/>
  <c r="H86" i="38"/>
  <c r="H87" i="38"/>
  <c r="H88" i="38"/>
  <c r="H89" i="38"/>
  <c r="H90" i="38"/>
  <c r="H91" i="38"/>
  <c r="H92" i="38"/>
  <c r="H93" i="38"/>
  <c r="H94" i="38"/>
  <c r="H95" i="38"/>
  <c r="H96" i="38"/>
  <c r="H97" i="38"/>
  <c r="H98" i="38"/>
  <c r="H99" i="38"/>
  <c r="H100" i="38"/>
  <c r="H101" i="38"/>
  <c r="H102" i="38"/>
  <c r="H103" i="38"/>
  <c r="H104" i="38"/>
  <c r="H105" i="38"/>
  <c r="H106" i="38"/>
  <c r="H107" i="38"/>
  <c r="H108" i="38"/>
  <c r="H109" i="38"/>
  <c r="H110" i="38"/>
  <c r="H111" i="38"/>
  <c r="H112" i="38"/>
  <c r="H113" i="38"/>
  <c r="H114" i="38"/>
  <c r="H115" i="38"/>
  <c r="H116" i="38"/>
  <c r="H117" i="38"/>
  <c r="H118" i="38"/>
  <c r="H119" i="38"/>
  <c r="H120" i="38"/>
  <c r="H121" i="38"/>
  <c r="H122" i="38"/>
  <c r="H123" i="38"/>
  <c r="H124" i="38"/>
  <c r="H125" i="38"/>
  <c r="H126" i="38"/>
  <c r="H127" i="38"/>
  <c r="H128" i="38"/>
  <c r="H129" i="38"/>
  <c r="H130" i="38"/>
  <c r="H131" i="38"/>
  <c r="H132" i="38"/>
  <c r="H133" i="38"/>
  <c r="H134" i="38"/>
  <c r="H135" i="38"/>
  <c r="H136" i="38"/>
  <c r="H137" i="38"/>
  <c r="H138" i="38"/>
  <c r="H139" i="38"/>
  <c r="H140" i="38"/>
  <c r="H141" i="38"/>
  <c r="H142" i="38"/>
  <c r="H143" i="38"/>
  <c r="H144" i="38"/>
  <c r="H145" i="38"/>
  <c r="H146" i="38"/>
  <c r="H147" i="38"/>
  <c r="H148" i="38"/>
  <c r="H149" i="38"/>
  <c r="H150" i="38"/>
  <c r="H151" i="38"/>
  <c r="H152" i="38"/>
  <c r="H153" i="38"/>
  <c r="H154" i="38"/>
  <c r="H155" i="38"/>
  <c r="H156" i="38"/>
  <c r="H157" i="38"/>
  <c r="H158" i="38"/>
  <c r="H159" i="38"/>
  <c r="H160" i="38"/>
  <c r="H161" i="38"/>
  <c r="H162" i="38"/>
  <c r="H163" i="38"/>
  <c r="H164" i="38"/>
  <c r="H165" i="38"/>
  <c r="H166" i="38"/>
  <c r="H167" i="38"/>
  <c r="H168" i="38"/>
  <c r="H169" i="38"/>
  <c r="H170" i="38"/>
  <c r="H171" i="38"/>
  <c r="H172" i="38"/>
  <c r="H173" i="38"/>
  <c r="H174" i="38"/>
  <c r="H175" i="38"/>
  <c r="H176" i="38"/>
  <c r="H177" i="38"/>
  <c r="H178" i="38"/>
  <c r="H179" i="38"/>
  <c r="H180" i="38"/>
  <c r="H181" i="38"/>
  <c r="H182" i="38"/>
  <c r="H183" i="38"/>
  <c r="H184" i="38"/>
  <c r="H185" i="38"/>
  <c r="H186" i="38"/>
  <c r="H187" i="38"/>
  <c r="H188" i="38"/>
  <c r="H189" i="38"/>
  <c r="H190" i="38"/>
  <c r="H191" i="38"/>
  <c r="H192" i="38"/>
  <c r="H193" i="38"/>
  <c r="H194" i="38"/>
  <c r="H195" i="38"/>
  <c r="H196" i="38"/>
  <c r="H197" i="38"/>
  <c r="H198" i="38"/>
  <c r="H199" i="38"/>
  <c r="H200" i="38"/>
  <c r="H201" i="38"/>
  <c r="H202" i="38"/>
  <c r="H203" i="38"/>
  <c r="H204" i="38"/>
  <c r="H205" i="38"/>
  <c r="H206" i="38"/>
  <c r="H207" i="38"/>
  <c r="H208" i="38"/>
  <c r="H209" i="38"/>
  <c r="H210" i="38"/>
  <c r="H211" i="38"/>
  <c r="H212" i="38"/>
  <c r="H213" i="38"/>
  <c r="H214" i="38"/>
  <c r="H215" i="38"/>
  <c r="H216" i="38"/>
  <c r="H217" i="38"/>
  <c r="H218" i="38"/>
  <c r="H219" i="38"/>
  <c r="H220" i="38"/>
  <c r="H221" i="38"/>
  <c r="H222" i="38"/>
  <c r="H223" i="38"/>
  <c r="H224" i="38"/>
  <c r="H225" i="38"/>
  <c r="H226" i="38"/>
  <c r="H227" i="38"/>
  <c r="H228" i="38"/>
  <c r="H229" i="38"/>
  <c r="H230" i="38"/>
  <c r="H231" i="38"/>
  <c r="H232" i="38"/>
  <c r="H233" i="38"/>
  <c r="H234" i="38"/>
  <c r="H235" i="38"/>
  <c r="H236" i="38"/>
  <c r="H237" i="38"/>
  <c r="H238" i="38"/>
  <c r="H239" i="38"/>
  <c r="H240" i="38"/>
  <c r="H241" i="38"/>
  <c r="H242" i="38"/>
  <c r="H243" i="38"/>
  <c r="H244" i="38"/>
  <c r="H245" i="38"/>
  <c r="H246" i="38"/>
  <c r="H247" i="38"/>
  <c r="H248" i="38"/>
  <c r="H249" i="38"/>
  <c r="H250" i="38"/>
  <c r="H251" i="38"/>
  <c r="H252" i="38"/>
  <c r="H253" i="38"/>
  <c r="H254" i="38"/>
  <c r="H255" i="38"/>
  <c r="H256" i="38"/>
  <c r="H257" i="38"/>
  <c r="H258" i="38"/>
  <c r="H259" i="38"/>
  <c r="H260" i="38"/>
  <c r="H261" i="38"/>
  <c r="H262" i="38"/>
  <c r="H263" i="38"/>
  <c r="H264" i="38"/>
  <c r="H265" i="38"/>
  <c r="H266" i="38"/>
  <c r="H267" i="38"/>
  <c r="H268" i="38"/>
  <c r="H269" i="38"/>
  <c r="H270" i="38"/>
  <c r="H271" i="38"/>
  <c r="H272" i="38"/>
  <c r="H273" i="38"/>
  <c r="H274" i="38"/>
  <c r="H275" i="38"/>
  <c r="H276" i="38"/>
  <c r="H277" i="38"/>
  <c r="H278" i="38"/>
  <c r="H279" i="38"/>
  <c r="H280" i="38"/>
  <c r="H281" i="38"/>
  <c r="H282" i="38"/>
  <c r="H283" i="38"/>
  <c r="H284" i="38"/>
  <c r="H285" i="38"/>
  <c r="H286" i="38"/>
  <c r="H287" i="38"/>
  <c r="H288" i="38"/>
  <c r="H289" i="38"/>
  <c r="H290" i="38"/>
  <c r="H291" i="38"/>
  <c r="H292" i="38"/>
  <c r="H293" i="38"/>
  <c r="H294" i="38"/>
  <c r="H295" i="38"/>
  <c r="H296" i="38"/>
  <c r="H297" i="38"/>
  <c r="H298" i="38"/>
  <c r="H299" i="38"/>
  <c r="H300" i="38"/>
  <c r="H301" i="38"/>
  <c r="H302" i="38"/>
  <c r="H303" i="38"/>
  <c r="H304" i="38"/>
  <c r="H305" i="38"/>
  <c r="H306" i="38"/>
  <c r="H307" i="38"/>
  <c r="H308" i="38"/>
  <c r="H309" i="38"/>
  <c r="H310" i="38"/>
  <c r="H311" i="38"/>
  <c r="H312" i="38"/>
  <c r="H313" i="38"/>
  <c r="H314" i="38"/>
  <c r="H315" i="38"/>
  <c r="H316" i="38"/>
  <c r="H317" i="38"/>
  <c r="H318" i="38"/>
  <c r="H319" i="38"/>
  <c r="H320" i="38"/>
  <c r="H321" i="38"/>
  <c r="H322" i="38"/>
  <c r="H323" i="38"/>
  <c r="H324" i="38"/>
  <c r="H325" i="38"/>
  <c r="H326" i="38"/>
  <c r="H327" i="38"/>
  <c r="H328" i="38"/>
  <c r="H329" i="38"/>
  <c r="H330" i="38"/>
  <c r="H331" i="38"/>
  <c r="H332" i="38"/>
  <c r="H333" i="38"/>
  <c r="H334" i="38"/>
  <c r="H335" i="38"/>
  <c r="H336" i="38"/>
  <c r="H337" i="38"/>
  <c r="H338" i="38"/>
  <c r="H339" i="38"/>
  <c r="H340" i="38"/>
  <c r="H341" i="38"/>
  <c r="H342" i="38"/>
  <c r="H343" i="38"/>
  <c r="H344" i="38"/>
  <c r="H345" i="38"/>
  <c r="H346" i="38"/>
  <c r="H347" i="38"/>
  <c r="H348" i="38"/>
  <c r="H349" i="38"/>
  <c r="H350" i="38"/>
  <c r="H351" i="38"/>
  <c r="H352" i="38"/>
  <c r="H353" i="38"/>
  <c r="H354" i="38"/>
  <c r="H355" i="38"/>
  <c r="H356" i="38"/>
  <c r="H357" i="38"/>
  <c r="H358" i="38"/>
  <c r="H359" i="38"/>
  <c r="H360" i="38"/>
  <c r="H361" i="38"/>
  <c r="H362" i="38"/>
  <c r="H363" i="38"/>
  <c r="H364" i="38"/>
  <c r="H365" i="38"/>
  <c r="H366" i="38"/>
  <c r="H367" i="38"/>
  <c r="H368" i="38"/>
  <c r="H369" i="38"/>
  <c r="H370" i="38"/>
  <c r="H371" i="38"/>
  <c r="H372" i="38"/>
  <c r="H373" i="38"/>
  <c r="H374" i="38"/>
  <c r="H375" i="38"/>
  <c r="H376" i="38"/>
  <c r="H377" i="38"/>
  <c r="H378" i="38"/>
  <c r="H379" i="38"/>
  <c r="H380" i="38"/>
  <c r="H381" i="38"/>
  <c r="H382" i="38"/>
  <c r="H383" i="38"/>
  <c r="H384" i="38"/>
  <c r="H385" i="38"/>
  <c r="H386" i="38"/>
  <c r="H387" i="38"/>
  <c r="H388" i="38"/>
  <c r="H389" i="38"/>
  <c r="H390" i="38"/>
  <c r="H391" i="38"/>
  <c r="H392" i="38"/>
  <c r="H393" i="38"/>
  <c r="H394" i="38"/>
  <c r="H395" i="38"/>
  <c r="H396" i="38"/>
  <c r="H397" i="38"/>
  <c r="H398" i="38"/>
  <c r="H399" i="38"/>
  <c r="H400" i="38"/>
  <c r="H401" i="38"/>
  <c r="H402" i="38"/>
  <c r="H403" i="38"/>
  <c r="H404" i="38"/>
  <c r="H405" i="38"/>
  <c r="H406" i="38"/>
  <c r="H407" i="38"/>
  <c r="H408" i="38"/>
  <c r="H409" i="38"/>
  <c r="H410" i="38"/>
  <c r="H411" i="38"/>
  <c r="H412" i="38"/>
  <c r="H413" i="38"/>
  <c r="H414" i="38"/>
  <c r="H415" i="38"/>
  <c r="H416" i="38"/>
  <c r="H417" i="38"/>
  <c r="H418" i="38"/>
  <c r="H419" i="38"/>
  <c r="H420" i="38"/>
  <c r="H421" i="38"/>
  <c r="H422" i="38"/>
  <c r="H423" i="38"/>
  <c r="H424" i="38"/>
  <c r="H425" i="38"/>
  <c r="H426" i="38"/>
  <c r="H427" i="38"/>
  <c r="H428" i="38"/>
  <c r="H429" i="38"/>
  <c r="H430" i="38"/>
  <c r="H431" i="38"/>
  <c r="H432" i="38"/>
  <c r="H433" i="38"/>
  <c r="H434" i="38"/>
  <c r="H435" i="38"/>
  <c r="H436" i="38"/>
  <c r="H437" i="38"/>
  <c r="H438" i="38"/>
  <c r="H439" i="38"/>
  <c r="H440" i="38"/>
  <c r="H441" i="38"/>
  <c r="H442" i="38"/>
  <c r="H443" i="38"/>
  <c r="H444" i="38"/>
  <c r="H445" i="38"/>
  <c r="H446" i="38"/>
  <c r="H447" i="38"/>
  <c r="H448" i="38"/>
  <c r="H449" i="38"/>
  <c r="H450" i="38"/>
  <c r="H451" i="38"/>
  <c r="H452" i="38"/>
  <c r="H453" i="38"/>
  <c r="H454" i="38"/>
  <c r="H455" i="38"/>
  <c r="H456" i="38"/>
  <c r="H457" i="38"/>
  <c r="H458" i="38"/>
  <c r="H459" i="38"/>
  <c r="H460" i="38"/>
  <c r="H461" i="38"/>
  <c r="H462" i="38"/>
  <c r="H463" i="38"/>
  <c r="H464" i="38"/>
  <c r="H465" i="38"/>
  <c r="H466" i="38"/>
  <c r="H467" i="38"/>
  <c r="H468" i="38"/>
  <c r="H469" i="38"/>
  <c r="H470" i="38"/>
  <c r="H471" i="38"/>
  <c r="H472" i="38"/>
  <c r="H473" i="38"/>
  <c r="H474" i="38"/>
  <c r="H475" i="38"/>
  <c r="H476" i="38"/>
  <c r="H477" i="38"/>
  <c r="H478" i="38"/>
  <c r="H479" i="38"/>
  <c r="H480" i="38"/>
  <c r="H481" i="38"/>
  <c r="H482" i="38"/>
  <c r="H483" i="38"/>
  <c r="H484" i="38"/>
  <c r="H485" i="38"/>
  <c r="H486" i="38"/>
  <c r="H487" i="38"/>
  <c r="H488" i="38"/>
  <c r="H489" i="38"/>
  <c r="H490" i="38"/>
  <c r="H491" i="38"/>
  <c r="H492" i="38"/>
  <c r="H493" i="38"/>
  <c r="H494" i="38"/>
  <c r="H495" i="38"/>
  <c r="H496" i="38"/>
  <c r="H497" i="38"/>
  <c r="H498" i="38"/>
  <c r="H499" i="38"/>
  <c r="H500" i="38"/>
  <c r="H501" i="38"/>
  <c r="H502" i="38"/>
  <c r="H503" i="38"/>
  <c r="H504" i="38"/>
  <c r="H505" i="38"/>
  <c r="H506" i="38"/>
  <c r="H507" i="38"/>
  <c r="H508" i="38"/>
  <c r="H509" i="38"/>
  <c r="H510" i="38"/>
  <c r="H511" i="38"/>
  <c r="H512" i="38"/>
  <c r="H513" i="38"/>
  <c r="H514" i="38"/>
  <c r="H515" i="38"/>
  <c r="H516" i="38"/>
  <c r="H517" i="38"/>
  <c r="H518" i="38"/>
  <c r="H519" i="38"/>
  <c r="H520" i="38"/>
  <c r="H521" i="38"/>
  <c r="H522" i="38"/>
  <c r="H523" i="38"/>
  <c r="H524" i="38"/>
  <c r="H525" i="38"/>
  <c r="H526" i="38"/>
  <c r="H527" i="38"/>
  <c r="H528" i="38"/>
  <c r="H529" i="38"/>
  <c r="H530" i="38"/>
  <c r="H531" i="38"/>
  <c r="H532" i="38"/>
  <c r="H533" i="38"/>
  <c r="H534" i="38"/>
  <c r="H535" i="38"/>
  <c r="H536" i="38"/>
  <c r="H537" i="38"/>
  <c r="H538" i="38"/>
  <c r="H539" i="38"/>
  <c r="H540" i="38"/>
  <c r="H541" i="38"/>
  <c r="H542" i="38"/>
  <c r="H543" i="38"/>
  <c r="H544" i="38"/>
  <c r="H545" i="38"/>
  <c r="H546" i="38"/>
  <c r="H547" i="38"/>
  <c r="H548" i="38"/>
  <c r="H549" i="38"/>
  <c r="H550" i="38"/>
  <c r="H551" i="38"/>
  <c r="H552" i="38"/>
  <c r="H553" i="38"/>
  <c r="H554" i="38"/>
  <c r="H555" i="38"/>
  <c r="H556" i="38"/>
  <c r="H557" i="38"/>
  <c r="H558" i="38"/>
  <c r="H559" i="38"/>
  <c r="H560" i="38"/>
  <c r="H561" i="38"/>
  <c r="H562" i="38"/>
  <c r="H563" i="38"/>
  <c r="H564" i="38"/>
  <c r="H565" i="38"/>
  <c r="H566" i="38"/>
  <c r="H567" i="38"/>
  <c r="H568" i="38"/>
  <c r="H569" i="38"/>
  <c r="H570" i="38"/>
  <c r="H571" i="38"/>
  <c r="H572" i="38"/>
  <c r="H573" i="38"/>
  <c r="H574" i="38"/>
  <c r="H575" i="38"/>
  <c r="H576" i="38"/>
  <c r="H577" i="38"/>
  <c r="H578" i="38"/>
  <c r="H579" i="38"/>
  <c r="H580" i="38"/>
  <c r="H581" i="38"/>
  <c r="H582" i="38"/>
  <c r="H583" i="38"/>
  <c r="H584" i="38"/>
  <c r="H585" i="38"/>
  <c r="H586" i="38"/>
  <c r="H587" i="38"/>
  <c r="H588" i="38"/>
  <c r="H589" i="38"/>
  <c r="H590" i="38"/>
  <c r="H591" i="38"/>
  <c r="H592" i="38"/>
  <c r="H593" i="38"/>
  <c r="H594" i="38"/>
  <c r="H595" i="38"/>
  <c r="H596" i="38"/>
  <c r="H597" i="38"/>
  <c r="H598" i="38"/>
  <c r="H599" i="38"/>
  <c r="H600" i="38"/>
  <c r="H601" i="38"/>
  <c r="H602" i="38"/>
  <c r="H603" i="38"/>
  <c r="H604" i="38"/>
  <c r="H605" i="38"/>
  <c r="H606" i="38"/>
  <c r="H607" i="38"/>
  <c r="H608" i="38"/>
  <c r="H609" i="38"/>
  <c r="H610" i="38"/>
  <c r="H611" i="38"/>
  <c r="H612" i="38"/>
  <c r="H613" i="38"/>
  <c r="H614" i="38"/>
  <c r="H615" i="38"/>
  <c r="H616" i="38"/>
  <c r="H617" i="38"/>
  <c r="H618" i="38"/>
  <c r="H619" i="38"/>
  <c r="H620" i="38"/>
  <c r="H621" i="38"/>
  <c r="H622" i="38"/>
  <c r="H623" i="38"/>
  <c r="H624" i="38"/>
  <c r="H625" i="38"/>
  <c r="H626" i="38"/>
  <c r="H627" i="38"/>
  <c r="H628" i="38"/>
  <c r="H198" i="24" l="1"/>
  <c r="G198" i="24"/>
  <c r="F198" i="24"/>
  <c r="G228" i="38"/>
  <c r="G230" i="38"/>
  <c r="G231" i="38" l="1"/>
  <c r="G615" i="38"/>
  <c r="G616" i="38"/>
  <c r="G617" i="38"/>
  <c r="G618" i="38"/>
  <c r="G619" i="38"/>
  <c r="G620" i="38"/>
  <c r="G621" i="38"/>
  <c r="G622" i="38"/>
  <c r="G623" i="38"/>
  <c r="G624" i="38"/>
  <c r="G625" i="38"/>
  <c r="G626" i="38"/>
  <c r="G627" i="38"/>
  <c r="G628" i="38"/>
  <c r="B385" i="32"/>
  <c r="C385" i="32"/>
  <c r="E385" i="32" s="1"/>
  <c r="D385" i="32"/>
  <c r="H1320" i="21"/>
  <c r="H1319" i="21"/>
  <c r="H1318" i="21"/>
  <c r="H1315" i="21"/>
  <c r="H1316" i="21" s="1"/>
  <c r="H1321" i="21"/>
  <c r="H1312" i="21"/>
  <c r="H1311" i="21"/>
  <c r="H1313" i="21" s="1"/>
  <c r="H1309" i="21"/>
  <c r="C1309" i="21"/>
  <c r="B1309" i="21"/>
  <c r="A1309" i="21"/>
  <c r="H1322" i="21" l="1"/>
  <c r="G134" i="27" s="1"/>
  <c r="H123" i="21" l="1"/>
  <c r="H120" i="21"/>
  <c r="H121" i="21" s="1"/>
  <c r="G232" i="38"/>
  <c r="G291" i="21"/>
  <c r="E291" i="21"/>
  <c r="C291" i="21"/>
  <c r="B291" i="21"/>
  <c r="B493" i="21"/>
  <c r="B505" i="21"/>
  <c r="D243" i="32"/>
  <c r="C243" i="32"/>
  <c r="E243" i="32" s="1"/>
  <c r="B243" i="32"/>
  <c r="D442" i="32"/>
  <c r="C442" i="32"/>
  <c r="E442" i="32" s="1"/>
  <c r="B442" i="32"/>
  <c r="D259" i="32"/>
  <c r="C259" i="32"/>
  <c r="E259" i="32" s="1"/>
  <c r="B259" i="32"/>
  <c r="D367" i="32"/>
  <c r="C367" i="32"/>
  <c r="E367" i="32" s="1"/>
  <c r="B367" i="32"/>
  <c r="D436" i="32"/>
  <c r="C436" i="32"/>
  <c r="E436" i="32" s="1"/>
  <c r="B436" i="32"/>
  <c r="D446" i="32"/>
  <c r="C446" i="32"/>
  <c r="E446" i="32" s="1"/>
  <c r="B446" i="32"/>
  <c r="D315" i="32"/>
  <c r="C315" i="32"/>
  <c r="E315" i="32" s="1"/>
  <c r="B315" i="32"/>
  <c r="G328" i="27"/>
  <c r="G327" i="27"/>
  <c r="G326" i="27"/>
  <c r="G325" i="27"/>
  <c r="G324" i="27"/>
  <c r="G323" i="27"/>
  <c r="G322" i="27"/>
  <c r="D212" i="24"/>
  <c r="D268" i="24"/>
  <c r="D260" i="24"/>
  <c r="D252" i="24"/>
  <c r="D244" i="24"/>
  <c r="D236" i="24"/>
  <c r="D228" i="24"/>
  <c r="D220" i="24"/>
  <c r="D395" i="32"/>
  <c r="E395" i="32"/>
  <c r="B395" i="32"/>
  <c r="A1609" i="18"/>
  <c r="H1609" i="18" s="1"/>
  <c r="G229" i="38"/>
  <c r="B1609" i="18" l="1"/>
  <c r="C1609" i="18"/>
  <c r="D117" i="32"/>
  <c r="C117" i="32"/>
  <c r="E117" i="32" s="1"/>
  <c r="B117" i="32"/>
  <c r="G493" i="21"/>
  <c r="H493" i="21" s="1"/>
  <c r="H494" i="21" s="1"/>
  <c r="E493" i="21"/>
  <c r="C493" i="21"/>
  <c r="H503" i="21"/>
  <c r="H491" i="21"/>
  <c r="C491" i="21"/>
  <c r="B491" i="21"/>
  <c r="A491" i="21"/>
  <c r="H497" i="21"/>
  <c r="H496" i="21"/>
  <c r="J491" i="21"/>
  <c r="E505" i="21"/>
  <c r="G505" i="21"/>
  <c r="C505" i="21"/>
  <c r="D300" i="24"/>
  <c r="D292" i="24"/>
  <c r="G227" i="38"/>
  <c r="H498" i="21" l="1"/>
  <c r="H499" i="21"/>
  <c r="G244" i="27" s="1"/>
  <c r="G233" i="38"/>
  <c r="B370" i="32"/>
  <c r="C370" i="32"/>
  <c r="E370" i="32" s="1"/>
  <c r="D370" i="32"/>
  <c r="H2446" i="21"/>
  <c r="C2446" i="21"/>
  <c r="B2446" i="21"/>
  <c r="A2446" i="21"/>
  <c r="H2453" i="21"/>
  <c r="H2452" i="21"/>
  <c r="H2449" i="21"/>
  <c r="H2448" i="21"/>
  <c r="H2450" i="21" l="1"/>
  <c r="H2454" i="21"/>
  <c r="H2455" i="21" l="1"/>
  <c r="G190" i="27" s="1"/>
  <c r="B344" i="32" l="1"/>
  <c r="C344" i="32"/>
  <c r="E344" i="32" s="1"/>
  <c r="D344" i="32"/>
  <c r="B472" i="32"/>
  <c r="C472" i="32"/>
  <c r="E472" i="32" s="1"/>
  <c r="D472" i="32"/>
  <c r="G339" i="27"/>
  <c r="H2698" i="21"/>
  <c r="C2698" i="21"/>
  <c r="B2698" i="21"/>
  <c r="A2698" i="21"/>
  <c r="H2435" i="21"/>
  <c r="C2435" i="21"/>
  <c r="B2435" i="21"/>
  <c r="A2435" i="21"/>
  <c r="H2442" i="21"/>
  <c r="H2441" i="21"/>
  <c r="H2438" i="21"/>
  <c r="H2437" i="21"/>
  <c r="H2439" i="21" l="1"/>
  <c r="H2443" i="21"/>
  <c r="H2444" i="21" l="1"/>
  <c r="G337" i="27" s="1"/>
  <c r="A2379" i="18"/>
  <c r="C2379" i="18" s="1"/>
  <c r="A1504" i="18"/>
  <c r="B1504" i="18" s="1"/>
  <c r="A1493" i="18"/>
  <c r="H1493" i="18" s="1"/>
  <c r="A1482" i="18"/>
  <c r="H1482" i="18" s="1"/>
  <c r="A1471" i="18"/>
  <c r="C1471" i="18" s="1"/>
  <c r="D284" i="24"/>
  <c r="C1504" i="18" l="1"/>
  <c r="C1482" i="18"/>
  <c r="B1493" i="18"/>
  <c r="C1493" i="18"/>
  <c r="B1482" i="18"/>
  <c r="H2379" i="18"/>
  <c r="B2379" i="18"/>
  <c r="H1471" i="18"/>
  <c r="H1504" i="18"/>
  <c r="B1471" i="18"/>
  <c r="D372" i="32"/>
  <c r="C372" i="32"/>
  <c r="E372" i="32" s="1"/>
  <c r="B372" i="32"/>
  <c r="H1298" i="21"/>
  <c r="C1298" i="21"/>
  <c r="B1298" i="21"/>
  <c r="A1298" i="21"/>
  <c r="H1305" i="21"/>
  <c r="H1304" i="21"/>
  <c r="H1301" i="21"/>
  <c r="H1300" i="21"/>
  <c r="B396" i="32"/>
  <c r="C396" i="32"/>
  <c r="E396" i="32" s="1"/>
  <c r="D396" i="32"/>
  <c r="B202" i="32"/>
  <c r="C202" i="32"/>
  <c r="E202" i="32" s="1"/>
  <c r="D202" i="32"/>
  <c r="B397" i="32"/>
  <c r="C397" i="32"/>
  <c r="E397" i="32" s="1"/>
  <c r="D397" i="32"/>
  <c r="B203" i="32"/>
  <c r="C203" i="32"/>
  <c r="E203" i="32" s="1"/>
  <c r="D203" i="32"/>
  <c r="B398" i="32"/>
  <c r="C398" i="32"/>
  <c r="E398" i="32" s="1"/>
  <c r="D398" i="32"/>
  <c r="B399" i="32"/>
  <c r="C399" i="32"/>
  <c r="E399" i="32" s="1"/>
  <c r="D399" i="32"/>
  <c r="B400" i="32"/>
  <c r="C400" i="32"/>
  <c r="E400" i="32" s="1"/>
  <c r="D400" i="32"/>
  <c r="G717" i="27"/>
  <c r="G716" i="27"/>
  <c r="G715" i="27"/>
  <c r="G714" i="27"/>
  <c r="G713" i="27"/>
  <c r="G712" i="27"/>
  <c r="G711" i="27"/>
  <c r="H2282" i="21"/>
  <c r="C2282" i="21"/>
  <c r="B2282" i="21"/>
  <c r="A2282" i="21"/>
  <c r="H2277" i="21"/>
  <c r="C2277" i="21"/>
  <c r="B2277" i="21"/>
  <c r="A2277" i="21"/>
  <c r="H2272" i="21"/>
  <c r="C2272" i="21"/>
  <c r="B2272" i="21"/>
  <c r="A2272" i="21"/>
  <c r="H2267" i="21"/>
  <c r="C2267" i="21"/>
  <c r="B2267" i="21"/>
  <c r="A2267" i="21"/>
  <c r="H2262" i="21"/>
  <c r="C2262" i="21"/>
  <c r="B2262" i="21"/>
  <c r="A2262" i="21"/>
  <c r="H2257" i="21"/>
  <c r="C2257" i="21"/>
  <c r="B2257" i="21"/>
  <c r="A2257" i="21"/>
  <c r="H2252" i="21"/>
  <c r="H2247" i="21"/>
  <c r="C2252" i="21"/>
  <c r="B2252" i="21"/>
  <c r="A2252" i="21"/>
  <c r="D405" i="32"/>
  <c r="E405" i="32"/>
  <c r="D293" i="32"/>
  <c r="E293" i="32"/>
  <c r="D513" i="32"/>
  <c r="E513" i="32"/>
  <c r="D434" i="32"/>
  <c r="E434" i="32"/>
  <c r="D409" i="32"/>
  <c r="E409" i="32"/>
  <c r="B405" i="32"/>
  <c r="B293" i="32"/>
  <c r="B513" i="32"/>
  <c r="B434" i="32"/>
  <c r="B409" i="32"/>
  <c r="B517" i="32"/>
  <c r="C517" i="32"/>
  <c r="E517" i="32" s="1"/>
  <c r="D517" i="32"/>
  <c r="B208" i="32"/>
  <c r="C208" i="32"/>
  <c r="E208" i="32" s="1"/>
  <c r="D208" i="32"/>
  <c r="B438" i="32"/>
  <c r="C438" i="32"/>
  <c r="E438" i="32" s="1"/>
  <c r="D438" i="32"/>
  <c r="H1287" i="21"/>
  <c r="C1287" i="21"/>
  <c r="B1287" i="21"/>
  <c r="A1287" i="21"/>
  <c r="H1294" i="21"/>
  <c r="H1293" i="21"/>
  <c r="H1290" i="21"/>
  <c r="H1289" i="21"/>
  <c r="B1276" i="21"/>
  <c r="A1276" i="21"/>
  <c r="H1283" i="21"/>
  <c r="H1282" i="21"/>
  <c r="H1279" i="21"/>
  <c r="H1278" i="21"/>
  <c r="H1276" i="21"/>
  <c r="C1276" i="21"/>
  <c r="A1460" i="18"/>
  <c r="C1460" i="18" s="1"/>
  <c r="H1266" i="21"/>
  <c r="C1266" i="21"/>
  <c r="B1266" i="21"/>
  <c r="A1266" i="21"/>
  <c r="H1272" i="21"/>
  <c r="H1271" i="21"/>
  <c r="H1268" i="21"/>
  <c r="H1269" i="21" s="1"/>
  <c r="H2027" i="21"/>
  <c r="C2027" i="21"/>
  <c r="B2027" i="21"/>
  <c r="A2027" i="21"/>
  <c r="H2033" i="21"/>
  <c r="H2032" i="21"/>
  <c r="H2029" i="21"/>
  <c r="H2030" i="21" s="1"/>
  <c r="H1302" i="21" l="1"/>
  <c r="H1306" i="21"/>
  <c r="H1280" i="21"/>
  <c r="H1295" i="21"/>
  <c r="H1291" i="21"/>
  <c r="H1284" i="21"/>
  <c r="B1460" i="18"/>
  <c r="H1460" i="18"/>
  <c r="H1273" i="21"/>
  <c r="H2034" i="21"/>
  <c r="H2035" i="21" s="1"/>
  <c r="G388" i="27" s="1"/>
  <c r="H1307" i="21" l="1"/>
  <c r="G344" i="27" s="1"/>
  <c r="H1285" i="21"/>
  <c r="G266" i="27" s="1"/>
  <c r="H1296" i="21"/>
  <c r="G292" i="27" s="1"/>
  <c r="E519" i="32"/>
  <c r="D519" i="32"/>
  <c r="B519" i="32"/>
  <c r="E518" i="32"/>
  <c r="D518" i="32"/>
  <c r="B518" i="32"/>
  <c r="E515" i="32"/>
  <c r="D515" i="32"/>
  <c r="B515" i="32"/>
  <c r="E516" i="32"/>
  <c r="D516" i="32"/>
  <c r="B516" i="32"/>
  <c r="E514" i="32"/>
  <c r="D514" i="32"/>
  <c r="B514" i="32"/>
  <c r="E58" i="32"/>
  <c r="D58" i="32"/>
  <c r="B58" i="32"/>
  <c r="E508" i="32"/>
  <c r="D508" i="32"/>
  <c r="B508" i="32"/>
  <c r="E507" i="32"/>
  <c r="D507" i="32"/>
  <c r="B507" i="32"/>
  <c r="E512" i="32"/>
  <c r="D512" i="32"/>
  <c r="B512" i="32"/>
  <c r="E511" i="32"/>
  <c r="D511" i="32"/>
  <c r="B511" i="32"/>
  <c r="E510" i="32"/>
  <c r="D510" i="32"/>
  <c r="B510" i="32"/>
  <c r="E509" i="32"/>
  <c r="D509" i="32"/>
  <c r="B509" i="32"/>
  <c r="E506" i="32"/>
  <c r="D506" i="32"/>
  <c r="B506" i="32"/>
  <c r="D505" i="32"/>
  <c r="C505" i="32"/>
  <c r="E505" i="32" s="1"/>
  <c r="B505" i="32"/>
  <c r="E504" i="32"/>
  <c r="D504" i="32"/>
  <c r="B504" i="32"/>
  <c r="E503" i="32"/>
  <c r="D503" i="32"/>
  <c r="B503" i="32"/>
  <c r="E502" i="32"/>
  <c r="D502" i="32"/>
  <c r="B502" i="32"/>
  <c r="E500" i="32"/>
  <c r="D500" i="32"/>
  <c r="B500" i="32"/>
  <c r="E501" i="32"/>
  <c r="D501" i="32"/>
  <c r="B501" i="32"/>
  <c r="E499" i="32"/>
  <c r="D499" i="32"/>
  <c r="B499" i="32"/>
  <c r="E497" i="32"/>
  <c r="D497" i="32"/>
  <c r="B497" i="32"/>
  <c r="E498" i="32"/>
  <c r="D498" i="32"/>
  <c r="B498" i="32"/>
  <c r="E496" i="32"/>
  <c r="D496" i="32"/>
  <c r="B496" i="32"/>
  <c r="E495" i="32"/>
  <c r="D495" i="32"/>
  <c r="B495" i="32"/>
  <c r="E493" i="32"/>
  <c r="D493" i="32"/>
  <c r="B493" i="32"/>
  <c r="E476" i="32"/>
  <c r="D476" i="32"/>
  <c r="B476" i="32"/>
  <c r="E494" i="32"/>
  <c r="D494" i="32"/>
  <c r="B494" i="32"/>
  <c r="E492" i="32"/>
  <c r="D492" i="32"/>
  <c r="B492" i="32"/>
  <c r="E491" i="32"/>
  <c r="D491" i="32"/>
  <c r="B491" i="32"/>
  <c r="E490" i="32"/>
  <c r="D490" i="32"/>
  <c r="B490" i="32"/>
  <c r="E486" i="32"/>
  <c r="D486" i="32"/>
  <c r="B486" i="32"/>
  <c r="D489" i="32"/>
  <c r="C489" i="32"/>
  <c r="E489" i="32" s="1"/>
  <c r="B489" i="32"/>
  <c r="E488" i="32"/>
  <c r="D488" i="32"/>
  <c r="B488" i="32"/>
  <c r="E487" i="32"/>
  <c r="D487" i="32"/>
  <c r="B487" i="32"/>
  <c r="D481" i="32"/>
  <c r="C481" i="32"/>
  <c r="E481" i="32" s="1"/>
  <c r="B481" i="32"/>
  <c r="D485" i="32"/>
  <c r="C485" i="32"/>
  <c r="E485" i="32" s="1"/>
  <c r="B485" i="32"/>
  <c r="E483" i="32"/>
  <c r="D483" i="32"/>
  <c r="B483" i="32"/>
  <c r="E482" i="32"/>
  <c r="D482" i="32"/>
  <c r="B482" i="32"/>
  <c r="E484" i="32"/>
  <c r="D484" i="32"/>
  <c r="B484" i="32"/>
  <c r="D480" i="32"/>
  <c r="C480" i="32"/>
  <c r="E480" i="32" s="1"/>
  <c r="B480" i="32"/>
  <c r="E479" i="32"/>
  <c r="D479" i="32"/>
  <c r="B479" i="32"/>
  <c r="E478" i="32"/>
  <c r="D478" i="32"/>
  <c r="B478" i="32"/>
  <c r="E475" i="32"/>
  <c r="D475" i="32"/>
  <c r="B475" i="32"/>
  <c r="E477" i="32"/>
  <c r="D477" i="32"/>
  <c r="B477" i="32"/>
  <c r="E474" i="32"/>
  <c r="D474" i="32"/>
  <c r="B474" i="32"/>
  <c r="E473" i="32"/>
  <c r="D473" i="32"/>
  <c r="B473" i="32"/>
  <c r="E471" i="32"/>
  <c r="D471" i="32"/>
  <c r="B471" i="32"/>
  <c r="E439" i="32"/>
  <c r="D439" i="32"/>
  <c r="B439" i="32"/>
  <c r="E470" i="32"/>
  <c r="D470" i="32"/>
  <c r="B470" i="32"/>
  <c r="E469" i="32"/>
  <c r="D469" i="32"/>
  <c r="B469" i="32"/>
  <c r="E468" i="32"/>
  <c r="D468" i="32"/>
  <c r="B468" i="32"/>
  <c r="E464" i="32"/>
  <c r="D464" i="32"/>
  <c r="B464" i="32"/>
  <c r="E467" i="32"/>
  <c r="D467" i="32"/>
  <c r="B467" i="32"/>
  <c r="E466" i="32"/>
  <c r="D466" i="32"/>
  <c r="B466" i="32"/>
  <c r="D465" i="32"/>
  <c r="C465" i="32"/>
  <c r="E465" i="32" s="1"/>
  <c r="B465" i="32"/>
  <c r="E462" i="32"/>
  <c r="D462" i="32"/>
  <c r="B462" i="32"/>
  <c r="E463" i="32"/>
  <c r="D463" i="32"/>
  <c r="B463" i="32"/>
  <c r="E461" i="32"/>
  <c r="D461" i="32"/>
  <c r="B461" i="32"/>
  <c r="E460" i="32"/>
  <c r="D460" i="32"/>
  <c r="B460" i="32"/>
  <c r="E458" i="32"/>
  <c r="D458" i="32"/>
  <c r="B458" i="32"/>
  <c r="E459" i="32"/>
  <c r="D459" i="32"/>
  <c r="B459" i="32"/>
  <c r="D362" i="32"/>
  <c r="E362" i="32"/>
  <c r="B362" i="32"/>
  <c r="D457" i="32"/>
  <c r="C457" i="32"/>
  <c r="E457" i="32" s="1"/>
  <c r="B457" i="32"/>
  <c r="E456" i="32"/>
  <c r="D456" i="32"/>
  <c r="B456" i="32"/>
  <c r="E455" i="32"/>
  <c r="D455" i="32"/>
  <c r="B455" i="32"/>
  <c r="D454" i="32"/>
  <c r="C454" i="32"/>
  <c r="E454" i="32" s="1"/>
  <c r="B454" i="32"/>
  <c r="E453" i="32"/>
  <c r="D453" i="32"/>
  <c r="B453" i="32"/>
  <c r="D452" i="32"/>
  <c r="C452" i="32"/>
  <c r="E452" i="32" s="1"/>
  <c r="B452" i="32"/>
  <c r="D448" i="32"/>
  <c r="C448" i="32"/>
  <c r="E448" i="32" s="1"/>
  <c r="B448" i="32"/>
  <c r="D451" i="32"/>
  <c r="C451" i="32"/>
  <c r="E451" i="32" s="1"/>
  <c r="B451" i="32"/>
  <c r="D447" i="32"/>
  <c r="C447" i="32"/>
  <c r="E447" i="32" s="1"/>
  <c r="B447" i="32"/>
  <c r="E449" i="32"/>
  <c r="D449" i="32"/>
  <c r="B449" i="32"/>
  <c r="E450" i="32"/>
  <c r="D450" i="32"/>
  <c r="B450" i="32"/>
  <c r="D444" i="32"/>
  <c r="C444" i="32"/>
  <c r="E444" i="32" s="1"/>
  <c r="B444" i="32"/>
  <c r="E443" i="32"/>
  <c r="D443" i="32"/>
  <c r="B443" i="32"/>
  <c r="E445" i="32"/>
  <c r="D445" i="32"/>
  <c r="B445" i="32"/>
  <c r="D440" i="32"/>
  <c r="C440" i="32"/>
  <c r="E440" i="32" s="1"/>
  <c r="B440" i="32"/>
  <c r="E437" i="32"/>
  <c r="D437" i="32"/>
  <c r="B437" i="32"/>
  <c r="E432" i="32"/>
  <c r="D432" i="32"/>
  <c r="B432" i="32"/>
  <c r="E433" i="32"/>
  <c r="D433" i="32"/>
  <c r="B433" i="32"/>
  <c r="E435" i="32"/>
  <c r="D435" i="32"/>
  <c r="B435" i="32"/>
  <c r="E430" i="32"/>
  <c r="D430" i="32"/>
  <c r="B430" i="32"/>
  <c r="D429" i="32"/>
  <c r="C429" i="32"/>
  <c r="E429" i="32" s="1"/>
  <c r="B429" i="32"/>
  <c r="E428" i="32"/>
  <c r="D428" i="32"/>
  <c r="B428" i="32"/>
  <c r="E423" i="32"/>
  <c r="D423" i="32"/>
  <c r="B423" i="32"/>
  <c r="E425" i="32"/>
  <c r="D425" i="32"/>
  <c r="B425" i="32"/>
  <c r="E424" i="32"/>
  <c r="D424" i="32"/>
  <c r="B424" i="32"/>
  <c r="D426" i="32"/>
  <c r="C426" i="32"/>
  <c r="E426" i="32" s="1"/>
  <c r="B426" i="32"/>
  <c r="E427" i="32"/>
  <c r="D427" i="32"/>
  <c r="B427" i="32"/>
  <c r="E422" i="32"/>
  <c r="D422" i="32"/>
  <c r="B422" i="32"/>
  <c r="E421" i="32"/>
  <c r="D421" i="32"/>
  <c r="B421" i="32"/>
  <c r="E418" i="32"/>
  <c r="D418" i="32"/>
  <c r="B418" i="32"/>
  <c r="E419" i="32"/>
  <c r="D419" i="32"/>
  <c r="B419" i="32"/>
  <c r="D420" i="32"/>
  <c r="C420" i="32"/>
  <c r="E420" i="32" s="1"/>
  <c r="B420" i="32"/>
  <c r="E416" i="32"/>
  <c r="D416" i="32"/>
  <c r="B416" i="32"/>
  <c r="D412" i="32"/>
  <c r="C412" i="32"/>
  <c r="E412" i="32" s="1"/>
  <c r="B412" i="32"/>
  <c r="E417" i="32"/>
  <c r="D417" i="32"/>
  <c r="B417" i="32"/>
  <c r="E431" i="32"/>
  <c r="D431" i="32"/>
  <c r="B431" i="32"/>
  <c r="E414" i="32"/>
  <c r="D414" i="32"/>
  <c r="B414" i="32"/>
  <c r="E413" i="32"/>
  <c r="D413" i="32"/>
  <c r="B413" i="32"/>
  <c r="E411" i="32"/>
  <c r="D411" i="32"/>
  <c r="B411" i="32"/>
  <c r="E406" i="32"/>
  <c r="D406" i="32"/>
  <c r="B406" i="32"/>
  <c r="D410" i="32"/>
  <c r="C410" i="32"/>
  <c r="E410" i="32" s="1"/>
  <c r="B410" i="32"/>
  <c r="E407" i="32"/>
  <c r="D407" i="32"/>
  <c r="B407" i="32"/>
  <c r="E408" i="32"/>
  <c r="D408" i="32"/>
  <c r="B408" i="32"/>
  <c r="E404" i="32"/>
  <c r="D404" i="32"/>
  <c r="B404" i="32"/>
  <c r="D401" i="32"/>
  <c r="C401" i="32"/>
  <c r="E401" i="32" s="1"/>
  <c r="B401" i="32"/>
  <c r="E402" i="32"/>
  <c r="D402" i="32"/>
  <c r="B402" i="32"/>
  <c r="D403" i="32"/>
  <c r="C403" i="32"/>
  <c r="E403" i="32" s="1"/>
  <c r="B403" i="32"/>
  <c r="E415" i="32"/>
  <c r="D415" i="32"/>
  <c r="B415" i="32"/>
  <c r="E394" i="32"/>
  <c r="D394" i="32"/>
  <c r="B394" i="32"/>
  <c r="D441" i="32"/>
  <c r="C441" i="32"/>
  <c r="E441" i="32" s="1"/>
  <c r="B441" i="32"/>
  <c r="D393" i="32"/>
  <c r="C393" i="32"/>
  <c r="E393" i="32" s="1"/>
  <c r="B393" i="32"/>
  <c r="E392" i="32"/>
  <c r="D392" i="32"/>
  <c r="B392" i="32"/>
  <c r="D204" i="32"/>
  <c r="C204" i="32"/>
  <c r="E204" i="32" s="1"/>
  <c r="B204" i="32"/>
  <c r="D391" i="32"/>
  <c r="C391" i="32"/>
  <c r="E391" i="32" s="1"/>
  <c r="B391" i="32"/>
  <c r="E390" i="32"/>
  <c r="D390" i="32"/>
  <c r="B390" i="32"/>
  <c r="E389" i="32"/>
  <c r="D389" i="32"/>
  <c r="B389" i="32"/>
  <c r="E384" i="32"/>
  <c r="D384" i="32"/>
  <c r="B384" i="32"/>
  <c r="E388" i="32"/>
  <c r="D388" i="32"/>
  <c r="B388" i="32"/>
  <c r="E374" i="32"/>
  <c r="D374" i="32"/>
  <c r="B374" i="32"/>
  <c r="E387" i="32"/>
  <c r="D387" i="32"/>
  <c r="B387" i="32"/>
  <c r="E381" i="32"/>
  <c r="D381" i="32"/>
  <c r="B381" i="32"/>
  <c r="E382" i="32"/>
  <c r="D382" i="32"/>
  <c r="B382" i="32"/>
  <c r="D375" i="32"/>
  <c r="C375" i="32"/>
  <c r="E375" i="32" s="1"/>
  <c r="B375" i="32"/>
  <c r="E386" i="32"/>
  <c r="D386" i="32"/>
  <c r="B386" i="32"/>
  <c r="E379" i="32"/>
  <c r="D379" i="32"/>
  <c r="B379" i="32"/>
  <c r="D383" i="32"/>
  <c r="C383" i="32"/>
  <c r="E383" i="32" s="1"/>
  <c r="B383" i="32"/>
  <c r="E377" i="32"/>
  <c r="D377" i="32"/>
  <c r="B377" i="32"/>
  <c r="E376" i="32"/>
  <c r="D376" i="32"/>
  <c r="B376" i="32"/>
  <c r="D373" i="32"/>
  <c r="C373" i="32"/>
  <c r="E373" i="32" s="1"/>
  <c r="B373" i="32"/>
  <c r="D371" i="32"/>
  <c r="C371" i="32"/>
  <c r="E371" i="32" s="1"/>
  <c r="B371" i="32"/>
  <c r="D380" i="32"/>
  <c r="C380" i="32"/>
  <c r="E380" i="32" s="1"/>
  <c r="B380" i="32"/>
  <c r="D378" i="32"/>
  <c r="C378" i="32"/>
  <c r="E378" i="32" s="1"/>
  <c r="B378" i="32"/>
  <c r="E369" i="32"/>
  <c r="D369" i="32"/>
  <c r="B369" i="32"/>
  <c r="E368" i="32"/>
  <c r="D368" i="32"/>
  <c r="B368" i="32"/>
  <c r="E366" i="32"/>
  <c r="D366" i="32"/>
  <c r="B366" i="32"/>
  <c r="E365" i="32"/>
  <c r="D365" i="32"/>
  <c r="B365" i="32"/>
  <c r="E364" i="32"/>
  <c r="D364" i="32"/>
  <c r="B364" i="32"/>
  <c r="D361" i="32"/>
  <c r="C361" i="32"/>
  <c r="E361" i="32" s="1"/>
  <c r="B361" i="32"/>
  <c r="E363" i="32"/>
  <c r="D363" i="32"/>
  <c r="B363" i="32"/>
  <c r="E359" i="32"/>
  <c r="D359" i="32"/>
  <c r="B359" i="32"/>
  <c r="E356" i="32"/>
  <c r="D356" i="32"/>
  <c r="B356" i="32"/>
  <c r="E355" i="32"/>
  <c r="D355" i="32"/>
  <c r="B355" i="32"/>
  <c r="E354" i="32"/>
  <c r="D354" i="32"/>
  <c r="B354" i="32"/>
  <c r="E148" i="32"/>
  <c r="D148" i="32"/>
  <c r="B148" i="32"/>
  <c r="D357" i="32"/>
  <c r="C357" i="32"/>
  <c r="E357" i="32" s="1"/>
  <c r="B357" i="32"/>
  <c r="D358" i="32"/>
  <c r="C358" i="32"/>
  <c r="E358" i="32" s="1"/>
  <c r="B358" i="32"/>
  <c r="E353" i="32"/>
  <c r="D353" i="32"/>
  <c r="B353" i="32"/>
  <c r="D352" i="32"/>
  <c r="C352" i="32"/>
  <c r="E352" i="32" s="1"/>
  <c r="B352" i="32"/>
  <c r="D351" i="32"/>
  <c r="C351" i="32"/>
  <c r="E351" i="32" s="1"/>
  <c r="B351" i="32"/>
  <c r="E349" i="32"/>
  <c r="D349" i="32"/>
  <c r="B349" i="32"/>
  <c r="D348" i="32"/>
  <c r="C348" i="32"/>
  <c r="E348" i="32" s="1"/>
  <c r="B348" i="32"/>
  <c r="D342" i="32"/>
  <c r="C342" i="32"/>
  <c r="E342" i="32" s="1"/>
  <c r="B342" i="32"/>
  <c r="D347" i="32"/>
  <c r="C347" i="32"/>
  <c r="E347" i="32" s="1"/>
  <c r="B347" i="32"/>
  <c r="D346" i="32"/>
  <c r="C346" i="32"/>
  <c r="E346" i="32" s="1"/>
  <c r="B346" i="32"/>
  <c r="E345" i="32"/>
  <c r="D345" i="32"/>
  <c r="B345" i="32"/>
  <c r="D337" i="32"/>
  <c r="C337" i="32"/>
  <c r="E337" i="32" s="1"/>
  <c r="B337" i="32"/>
  <c r="D343" i="32"/>
  <c r="C343" i="32"/>
  <c r="E343" i="32" s="1"/>
  <c r="B343" i="32"/>
  <c r="D341" i="32"/>
  <c r="C341" i="32"/>
  <c r="E341" i="32" s="1"/>
  <c r="B341" i="32"/>
  <c r="D339" i="32"/>
  <c r="C339" i="32"/>
  <c r="E339" i="32" s="1"/>
  <c r="B339" i="32"/>
  <c r="D336" i="32"/>
  <c r="C336" i="32"/>
  <c r="E336" i="32" s="1"/>
  <c r="B336" i="32"/>
  <c r="E340" i="32"/>
  <c r="D340" i="32"/>
  <c r="B340" i="32"/>
  <c r="E295" i="32"/>
  <c r="D295" i="32"/>
  <c r="B295" i="32"/>
  <c r="E334" i="32"/>
  <c r="D334" i="32"/>
  <c r="B334" i="32"/>
  <c r="D335" i="32"/>
  <c r="C335" i="32"/>
  <c r="E335" i="32" s="1"/>
  <c r="B335" i="32"/>
  <c r="E327" i="32"/>
  <c r="D327" i="32"/>
  <c r="B327" i="32"/>
  <c r="E330" i="32"/>
  <c r="D330" i="32"/>
  <c r="B330" i="32"/>
  <c r="E333" i="32"/>
  <c r="D333" i="32"/>
  <c r="B333" i="32"/>
  <c r="E324" i="32"/>
  <c r="D324" i="32"/>
  <c r="B324" i="32"/>
  <c r="E331" i="32"/>
  <c r="D331" i="32"/>
  <c r="B331" i="32"/>
  <c r="E332" i="32"/>
  <c r="D332" i="32"/>
  <c r="B332" i="32"/>
  <c r="E326" i="32"/>
  <c r="D326" i="32"/>
  <c r="B326" i="32"/>
  <c r="E325" i="32"/>
  <c r="D325" i="32"/>
  <c r="B325" i="32"/>
  <c r="E322" i="32"/>
  <c r="D322" i="32"/>
  <c r="B322" i="32"/>
  <c r="D328" i="32"/>
  <c r="C328" i="32"/>
  <c r="E328" i="32" s="1"/>
  <c r="B328" i="32"/>
  <c r="E320" i="32"/>
  <c r="D320" i="32"/>
  <c r="B320" i="32"/>
  <c r="D323" i="32"/>
  <c r="C323" i="32"/>
  <c r="E323" i="32" s="1"/>
  <c r="B323" i="32"/>
  <c r="D321" i="32"/>
  <c r="C321" i="32"/>
  <c r="E321" i="32" s="1"/>
  <c r="B321" i="32"/>
  <c r="D319" i="32"/>
  <c r="C319" i="32"/>
  <c r="E319" i="32" s="1"/>
  <c r="B319" i="32"/>
  <c r="D350" i="32"/>
  <c r="C350" i="32"/>
  <c r="E350" i="32" s="1"/>
  <c r="B350" i="32"/>
  <c r="E313" i="32"/>
  <c r="D313" i="32"/>
  <c r="B313" i="32"/>
  <c r="E314" i="32"/>
  <c r="D314" i="32"/>
  <c r="B314" i="32"/>
  <c r="D317" i="32"/>
  <c r="C317" i="32"/>
  <c r="E317" i="32" s="1"/>
  <c r="B317" i="32"/>
  <c r="E318" i="32"/>
  <c r="D318" i="32"/>
  <c r="B318" i="32"/>
  <c r="D316" i="32"/>
  <c r="C316" i="32"/>
  <c r="E316" i="32" s="1"/>
  <c r="B316" i="32"/>
  <c r="E338" i="32"/>
  <c r="D338" i="32"/>
  <c r="B338" i="32"/>
  <c r="E312" i="32"/>
  <c r="D312" i="32"/>
  <c r="B312" i="32"/>
  <c r="E311" i="32"/>
  <c r="D311" i="32"/>
  <c r="B311" i="32"/>
  <c r="D308" i="32"/>
  <c r="C308" i="32"/>
  <c r="E308" i="32" s="1"/>
  <c r="B308" i="32"/>
  <c r="E310" i="32"/>
  <c r="D310" i="32"/>
  <c r="B310" i="32"/>
  <c r="E309" i="32"/>
  <c r="D309" i="32"/>
  <c r="B309" i="32"/>
  <c r="D307" i="32"/>
  <c r="C307" i="32"/>
  <c r="E307" i="32" s="1"/>
  <c r="B307" i="32"/>
  <c r="E306" i="32"/>
  <c r="D306" i="32"/>
  <c r="B306" i="32"/>
  <c r="E303" i="32"/>
  <c r="D303" i="32"/>
  <c r="B303" i="32"/>
  <c r="D304" i="32"/>
  <c r="C304" i="32"/>
  <c r="E304" i="32" s="1"/>
  <c r="B304" i="32"/>
  <c r="E301" i="32"/>
  <c r="D301" i="32"/>
  <c r="B301" i="32"/>
  <c r="E302" i="32"/>
  <c r="D302" i="32"/>
  <c r="B302" i="32"/>
  <c r="D305" i="32"/>
  <c r="C305" i="32"/>
  <c r="E305" i="32" s="1"/>
  <c r="B305" i="32"/>
  <c r="D298" i="32"/>
  <c r="C298" i="32"/>
  <c r="E298" i="32" s="1"/>
  <c r="B298" i="32"/>
  <c r="D299" i="32"/>
  <c r="C299" i="32"/>
  <c r="E299" i="32" s="1"/>
  <c r="B299" i="32"/>
  <c r="D300" i="32"/>
  <c r="C300" i="32"/>
  <c r="E300" i="32" s="1"/>
  <c r="B300" i="32"/>
  <c r="D297" i="32"/>
  <c r="C297" i="32"/>
  <c r="E297" i="32" s="1"/>
  <c r="B297" i="32"/>
  <c r="E296" i="32"/>
  <c r="D296" i="32"/>
  <c r="B296" i="32"/>
  <c r="D294" i="32"/>
  <c r="C294" i="32"/>
  <c r="E294" i="32" s="1"/>
  <c r="B294" i="32"/>
  <c r="E292" i="32"/>
  <c r="D292" i="32"/>
  <c r="B292" i="32"/>
  <c r="D291" i="32"/>
  <c r="C291" i="32"/>
  <c r="E291" i="32" s="1"/>
  <c r="B291" i="32"/>
  <c r="E287" i="32"/>
  <c r="D287" i="32"/>
  <c r="B287" i="32"/>
  <c r="D290" i="32"/>
  <c r="C290" i="32"/>
  <c r="E290" i="32" s="1"/>
  <c r="B290" i="32"/>
  <c r="E285" i="32"/>
  <c r="D285" i="32"/>
  <c r="B285" i="32"/>
  <c r="D288" i="32"/>
  <c r="C288" i="32"/>
  <c r="E288" i="32" s="1"/>
  <c r="B288" i="32"/>
  <c r="E289" i="32"/>
  <c r="D289" i="32"/>
  <c r="B289" i="32"/>
  <c r="E286" i="32"/>
  <c r="D286" i="32"/>
  <c r="B286" i="32"/>
  <c r="E280" i="32"/>
  <c r="D280" i="32"/>
  <c r="B280" i="32"/>
  <c r="D284" i="32"/>
  <c r="C284" i="32"/>
  <c r="E284" i="32" s="1"/>
  <c r="B284" i="32"/>
  <c r="D283" i="32"/>
  <c r="C283" i="32"/>
  <c r="E283" i="32" s="1"/>
  <c r="B283" i="32"/>
  <c r="D281" i="32"/>
  <c r="C281" i="32"/>
  <c r="E281" i="32" s="1"/>
  <c r="B281" i="32"/>
  <c r="D282" i="32"/>
  <c r="C282" i="32"/>
  <c r="E282" i="32" s="1"/>
  <c r="B282" i="32"/>
  <c r="D277" i="32"/>
  <c r="C277" i="32"/>
  <c r="E277" i="32" s="1"/>
  <c r="B277" i="32"/>
  <c r="E276" i="32"/>
  <c r="D276" i="32"/>
  <c r="B276" i="32"/>
  <c r="D273" i="32"/>
  <c r="C273" i="32"/>
  <c r="E273" i="32" s="1"/>
  <c r="B273" i="32"/>
  <c r="E278" i="32"/>
  <c r="D278" i="32"/>
  <c r="B278" i="32"/>
  <c r="E275" i="32"/>
  <c r="D275" i="32"/>
  <c r="B275" i="32"/>
  <c r="E274" i="32"/>
  <c r="D274" i="32"/>
  <c r="B274" i="32"/>
  <c r="E267" i="32"/>
  <c r="D267" i="32"/>
  <c r="B267" i="32"/>
  <c r="E269" i="32"/>
  <c r="D269" i="32"/>
  <c r="B269" i="32"/>
  <c r="E271" i="32"/>
  <c r="D271" i="32"/>
  <c r="B271" i="32"/>
  <c r="D272" i="32"/>
  <c r="C272" i="32"/>
  <c r="E272" i="32" s="1"/>
  <c r="B272" i="32"/>
  <c r="D270" i="32"/>
  <c r="C270" i="32"/>
  <c r="E270" i="32" s="1"/>
  <c r="B270" i="32"/>
  <c r="D268" i="32"/>
  <c r="C268" i="32"/>
  <c r="E268" i="32" s="1"/>
  <c r="B268" i="32"/>
  <c r="E266" i="32"/>
  <c r="D266" i="32"/>
  <c r="B266" i="32"/>
  <c r="D265" i="32"/>
  <c r="C265" i="32"/>
  <c r="E265" i="32" s="1"/>
  <c r="B265" i="32"/>
  <c r="E264" i="32"/>
  <c r="D264" i="32"/>
  <c r="B264" i="32"/>
  <c r="D263" i="32"/>
  <c r="C263" i="32"/>
  <c r="E263" i="32" s="1"/>
  <c r="B263" i="32"/>
  <c r="E257" i="32"/>
  <c r="D257" i="32"/>
  <c r="B257" i="32"/>
  <c r="D262" i="32"/>
  <c r="C262" i="32"/>
  <c r="E262" i="32" s="1"/>
  <c r="B262" i="32"/>
  <c r="D260" i="32"/>
  <c r="C260" i="32"/>
  <c r="E260" i="32" s="1"/>
  <c r="B260" i="32"/>
  <c r="E261" i="32"/>
  <c r="D261" i="32"/>
  <c r="B261" i="32"/>
  <c r="E258" i="32"/>
  <c r="D258" i="32"/>
  <c r="B258" i="32"/>
  <c r="D249" i="32"/>
  <c r="C249" i="32"/>
  <c r="E249" i="32" s="1"/>
  <c r="B249" i="32"/>
  <c r="E256" i="32"/>
  <c r="D256" i="32"/>
  <c r="B256" i="32"/>
  <c r="E255" i="32"/>
  <c r="D255" i="32"/>
  <c r="B255" i="32"/>
  <c r="E254" i="32"/>
  <c r="D254" i="32"/>
  <c r="B254" i="32"/>
  <c r="E248" i="32"/>
  <c r="D248" i="32"/>
  <c r="B248" i="32"/>
  <c r="D252" i="32"/>
  <c r="C252" i="32"/>
  <c r="E252" i="32" s="1"/>
  <c r="B252" i="32"/>
  <c r="E250" i="32"/>
  <c r="D250" i="32"/>
  <c r="B250" i="32"/>
  <c r="E251" i="32"/>
  <c r="D251" i="32"/>
  <c r="B251" i="32"/>
  <c r="E241" i="32"/>
  <c r="D241" i="32"/>
  <c r="B241" i="32"/>
  <c r="E247" i="32"/>
  <c r="D247" i="32"/>
  <c r="B247" i="32"/>
  <c r="E242" i="32"/>
  <c r="D242" i="32"/>
  <c r="B242" i="32"/>
  <c r="D244" i="32"/>
  <c r="C244" i="32"/>
  <c r="E244" i="32" s="1"/>
  <c r="B244" i="32"/>
  <c r="D245" i="32"/>
  <c r="C245" i="32"/>
  <c r="E245" i="32" s="1"/>
  <c r="B245" i="32"/>
  <c r="E253" i="32"/>
  <c r="D253" i="32"/>
  <c r="B253" i="32"/>
  <c r="D240" i="32"/>
  <c r="C240" i="32"/>
  <c r="E240" i="32" s="1"/>
  <c r="B240" i="32"/>
  <c r="E236" i="32"/>
  <c r="D236" i="32"/>
  <c r="B236" i="32"/>
  <c r="D239" i="32"/>
  <c r="C239" i="32"/>
  <c r="E239" i="32" s="1"/>
  <c r="B239" i="32"/>
  <c r="D237" i="32"/>
  <c r="C237" i="32"/>
  <c r="E237" i="32" s="1"/>
  <c r="B237" i="32"/>
  <c r="D231" i="32"/>
  <c r="C231" i="32"/>
  <c r="E231" i="32" s="1"/>
  <c r="B231" i="32"/>
  <c r="D238" i="32"/>
  <c r="C238" i="32"/>
  <c r="E238" i="32" s="1"/>
  <c r="B238" i="32"/>
  <c r="E234" i="32"/>
  <c r="D234" i="32"/>
  <c r="B234" i="32"/>
  <c r="E227" i="32"/>
  <c r="D227" i="32"/>
  <c r="B227" i="32"/>
  <c r="E235" i="32"/>
  <c r="D235" i="32"/>
  <c r="B235" i="32"/>
  <c r="E233" i="32"/>
  <c r="D233" i="32"/>
  <c r="B233" i="32"/>
  <c r="E232" i="32"/>
  <c r="D232" i="32"/>
  <c r="B232" i="32"/>
  <c r="E225" i="32"/>
  <c r="D225" i="32"/>
  <c r="B225" i="32"/>
  <c r="E228" i="32"/>
  <c r="D228" i="32"/>
  <c r="B228" i="32"/>
  <c r="D229" i="32"/>
  <c r="C229" i="32"/>
  <c r="E229" i="32" s="1"/>
  <c r="B229" i="32"/>
  <c r="E230" i="32"/>
  <c r="D230" i="32"/>
  <c r="B230" i="32"/>
  <c r="E226" i="32"/>
  <c r="D226" i="32"/>
  <c r="B226" i="32"/>
  <c r="E221" i="32"/>
  <c r="D221" i="32"/>
  <c r="B221" i="32"/>
  <c r="E224" i="32"/>
  <c r="D224" i="32"/>
  <c r="B224" i="32"/>
  <c r="E222" i="32"/>
  <c r="D222" i="32"/>
  <c r="B222" i="32"/>
  <c r="D223" i="32"/>
  <c r="C223" i="32"/>
  <c r="E223" i="32" s="1"/>
  <c r="B223" i="32"/>
  <c r="D218" i="32"/>
  <c r="C218" i="32"/>
  <c r="E218" i="32" s="1"/>
  <c r="B218" i="32"/>
  <c r="E220" i="32"/>
  <c r="D220" i="32"/>
  <c r="B220" i="32"/>
  <c r="E217" i="32"/>
  <c r="D217" i="32"/>
  <c r="B217" i="32"/>
  <c r="D219" i="32"/>
  <c r="C219" i="32"/>
  <c r="E219" i="32" s="1"/>
  <c r="B219" i="32"/>
  <c r="D216" i="32"/>
  <c r="C216" i="32"/>
  <c r="E216" i="32" s="1"/>
  <c r="B216" i="32"/>
  <c r="D215" i="32"/>
  <c r="C215" i="32"/>
  <c r="E215" i="32" s="1"/>
  <c r="B215" i="32"/>
  <c r="D212" i="32"/>
  <c r="C212" i="32"/>
  <c r="E212" i="32" s="1"/>
  <c r="B212" i="32"/>
  <c r="E211" i="32"/>
  <c r="D211" i="32"/>
  <c r="B211" i="32"/>
  <c r="E207" i="32"/>
  <c r="D207" i="32"/>
  <c r="B207" i="32"/>
  <c r="E210" i="32"/>
  <c r="D210" i="32"/>
  <c r="B210" i="32"/>
  <c r="D246" i="32"/>
  <c r="C246" i="32"/>
  <c r="E246" i="32" s="1"/>
  <c r="B246" i="32"/>
  <c r="D209" i="32"/>
  <c r="C209" i="32"/>
  <c r="E209" i="32" s="1"/>
  <c r="B209" i="32"/>
  <c r="D206" i="32"/>
  <c r="C206" i="32"/>
  <c r="E206" i="32" s="1"/>
  <c r="B206" i="32"/>
  <c r="E205" i="32"/>
  <c r="D205" i="32"/>
  <c r="B205" i="32"/>
  <c r="E198" i="32"/>
  <c r="D198" i="32"/>
  <c r="B198" i="32"/>
  <c r="D201" i="32"/>
  <c r="C201" i="32"/>
  <c r="E201" i="32" s="1"/>
  <c r="B201" i="32"/>
  <c r="E200" i="32"/>
  <c r="D200" i="32"/>
  <c r="B200" i="32"/>
  <c r="E195" i="32"/>
  <c r="D195" i="32"/>
  <c r="B195" i="32"/>
  <c r="E199" i="32"/>
  <c r="D199" i="32"/>
  <c r="B199" i="32"/>
  <c r="E191" i="32"/>
  <c r="D191" i="32"/>
  <c r="B191" i="32"/>
  <c r="E194" i="32"/>
  <c r="D194" i="32"/>
  <c r="B194" i="32"/>
  <c r="E193" i="32"/>
  <c r="D193" i="32"/>
  <c r="B193" i="32"/>
  <c r="E197" i="32"/>
  <c r="D197" i="32"/>
  <c r="B197" i="32"/>
  <c r="E196" i="32"/>
  <c r="D196" i="32"/>
  <c r="B196" i="32"/>
  <c r="E190" i="32"/>
  <c r="D190" i="32"/>
  <c r="B190" i="32"/>
  <c r="E192" i="32"/>
  <c r="D192" i="32"/>
  <c r="B192" i="32"/>
  <c r="D213" i="32"/>
  <c r="C213" i="32"/>
  <c r="E213" i="32" s="1"/>
  <c r="B213" i="32"/>
  <c r="E183" i="32"/>
  <c r="D183" i="32"/>
  <c r="B183" i="32"/>
  <c r="E185" i="32"/>
  <c r="D185" i="32"/>
  <c r="B185" i="32"/>
  <c r="E187" i="32"/>
  <c r="D187" i="32"/>
  <c r="B187" i="32"/>
  <c r="E188" i="32"/>
  <c r="D188" i="32"/>
  <c r="B188" i="32"/>
  <c r="D189" i="32"/>
  <c r="C189" i="32"/>
  <c r="E189" i="32" s="1"/>
  <c r="B189" i="32"/>
  <c r="E186" i="32"/>
  <c r="D186" i="32"/>
  <c r="B186" i="32"/>
  <c r="E182" i="32"/>
  <c r="D182" i="32"/>
  <c r="B182" i="32"/>
  <c r="D184" i="32"/>
  <c r="C184" i="32"/>
  <c r="E184" i="32" s="1"/>
  <c r="B184" i="32"/>
  <c r="E177" i="32"/>
  <c r="D177" i="32"/>
  <c r="B177" i="32"/>
  <c r="D181" i="32"/>
  <c r="C181" i="32"/>
  <c r="E181" i="32" s="1"/>
  <c r="B181" i="32"/>
  <c r="E173" i="32"/>
  <c r="D173" i="32"/>
  <c r="B173" i="32"/>
  <c r="E175" i="32"/>
  <c r="D175" i="32"/>
  <c r="B175" i="32"/>
  <c r="D180" i="32"/>
  <c r="C180" i="32"/>
  <c r="E180" i="32" s="1"/>
  <c r="B180" i="32"/>
  <c r="D179" i="32"/>
  <c r="C179" i="32"/>
  <c r="E179" i="32" s="1"/>
  <c r="B179" i="32"/>
  <c r="E172" i="32"/>
  <c r="D172" i="32"/>
  <c r="B172" i="32"/>
  <c r="D176" i="32"/>
  <c r="C176" i="32"/>
  <c r="E176" i="32" s="1"/>
  <c r="B176" i="32"/>
  <c r="D174" i="32"/>
  <c r="C174" i="32"/>
  <c r="E174" i="32" s="1"/>
  <c r="B174" i="32"/>
  <c r="E168" i="32"/>
  <c r="D168" i="32"/>
  <c r="B168" i="32"/>
  <c r="D171" i="32"/>
  <c r="C171" i="32"/>
  <c r="E171" i="32" s="1"/>
  <c r="B171" i="32"/>
  <c r="E170" i="32"/>
  <c r="D170" i="32"/>
  <c r="B170" i="32"/>
  <c r="D167" i="32"/>
  <c r="C167" i="32"/>
  <c r="E167" i="32" s="1"/>
  <c r="B167" i="32"/>
  <c r="D169" i="32"/>
  <c r="C169" i="32"/>
  <c r="E169" i="32" s="1"/>
  <c r="B169" i="32"/>
  <c r="D166" i="32"/>
  <c r="C166" i="32"/>
  <c r="E166" i="32" s="1"/>
  <c r="B166" i="32"/>
  <c r="E162" i="32"/>
  <c r="D162" i="32"/>
  <c r="B162" i="32"/>
  <c r="E165" i="32"/>
  <c r="D165" i="32"/>
  <c r="B165" i="32"/>
  <c r="E164" i="32"/>
  <c r="D164" i="32"/>
  <c r="B164" i="32"/>
  <c r="E161" i="32"/>
  <c r="D161" i="32"/>
  <c r="B161" i="32"/>
  <c r="E329" i="32"/>
  <c r="D329" i="32"/>
  <c r="B329" i="32"/>
  <c r="E163" i="32"/>
  <c r="D163" i="32"/>
  <c r="B163" i="32"/>
  <c r="E214" i="32"/>
  <c r="D214" i="32"/>
  <c r="B214" i="32"/>
  <c r="E160" i="32"/>
  <c r="D160" i="32"/>
  <c r="B160" i="32"/>
  <c r="D159" i="32"/>
  <c r="C159" i="32"/>
  <c r="E159" i="32" s="1"/>
  <c r="B159" i="32"/>
  <c r="D178" i="32"/>
  <c r="C178" i="32"/>
  <c r="E178" i="32" s="1"/>
  <c r="B178" i="32"/>
  <c r="D157" i="32"/>
  <c r="C157" i="32"/>
  <c r="E157" i="32" s="1"/>
  <c r="B157" i="32"/>
  <c r="D158" i="32"/>
  <c r="C158" i="32"/>
  <c r="E158" i="32" s="1"/>
  <c r="B158" i="32"/>
  <c r="E155" i="32"/>
  <c r="D155" i="32"/>
  <c r="B155" i="32"/>
  <c r="D152" i="32"/>
  <c r="C152" i="32"/>
  <c r="E152" i="32" s="1"/>
  <c r="B152" i="32"/>
  <c r="D151" i="32"/>
  <c r="C151" i="32"/>
  <c r="E151" i="32" s="1"/>
  <c r="B151" i="32"/>
  <c r="D154" i="32"/>
  <c r="C154" i="32"/>
  <c r="E154" i="32" s="1"/>
  <c r="B154" i="32"/>
  <c r="D153" i="32"/>
  <c r="C153" i="32"/>
  <c r="E153" i="32" s="1"/>
  <c r="B153" i="32"/>
  <c r="E150" i="32"/>
  <c r="D150" i="32"/>
  <c r="B150" i="32"/>
  <c r="E147" i="32"/>
  <c r="D147" i="32"/>
  <c r="B147" i="32"/>
  <c r="E149" i="32"/>
  <c r="D149" i="32"/>
  <c r="B149" i="32"/>
  <c r="E146" i="32"/>
  <c r="D146" i="32"/>
  <c r="B146" i="32"/>
  <c r="E139" i="32"/>
  <c r="D139" i="32"/>
  <c r="B139" i="32"/>
  <c r="E142" i="32"/>
  <c r="D142" i="32"/>
  <c r="B142" i="32"/>
  <c r="E141" i="32"/>
  <c r="D141" i="32"/>
  <c r="B141" i="32"/>
  <c r="D144" i="32"/>
  <c r="C144" i="32"/>
  <c r="E144" i="32" s="1"/>
  <c r="B144" i="32"/>
  <c r="E143" i="32"/>
  <c r="D143" i="32"/>
  <c r="B143" i="32"/>
  <c r="E145" i="32"/>
  <c r="D145" i="32"/>
  <c r="B145" i="32"/>
  <c r="D138" i="32"/>
  <c r="C138" i="32"/>
  <c r="E138" i="32" s="1"/>
  <c r="B138" i="32"/>
  <c r="E136" i="32"/>
  <c r="D136" i="32"/>
  <c r="B136" i="32"/>
  <c r="E137" i="32"/>
  <c r="D137" i="32"/>
  <c r="B137" i="32"/>
  <c r="D134" i="32"/>
  <c r="C134" i="32"/>
  <c r="E134" i="32" s="1"/>
  <c r="B134" i="32"/>
  <c r="E140" i="32"/>
  <c r="D140" i="32"/>
  <c r="B140" i="32"/>
  <c r="E130" i="32"/>
  <c r="D130" i="32"/>
  <c r="B130" i="32"/>
  <c r="D135" i="32"/>
  <c r="C135" i="32"/>
  <c r="E135" i="32" s="1"/>
  <c r="B135" i="32"/>
  <c r="E133" i="32"/>
  <c r="D133" i="32"/>
  <c r="B133" i="32"/>
  <c r="D360" i="32"/>
  <c r="C360" i="32"/>
  <c r="E360" i="32" s="1"/>
  <c r="B360" i="32"/>
  <c r="D132" i="32"/>
  <c r="C132" i="32"/>
  <c r="E132" i="32" s="1"/>
  <c r="B132" i="32"/>
  <c r="E131" i="32"/>
  <c r="D131" i="32"/>
  <c r="B131" i="32"/>
  <c r="D129" i="32"/>
  <c r="C129" i="32"/>
  <c r="E129" i="32" s="1"/>
  <c r="B129" i="32"/>
  <c r="E124" i="32"/>
  <c r="D124" i="32"/>
  <c r="B124" i="32"/>
  <c r="D128" i="32"/>
  <c r="C128" i="32"/>
  <c r="E128" i="32" s="1"/>
  <c r="B128" i="32"/>
  <c r="E127" i="32"/>
  <c r="D127" i="32"/>
  <c r="B127" i="32"/>
  <c r="E126" i="32"/>
  <c r="D126" i="32"/>
  <c r="B126" i="32"/>
  <c r="D125" i="32"/>
  <c r="C125" i="32"/>
  <c r="E125" i="32" s="1"/>
  <c r="B125" i="32"/>
  <c r="D123" i="32"/>
  <c r="C123" i="32"/>
  <c r="E123" i="32" s="1"/>
  <c r="B123" i="32"/>
  <c r="E120" i="32"/>
  <c r="D120" i="32"/>
  <c r="B120" i="32"/>
  <c r="D122" i="32"/>
  <c r="C122" i="32"/>
  <c r="E122" i="32" s="1"/>
  <c r="B122" i="32"/>
  <c r="D121" i="32"/>
  <c r="C121" i="32"/>
  <c r="E121" i="32" s="1"/>
  <c r="B121" i="32"/>
  <c r="D116" i="32"/>
  <c r="C116" i="32"/>
  <c r="E116" i="32" s="1"/>
  <c r="B116" i="32"/>
  <c r="E114" i="32"/>
  <c r="D114" i="32"/>
  <c r="B114" i="32"/>
  <c r="D107" i="32"/>
  <c r="C107" i="32"/>
  <c r="E107" i="32" s="1"/>
  <c r="B107" i="32"/>
  <c r="E118" i="32"/>
  <c r="D118" i="32"/>
  <c r="B118" i="32"/>
  <c r="D115" i="32"/>
  <c r="C115" i="32"/>
  <c r="E115" i="32" s="1"/>
  <c r="B115" i="32"/>
  <c r="E112" i="32"/>
  <c r="D112" i="32"/>
  <c r="B112" i="32"/>
  <c r="D113" i="32"/>
  <c r="C113" i="32"/>
  <c r="E113" i="32" s="1"/>
  <c r="B113" i="32"/>
  <c r="E110" i="32"/>
  <c r="D110" i="32"/>
  <c r="B110" i="32"/>
  <c r="E111" i="32"/>
  <c r="D111" i="32"/>
  <c r="B111" i="32"/>
  <c r="D65" i="32"/>
  <c r="C65" i="32"/>
  <c r="E65" i="32" s="1"/>
  <c r="B65" i="32"/>
  <c r="D109" i="32"/>
  <c r="C109" i="32"/>
  <c r="E109" i="32" s="1"/>
  <c r="B109" i="32"/>
  <c r="D104" i="32"/>
  <c r="C104" i="32"/>
  <c r="E104" i="32" s="1"/>
  <c r="B104" i="32"/>
  <c r="D108" i="32"/>
  <c r="C108" i="32"/>
  <c r="E108" i="32" s="1"/>
  <c r="B108" i="32"/>
  <c r="D106" i="32"/>
  <c r="C106" i="32"/>
  <c r="E106" i="32" s="1"/>
  <c r="B106" i="32"/>
  <c r="D105" i="32"/>
  <c r="C105" i="32"/>
  <c r="E105" i="32" s="1"/>
  <c r="B105" i="32"/>
  <c r="D102" i="32"/>
  <c r="C102" i="32"/>
  <c r="E102" i="32" s="1"/>
  <c r="B102" i="32"/>
  <c r="E103" i="32"/>
  <c r="D103" i="32"/>
  <c r="B103" i="32"/>
  <c r="E279" i="32"/>
  <c r="D279" i="32"/>
  <c r="B279" i="32"/>
  <c r="E101" i="32"/>
  <c r="D101" i="32"/>
  <c r="B101" i="32"/>
  <c r="D97" i="32"/>
  <c r="C97" i="32"/>
  <c r="E97" i="32" s="1"/>
  <c r="B97" i="32"/>
  <c r="E100" i="32"/>
  <c r="D100" i="32"/>
  <c r="B100" i="32"/>
  <c r="D98" i="32"/>
  <c r="C98" i="32"/>
  <c r="E98" i="32" s="1"/>
  <c r="B98" i="32"/>
  <c r="D99" i="32"/>
  <c r="C99" i="32"/>
  <c r="E99" i="32" s="1"/>
  <c r="B99" i="32"/>
  <c r="D60" i="32"/>
  <c r="C60" i="32"/>
  <c r="E60" i="32" s="1"/>
  <c r="B60" i="32"/>
  <c r="D119" i="32"/>
  <c r="C119" i="32"/>
  <c r="E119" i="32" s="1"/>
  <c r="B119" i="32"/>
  <c r="E96" i="32"/>
  <c r="D96" i="32"/>
  <c r="B96" i="32"/>
  <c r="D95" i="32"/>
  <c r="C95" i="32"/>
  <c r="E95" i="32" s="1"/>
  <c r="B95" i="32"/>
  <c r="E92" i="32"/>
  <c r="D92" i="32"/>
  <c r="B92" i="32"/>
  <c r="D156" i="32"/>
  <c r="C156" i="32"/>
  <c r="E156" i="32" s="1"/>
  <c r="B156" i="32"/>
  <c r="D94" i="32"/>
  <c r="C94" i="32"/>
  <c r="E94" i="32" s="1"/>
  <c r="B94" i="32"/>
  <c r="E90" i="32"/>
  <c r="D90" i="32"/>
  <c r="B90" i="32"/>
  <c r="D88" i="32"/>
  <c r="C88" i="32"/>
  <c r="E88" i="32" s="1"/>
  <c r="B88" i="32"/>
  <c r="D89" i="32"/>
  <c r="C89" i="32"/>
  <c r="E89" i="32" s="1"/>
  <c r="B89" i="32"/>
  <c r="E93" i="32"/>
  <c r="D93" i="32"/>
  <c r="B93" i="32"/>
  <c r="D87" i="32"/>
  <c r="C87" i="32"/>
  <c r="E87" i="32" s="1"/>
  <c r="B87" i="32"/>
  <c r="E86" i="32"/>
  <c r="D86" i="32"/>
  <c r="B86" i="32"/>
  <c r="E83" i="32"/>
  <c r="D83" i="32"/>
  <c r="B83" i="32"/>
  <c r="E82" i="32"/>
  <c r="D82" i="32"/>
  <c r="B82" i="32"/>
  <c r="D84" i="32"/>
  <c r="C84" i="32"/>
  <c r="E84" i="32" s="1"/>
  <c r="B84" i="32"/>
  <c r="D91" i="32"/>
  <c r="C91" i="32"/>
  <c r="E91" i="32" s="1"/>
  <c r="B91" i="32"/>
  <c r="E79" i="32"/>
  <c r="D79" i="32"/>
  <c r="B79" i="32"/>
  <c r="E80" i="32"/>
  <c r="D80" i="32"/>
  <c r="B80" i="32"/>
  <c r="E81" i="32"/>
  <c r="D81" i="32"/>
  <c r="B81" i="32"/>
  <c r="E76" i="32"/>
  <c r="D76" i="32"/>
  <c r="B76" i="32"/>
  <c r="E71" i="32"/>
  <c r="D71" i="32"/>
  <c r="B71" i="32"/>
  <c r="D77" i="32"/>
  <c r="C77" i="32"/>
  <c r="E77" i="32" s="1"/>
  <c r="B77" i="32"/>
  <c r="E85" i="32"/>
  <c r="D85" i="32"/>
  <c r="C85" i="32"/>
  <c r="B85" i="32"/>
  <c r="D73" i="32"/>
  <c r="C73" i="32"/>
  <c r="E73" i="32" s="1"/>
  <c r="B73" i="32"/>
  <c r="E78" i="32"/>
  <c r="D78" i="32"/>
  <c r="C78" i="32"/>
  <c r="B78" i="32"/>
  <c r="E75" i="32"/>
  <c r="D75" i="32"/>
  <c r="B75" i="32"/>
  <c r="E74" i="32"/>
  <c r="D74" i="32"/>
  <c r="B74" i="32"/>
  <c r="D72" i="32"/>
  <c r="C72" i="32"/>
  <c r="E72" i="32" s="1"/>
  <c r="B72" i="32"/>
  <c r="E70" i="32"/>
  <c r="D70" i="32"/>
  <c r="B70" i="32"/>
  <c r="E69" i="32"/>
  <c r="D69" i="32"/>
  <c r="B69" i="32"/>
  <c r="D67" i="32"/>
  <c r="C67" i="32"/>
  <c r="E67" i="32" s="1"/>
  <c r="B67" i="32"/>
  <c r="E68" i="32"/>
  <c r="D68" i="32"/>
  <c r="B68" i="32"/>
  <c r="D66" i="32"/>
  <c r="C66" i="32"/>
  <c r="E66" i="32" s="1"/>
  <c r="B66" i="32"/>
  <c r="E64" i="32"/>
  <c r="D64" i="32"/>
  <c r="B64" i="32"/>
  <c r="E53" i="32"/>
  <c r="D53" i="32"/>
  <c r="B53" i="32"/>
  <c r="E63" i="32"/>
  <c r="D63" i="32"/>
  <c r="B63" i="32"/>
  <c r="D62" i="32"/>
  <c r="C62" i="32"/>
  <c r="E62" i="32" s="1"/>
  <c r="B62" i="32"/>
  <c r="E61" i="32"/>
  <c r="D61" i="32"/>
  <c r="B61" i="32"/>
  <c r="E59" i="32"/>
  <c r="D59" i="32"/>
  <c r="B59" i="32"/>
  <c r="D57" i="32"/>
  <c r="C57" i="32"/>
  <c r="E57" i="32" s="1"/>
  <c r="B57" i="32"/>
  <c r="E55" i="32"/>
  <c r="D55" i="32"/>
  <c r="B55" i="32"/>
  <c r="D56" i="32"/>
  <c r="C56" i="32"/>
  <c r="E56" i="32" s="1"/>
  <c r="B56" i="32"/>
  <c r="D54" i="32"/>
  <c r="C54" i="32"/>
  <c r="E54" i="32" s="1"/>
  <c r="B54" i="32"/>
  <c r="D52" i="32"/>
  <c r="C52" i="32"/>
  <c r="E52" i="32" s="1"/>
  <c r="B52" i="32"/>
  <c r="E51" i="32"/>
  <c r="D51" i="32"/>
  <c r="B51" i="32"/>
  <c r="D50" i="32"/>
  <c r="C50" i="32"/>
  <c r="E50" i="32" s="1"/>
  <c r="B50" i="32"/>
  <c r="E48" i="32"/>
  <c r="D48" i="32"/>
  <c r="B48" i="32"/>
  <c r="E47" i="32"/>
  <c r="D47" i="32"/>
  <c r="B47" i="32"/>
  <c r="E49" i="32"/>
  <c r="D49" i="32"/>
  <c r="B49" i="32"/>
  <c r="E45" i="32"/>
  <c r="D45" i="32"/>
  <c r="B45" i="32"/>
  <c r="E44" i="32"/>
  <c r="D44" i="32"/>
  <c r="B44" i="32"/>
  <c r="E43" i="32"/>
  <c r="D43" i="32"/>
  <c r="B43" i="32"/>
  <c r="E41" i="32"/>
  <c r="D41" i="32"/>
  <c r="B41" i="32"/>
  <c r="D37" i="32"/>
  <c r="C37" i="32"/>
  <c r="E37" i="32" s="1"/>
  <c r="B37" i="32"/>
  <c r="E42" i="32"/>
  <c r="D42" i="32"/>
  <c r="B42" i="32"/>
  <c r="D40" i="32"/>
  <c r="C40" i="32"/>
  <c r="E40" i="32" s="1"/>
  <c r="B40" i="32"/>
  <c r="D39" i="32"/>
  <c r="C39" i="32"/>
  <c r="E39" i="32" s="1"/>
  <c r="B39" i="32"/>
  <c r="D38" i="32"/>
  <c r="C38" i="32"/>
  <c r="E38" i="32" s="1"/>
  <c r="B38" i="32"/>
  <c r="E29" i="32"/>
  <c r="D29" i="32"/>
  <c r="B29" i="32"/>
  <c r="E36" i="32"/>
  <c r="D36" i="32"/>
  <c r="B36" i="32"/>
  <c r="E35" i="32"/>
  <c r="D35" i="32"/>
  <c r="B35" i="32"/>
  <c r="D34" i="32"/>
  <c r="C34" i="32"/>
  <c r="E34" i="32" s="1"/>
  <c r="B34" i="32"/>
  <c r="D33" i="32"/>
  <c r="C33" i="32"/>
  <c r="E33" i="32" s="1"/>
  <c r="B33" i="32"/>
  <c r="D46" i="32"/>
  <c r="C46" i="32"/>
  <c r="E46" i="32" s="1"/>
  <c r="B46" i="32"/>
  <c r="E32" i="32"/>
  <c r="D32" i="32"/>
  <c r="B32" i="32"/>
  <c r="D31" i="32"/>
  <c r="C31" i="32"/>
  <c r="E31" i="32" s="1"/>
  <c r="B31" i="32"/>
  <c r="D30" i="32"/>
  <c r="C30" i="32"/>
  <c r="E30" i="32" s="1"/>
  <c r="B30" i="32"/>
  <c r="D28" i="32"/>
  <c r="C28" i="32"/>
  <c r="E28" i="32" s="1"/>
  <c r="B28" i="32"/>
  <c r="E25" i="32"/>
  <c r="D25" i="32"/>
  <c r="B25" i="32"/>
  <c r="D26" i="32"/>
  <c r="C26" i="32"/>
  <c r="E26" i="32" s="1"/>
  <c r="B26" i="32"/>
  <c r="D27" i="32"/>
  <c r="C27" i="32"/>
  <c r="E27" i="32" s="1"/>
  <c r="B27" i="32"/>
  <c r="D24" i="32"/>
  <c r="C24" i="32"/>
  <c r="E24" i="32" s="1"/>
  <c r="B24" i="32"/>
  <c r="E23" i="32"/>
  <c r="D23" i="32"/>
  <c r="B23" i="32"/>
  <c r="D22" i="32"/>
  <c r="C22" i="32"/>
  <c r="E22" i="32" s="1"/>
  <c r="B22" i="32"/>
  <c r="E20" i="32"/>
  <c r="D20" i="32"/>
  <c r="B20" i="32"/>
  <c r="D21" i="32"/>
  <c r="C21" i="32"/>
  <c r="E21" i="32" s="1"/>
  <c r="B21" i="32"/>
  <c r="E19" i="32"/>
  <c r="D19" i="32"/>
  <c r="B19" i="32"/>
  <c r="D18" i="32"/>
  <c r="C18" i="32"/>
  <c r="E18" i="32" s="1"/>
  <c r="B18" i="32"/>
  <c r="D17" i="32"/>
  <c r="C17" i="32"/>
  <c r="E17" i="32" s="1"/>
  <c r="B17" i="32"/>
  <c r="D16" i="32"/>
  <c r="C16" i="32"/>
  <c r="E16" i="32" s="1"/>
  <c r="B16" i="32"/>
  <c r="D15" i="32"/>
  <c r="C15" i="32"/>
  <c r="E15" i="32" s="1"/>
  <c r="B15" i="32"/>
  <c r="D14" i="32"/>
  <c r="C14" i="32"/>
  <c r="E14" i="32" s="1"/>
  <c r="B14" i="32"/>
  <c r="D13" i="32"/>
  <c r="C13" i="32"/>
  <c r="E13" i="32" s="1"/>
  <c r="B13" i="32"/>
  <c r="D12" i="32"/>
  <c r="C12" i="32"/>
  <c r="E12" i="32" s="1"/>
  <c r="B12" i="32"/>
  <c r="D11" i="32"/>
  <c r="C11" i="32"/>
  <c r="E11" i="32" s="1"/>
  <c r="B11" i="32"/>
  <c r="D10" i="32"/>
  <c r="C10" i="32"/>
  <c r="E10" i="32" s="1"/>
  <c r="B10" i="32"/>
  <c r="D9" i="32"/>
  <c r="C9" i="32"/>
  <c r="E9" i="32" s="1"/>
  <c r="B9" i="32"/>
  <c r="D8" i="32"/>
  <c r="C8" i="32"/>
  <c r="E8" i="32" s="1"/>
  <c r="B8" i="32"/>
  <c r="G236" i="38"/>
  <c r="H2760" i="21" l="1"/>
  <c r="G21" i="38"/>
  <c r="G22" i="38"/>
  <c r="G23" i="38"/>
  <c r="G24" i="38"/>
  <c r="G25" i="38"/>
  <c r="G26" i="38"/>
  <c r="G27" i="38"/>
  <c r="G28" i="38"/>
  <c r="G29" i="38"/>
  <c r="G241" i="38"/>
  <c r="A1094" i="18"/>
  <c r="H1854" i="21"/>
  <c r="H1853" i="21"/>
  <c r="H1852" i="21"/>
  <c r="H1851" i="21"/>
  <c r="H1850" i="21"/>
  <c r="H1849" i="21"/>
  <c r="H1848" i="21"/>
  <c r="H1847" i="21"/>
  <c r="H1846" i="21"/>
  <c r="H1843" i="21"/>
  <c r="H1842" i="21"/>
  <c r="H1841" i="21"/>
  <c r="H1840" i="21"/>
  <c r="H1839" i="21"/>
  <c r="H1838" i="21"/>
  <c r="H1837" i="21"/>
  <c r="H1836" i="21"/>
  <c r="H1835" i="21"/>
  <c r="H1834" i="21"/>
  <c r="H1833" i="21"/>
  <c r="H1832" i="21"/>
  <c r="H1831" i="21"/>
  <c r="H1830" i="21"/>
  <c r="H1829" i="21"/>
  <c r="H1828" i="21"/>
  <c r="H1827" i="21"/>
  <c r="H1826" i="21"/>
  <c r="H1825" i="21"/>
  <c r="H1824" i="21"/>
  <c r="H1821" i="21"/>
  <c r="H1822" i="21" s="1"/>
  <c r="G247" i="38"/>
  <c r="G73" i="38"/>
  <c r="G32" i="38"/>
  <c r="G249" i="38"/>
  <c r="H159" i="21"/>
  <c r="G19" i="38"/>
  <c r="G20" i="38"/>
  <c r="G30" i="38"/>
  <c r="G31" i="38"/>
  <c r="G33" i="38"/>
  <c r="G34" i="38"/>
  <c r="G35" i="38"/>
  <c r="G36" i="38"/>
  <c r="G37" i="38"/>
  <c r="G38" i="38"/>
  <c r="G39" i="38"/>
  <c r="G40" i="38"/>
  <c r="G41" i="38"/>
  <c r="G42" i="38"/>
  <c r="G43" i="38"/>
  <c r="G44" i="38"/>
  <c r="G45" i="38"/>
  <c r="G46" i="38"/>
  <c r="G47" i="38"/>
  <c r="G48" i="38"/>
  <c r="G49" i="38"/>
  <c r="G50" i="38"/>
  <c r="G51" i="38"/>
  <c r="G52" i="38"/>
  <c r="G53" i="38"/>
  <c r="G54" i="38"/>
  <c r="G55" i="38"/>
  <c r="G56" i="38"/>
  <c r="G63" i="38"/>
  <c r="G57" i="38"/>
  <c r="G60" i="38"/>
  <c r="G61" i="38"/>
  <c r="G58" i="38"/>
  <c r="G59" i="38"/>
  <c r="G62" i="38"/>
  <c r="G64" i="38"/>
  <c r="G72" i="38"/>
  <c r="G71" i="38"/>
  <c r="G65" i="38"/>
  <c r="G66" i="38"/>
  <c r="G67" i="38"/>
  <c r="G68" i="38"/>
  <c r="G69" i="38"/>
  <c r="G70" i="38"/>
  <c r="G74" i="38"/>
  <c r="G75" i="38"/>
  <c r="G76" i="38"/>
  <c r="G77" i="38"/>
  <c r="G78" i="38"/>
  <c r="G79" i="38"/>
  <c r="G80" i="38"/>
  <c r="G81" i="38"/>
  <c r="G82" i="38"/>
  <c r="G83" i="38"/>
  <c r="G84" i="38"/>
  <c r="G85" i="38"/>
  <c r="G86" i="38"/>
  <c r="G87" i="38"/>
  <c r="G89" i="38"/>
  <c r="G90" i="38"/>
  <c r="G91" i="38"/>
  <c r="G92" i="38"/>
  <c r="G93" i="38"/>
  <c r="G94" i="38"/>
  <c r="G95" i="38"/>
  <c r="G96" i="38"/>
  <c r="G97" i="38"/>
  <c r="G98" i="38"/>
  <c r="G99" i="38"/>
  <c r="G100" i="38"/>
  <c r="G101" i="38"/>
  <c r="G102" i="38"/>
  <c r="G103" i="38"/>
  <c r="G104" i="38"/>
  <c r="G105" i="38"/>
  <c r="G106" i="38"/>
  <c r="G88" i="38"/>
  <c r="G107" i="38"/>
  <c r="G108" i="38"/>
  <c r="G109" i="38"/>
  <c r="G110" i="38"/>
  <c r="G111" i="38"/>
  <c r="G112" i="38"/>
  <c r="G113" i="38"/>
  <c r="G137" i="38"/>
  <c r="G114" i="38"/>
  <c r="G115" i="38"/>
  <c r="G116" i="38"/>
  <c r="G117" i="38"/>
  <c r="G118" i="38"/>
  <c r="G138" i="38"/>
  <c r="G119" i="38"/>
  <c r="G120" i="38"/>
  <c r="G121" i="38"/>
  <c r="G122" i="38"/>
  <c r="G123" i="38"/>
  <c r="G124" i="38"/>
  <c r="G125" i="38"/>
  <c r="G126" i="38"/>
  <c r="G127" i="38"/>
  <c r="G128" i="38"/>
  <c r="G129" i="38"/>
  <c r="G130" i="38"/>
  <c r="G131" i="38"/>
  <c r="G132" i="38"/>
  <c r="G133" i="38"/>
  <c r="G134" i="38"/>
  <c r="G135" i="38"/>
  <c r="G136"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7" i="38"/>
  <c r="G188" i="38"/>
  <c r="G189" i="38"/>
  <c r="G190" i="38"/>
  <c r="G186" i="38"/>
  <c r="G191" i="38"/>
  <c r="G192" i="38"/>
  <c r="G193" i="38"/>
  <c r="G194" i="38"/>
  <c r="G195" i="38"/>
  <c r="G196" i="38"/>
  <c r="G198" i="38"/>
  <c r="G199" i="38"/>
  <c r="G200" i="38"/>
  <c r="G201" i="38"/>
  <c r="G202" i="38"/>
  <c r="G203" i="38"/>
  <c r="G204" i="38"/>
  <c r="G197" i="38"/>
  <c r="G205" i="38"/>
  <c r="G206" i="38"/>
  <c r="G207" i="38"/>
  <c r="G208" i="38"/>
  <c r="G209" i="38"/>
  <c r="G210" i="38"/>
  <c r="G211" i="38"/>
  <c r="G212" i="38"/>
  <c r="G213" i="38"/>
  <c r="G214" i="38"/>
  <c r="G215" i="38"/>
  <c r="G216" i="38"/>
  <c r="G217" i="38"/>
  <c r="G218" i="38"/>
  <c r="G219" i="38"/>
  <c r="G220" i="38"/>
  <c r="G221" i="38"/>
  <c r="G222" i="38"/>
  <c r="G223" i="38"/>
  <c r="G224" i="38"/>
  <c r="G225" i="38"/>
  <c r="G226" i="38"/>
  <c r="G234" i="38"/>
  <c r="G235" i="38"/>
  <c r="G237" i="38"/>
  <c r="G238" i="38"/>
  <c r="G239" i="38"/>
  <c r="G240" i="38"/>
  <c r="G244" i="38"/>
  <c r="G242" i="38"/>
  <c r="G243" i="38"/>
  <c r="G245" i="38"/>
  <c r="G246" i="38"/>
  <c r="G248" i="38"/>
  <c r="G250" i="38"/>
  <c r="G251" i="38"/>
  <c r="G252" i="38"/>
  <c r="G253" i="38"/>
  <c r="G254" i="38"/>
  <c r="G255" i="38"/>
  <c r="G256" i="38"/>
  <c r="G257" i="38"/>
  <c r="G258" i="38"/>
  <c r="G259" i="38"/>
  <c r="G260" i="38"/>
  <c r="G261" i="38"/>
  <c r="G262" i="38"/>
  <c r="G263" i="38"/>
  <c r="G264" i="38"/>
  <c r="G265" i="38"/>
  <c r="G266" i="38"/>
  <c r="G267" i="38"/>
  <c r="G268" i="38"/>
  <c r="G269" i="38"/>
  <c r="G270" i="38"/>
  <c r="G271" i="38"/>
  <c r="G272" i="38"/>
  <c r="G273" i="38"/>
  <c r="G274" i="38"/>
  <c r="G275" i="38"/>
  <c r="G276" i="38"/>
  <c r="G277" i="38"/>
  <c r="G278" i="38"/>
  <c r="G279" i="38"/>
  <c r="G280" i="38"/>
  <c r="G281" i="38"/>
  <c r="G282" i="38"/>
  <c r="G283" i="38"/>
  <c r="G284" i="38"/>
  <c r="G285" i="38"/>
  <c r="G286" i="38"/>
  <c r="G287" i="38"/>
  <c r="G288" i="38"/>
  <c r="G289" i="38"/>
  <c r="G290" i="38"/>
  <c r="G291" i="38"/>
  <c r="G292" i="38"/>
  <c r="G293" i="38"/>
  <c r="G294" i="38"/>
  <c r="G295" i="38"/>
  <c r="G296" i="38"/>
  <c r="G297" i="38"/>
  <c r="G298" i="38"/>
  <c r="G299" i="38"/>
  <c r="G300" i="38"/>
  <c r="G301" i="38"/>
  <c r="G302" i="38"/>
  <c r="G303" i="38"/>
  <c r="G304" i="38"/>
  <c r="G305" i="38"/>
  <c r="G306" i="38"/>
  <c r="G307" i="38"/>
  <c r="G308" i="38"/>
  <c r="G309" i="38"/>
  <c r="G310" i="38"/>
  <c r="G311" i="38"/>
  <c r="G312" i="38"/>
  <c r="G313" i="38"/>
  <c r="G314" i="38"/>
  <c r="G315" i="38"/>
  <c r="G316" i="38"/>
  <c r="G317" i="38"/>
  <c r="G318" i="38"/>
  <c r="G319" i="38"/>
  <c r="G320" i="38"/>
  <c r="G321" i="38"/>
  <c r="G322" i="38"/>
  <c r="G323" i="38"/>
  <c r="G324" i="38"/>
  <c r="G325" i="38"/>
  <c r="G326" i="38"/>
  <c r="G327" i="38"/>
  <c r="G328" i="38"/>
  <c r="G329" i="38"/>
  <c r="G330" i="38"/>
  <c r="G331" i="38"/>
  <c r="G332" i="38"/>
  <c r="G333" i="38"/>
  <c r="G334" i="38"/>
  <c r="G335" i="38"/>
  <c r="G336" i="38"/>
  <c r="G337" i="38"/>
  <c r="G338" i="38"/>
  <c r="G339" i="38"/>
  <c r="G340" i="38"/>
  <c r="G341" i="38"/>
  <c r="G342" i="38"/>
  <c r="G343" i="38"/>
  <c r="G344" i="38"/>
  <c r="G345" i="38"/>
  <c r="G346" i="38"/>
  <c r="G347" i="38"/>
  <c r="G348" i="38"/>
  <c r="G349" i="38"/>
  <c r="G350" i="38"/>
  <c r="G351" i="38"/>
  <c r="G352" i="38"/>
  <c r="G353" i="38"/>
  <c r="G354" i="38"/>
  <c r="G355" i="38"/>
  <c r="G356" i="38"/>
  <c r="G357" i="38"/>
  <c r="G358" i="38"/>
  <c r="G359" i="38"/>
  <c r="G360" i="38"/>
  <c r="G361" i="38"/>
  <c r="G362" i="38"/>
  <c r="G363" i="38"/>
  <c r="G364" i="38"/>
  <c r="G365" i="38"/>
  <c r="G366" i="38"/>
  <c r="G367" i="38"/>
  <c r="G368" i="38"/>
  <c r="G369" i="38"/>
  <c r="G370" i="38"/>
  <c r="G371" i="38"/>
  <c r="G372" i="38"/>
  <c r="G373" i="38"/>
  <c r="G374" i="38"/>
  <c r="G375" i="38"/>
  <c r="G376" i="38"/>
  <c r="G377" i="38"/>
  <c r="G378" i="38"/>
  <c r="G379" i="38"/>
  <c r="G380" i="38"/>
  <c r="G381" i="38"/>
  <c r="G382" i="38"/>
  <c r="G383" i="38"/>
  <c r="G384" i="38"/>
  <c r="G385" i="38"/>
  <c r="G386" i="38"/>
  <c r="G387" i="38"/>
  <c r="G388" i="38"/>
  <c r="G389" i="38"/>
  <c r="G390" i="38"/>
  <c r="G391" i="38"/>
  <c r="G392" i="38"/>
  <c r="G393" i="38"/>
  <c r="G394" i="38"/>
  <c r="G395" i="38"/>
  <c r="G396" i="38"/>
  <c r="G397" i="38"/>
  <c r="G398" i="38"/>
  <c r="G399" i="38"/>
  <c r="G400" i="38"/>
  <c r="G401" i="38"/>
  <c r="G402" i="38"/>
  <c r="G403" i="38"/>
  <c r="G404" i="38"/>
  <c r="G405" i="38"/>
  <c r="G406" i="38"/>
  <c r="G407" i="38"/>
  <c r="G408" i="38"/>
  <c r="G409" i="38"/>
  <c r="G410" i="38"/>
  <c r="G411" i="38"/>
  <c r="G412" i="38"/>
  <c r="G413" i="38"/>
  <c r="G414" i="38"/>
  <c r="G415" i="38"/>
  <c r="G416" i="38"/>
  <c r="G417" i="38"/>
  <c r="G418" i="38"/>
  <c r="G419" i="38"/>
  <c r="G420" i="38"/>
  <c r="G421" i="38"/>
  <c r="G422" i="38"/>
  <c r="G423" i="38"/>
  <c r="G424" i="38"/>
  <c r="G425" i="38"/>
  <c r="G426" i="38"/>
  <c r="G427" i="38"/>
  <c r="G428" i="38"/>
  <c r="G429" i="38"/>
  <c r="G430" i="38"/>
  <c r="G431" i="38"/>
  <c r="G432" i="38"/>
  <c r="G433" i="38"/>
  <c r="G434" i="38"/>
  <c r="G435" i="38"/>
  <c r="G436" i="38"/>
  <c r="G437" i="38"/>
  <c r="G438" i="38"/>
  <c r="G439" i="38"/>
  <c r="G440" i="38"/>
  <c r="G441" i="38"/>
  <c r="G442" i="38"/>
  <c r="G443" i="38"/>
  <c r="G444" i="38"/>
  <c r="G445" i="38"/>
  <c r="G446" i="38"/>
  <c r="G447" i="38"/>
  <c r="G448" i="38"/>
  <c r="G449" i="38"/>
  <c r="G450" i="38"/>
  <c r="G451" i="38"/>
  <c r="G452" i="38"/>
  <c r="G453" i="38"/>
  <c r="G454" i="38"/>
  <c r="G455" i="38"/>
  <c r="G456" i="38"/>
  <c r="G457" i="38"/>
  <c r="G458" i="38"/>
  <c r="G459" i="38"/>
  <c r="G460" i="38"/>
  <c r="G461" i="38"/>
  <c r="G462" i="38"/>
  <c r="G463" i="38"/>
  <c r="G464" i="38"/>
  <c r="G465" i="38"/>
  <c r="G466" i="38"/>
  <c r="G467" i="38"/>
  <c r="G468" i="38"/>
  <c r="G469" i="38"/>
  <c r="G470" i="38"/>
  <c r="G471" i="38"/>
  <c r="G472" i="38"/>
  <c r="G473" i="38"/>
  <c r="G474" i="38"/>
  <c r="G475" i="38"/>
  <c r="G476" i="38"/>
  <c r="G477" i="38"/>
  <c r="G478" i="38"/>
  <c r="G479" i="38"/>
  <c r="G480" i="38"/>
  <c r="G481" i="38"/>
  <c r="G482" i="38"/>
  <c r="G483" i="38"/>
  <c r="G484" i="38"/>
  <c r="G485" i="38"/>
  <c r="G486" i="38"/>
  <c r="G487" i="38"/>
  <c r="G488" i="38"/>
  <c r="G489" i="38"/>
  <c r="G490" i="38"/>
  <c r="G491" i="38"/>
  <c r="G492" i="38"/>
  <c r="G493" i="38"/>
  <c r="G494" i="38"/>
  <c r="G495" i="38"/>
  <c r="G496" i="38"/>
  <c r="G497" i="38"/>
  <c r="G498" i="38"/>
  <c r="G499" i="38"/>
  <c r="G500" i="38"/>
  <c r="G501" i="38"/>
  <c r="G502" i="38"/>
  <c r="G503" i="38"/>
  <c r="G504" i="38"/>
  <c r="G505" i="38"/>
  <c r="G506" i="38"/>
  <c r="G507" i="38"/>
  <c r="G508" i="38"/>
  <c r="G509" i="38"/>
  <c r="G510" i="38"/>
  <c r="G511" i="38"/>
  <c r="G512" i="38"/>
  <c r="G513" i="38"/>
  <c r="G514" i="38"/>
  <c r="G515" i="38"/>
  <c r="G516" i="38"/>
  <c r="G517" i="38"/>
  <c r="G518" i="38"/>
  <c r="G519" i="38"/>
  <c r="G520" i="38"/>
  <c r="G521" i="38"/>
  <c r="G522" i="38"/>
  <c r="G523" i="38"/>
  <c r="G524" i="38"/>
  <c r="G525" i="38"/>
  <c r="G526" i="38"/>
  <c r="G527" i="38"/>
  <c r="G528" i="38"/>
  <c r="G529" i="38"/>
  <c r="G530" i="38"/>
  <c r="G531" i="38"/>
  <c r="G532" i="38"/>
  <c r="G533" i="38"/>
  <c r="G534" i="38"/>
  <c r="G535" i="38"/>
  <c r="G536" i="38"/>
  <c r="G537" i="38"/>
  <c r="G538" i="38"/>
  <c r="G539" i="38"/>
  <c r="G540" i="38"/>
  <c r="G541" i="38"/>
  <c r="G542" i="38"/>
  <c r="G543" i="38"/>
  <c r="G544" i="38"/>
  <c r="G545" i="38"/>
  <c r="G546" i="38"/>
  <c r="G547" i="38"/>
  <c r="G548" i="38"/>
  <c r="G549" i="38"/>
  <c r="G550" i="38"/>
  <c r="G551" i="38"/>
  <c r="G552" i="38"/>
  <c r="G553" i="38"/>
  <c r="G554" i="38"/>
  <c r="G555" i="38"/>
  <c r="G556" i="38"/>
  <c r="G557" i="38"/>
  <c r="G558" i="38"/>
  <c r="G559" i="38"/>
  <c r="G560" i="38"/>
  <c r="G561" i="38"/>
  <c r="G562" i="38"/>
  <c r="G563" i="38"/>
  <c r="G564" i="38"/>
  <c r="G565" i="38"/>
  <c r="G566" i="38"/>
  <c r="G567" i="38"/>
  <c r="G568" i="38"/>
  <c r="G569" i="38"/>
  <c r="G570" i="38"/>
  <c r="G571" i="38"/>
  <c r="G572" i="38"/>
  <c r="G573" i="38"/>
  <c r="G574" i="38"/>
  <c r="G575" i="38"/>
  <c r="G576" i="38"/>
  <c r="G577" i="38"/>
  <c r="G578" i="38"/>
  <c r="G579" i="38"/>
  <c r="G580" i="38"/>
  <c r="G581" i="38"/>
  <c r="G582" i="38"/>
  <c r="G583" i="38"/>
  <c r="G584" i="38"/>
  <c r="G585" i="38"/>
  <c r="G586" i="38"/>
  <c r="G587" i="38"/>
  <c r="G588" i="38"/>
  <c r="G589" i="38"/>
  <c r="G590" i="38"/>
  <c r="G591" i="38"/>
  <c r="G592" i="38"/>
  <c r="G593" i="38"/>
  <c r="G594" i="38"/>
  <c r="G595" i="38"/>
  <c r="G596" i="38"/>
  <c r="G597" i="38"/>
  <c r="G598" i="38"/>
  <c r="G599" i="38"/>
  <c r="G600" i="38"/>
  <c r="G601" i="38"/>
  <c r="G602" i="38"/>
  <c r="G603" i="38"/>
  <c r="G604" i="38"/>
  <c r="G605" i="38"/>
  <c r="G606" i="38"/>
  <c r="G607" i="38"/>
  <c r="G608" i="38"/>
  <c r="G609" i="38"/>
  <c r="G610" i="38"/>
  <c r="G611" i="38"/>
  <c r="G612" i="38"/>
  <c r="G613" i="38"/>
  <c r="G614" i="38"/>
  <c r="G18" i="38"/>
  <c r="H2425" i="21"/>
  <c r="C2425" i="21"/>
  <c r="B2425" i="21"/>
  <c r="A2425" i="21"/>
  <c r="H2431" i="21"/>
  <c r="H2430" i="21"/>
  <c r="H2427" i="21"/>
  <c r="H2428" i="21" s="1"/>
  <c r="I415" i="37"/>
  <c r="I411" i="37"/>
  <c r="I406" i="37"/>
  <c r="I407" i="37" s="1"/>
  <c r="I400" i="37"/>
  <c r="I401" i="37" s="1"/>
  <c r="I402" i="37" s="1"/>
  <c r="I395" i="37"/>
  <c r="I396" i="37" s="1"/>
  <c r="I391" i="37"/>
  <c r="I387" i="37"/>
  <c r="I382" i="37"/>
  <c r="I383" i="37" s="1"/>
  <c r="I376" i="37"/>
  <c r="I377" i="37" s="1"/>
  <c r="I378" i="37" s="1"/>
  <c r="I371" i="37"/>
  <c r="I372" i="37" s="1"/>
  <c r="I366" i="37"/>
  <c r="I367" i="37" s="1"/>
  <c r="I361" i="37"/>
  <c r="I362" i="37" s="1"/>
  <c r="I356" i="37"/>
  <c r="I357" i="37" s="1"/>
  <c r="I352" i="37"/>
  <c r="I347" i="37"/>
  <c r="I348" i="37" s="1"/>
  <c r="I342" i="37"/>
  <c r="I343" i="37" s="1"/>
  <c r="I335" i="37"/>
  <c r="I336" i="37" s="1"/>
  <c r="I337" i="37" s="1"/>
  <c r="I338" i="37" s="1"/>
  <c r="I328" i="37"/>
  <c r="I329" i="37" s="1"/>
  <c r="I330" i="37" s="1"/>
  <c r="I331" i="37" s="1"/>
  <c r="I323" i="37"/>
  <c r="I324" i="37" s="1"/>
  <c r="I318" i="37"/>
  <c r="I319" i="37" s="1"/>
  <c r="I313" i="37"/>
  <c r="I314" i="37" s="1"/>
  <c r="I308" i="37"/>
  <c r="I309" i="37" s="1"/>
  <c r="I303" i="37"/>
  <c r="I304" i="37" s="1"/>
  <c r="I298" i="37"/>
  <c r="I299" i="37" s="1"/>
  <c r="I293" i="37"/>
  <c r="I294" i="37" s="1"/>
  <c r="I288" i="37"/>
  <c r="I289" i="37" s="1"/>
  <c r="I283" i="37"/>
  <c r="I284" i="37" s="1"/>
  <c r="I278" i="37"/>
  <c r="I279" i="37" s="1"/>
  <c r="I273" i="37"/>
  <c r="I274" i="37" s="1"/>
  <c r="I268" i="37"/>
  <c r="I269" i="37" s="1"/>
  <c r="I263" i="37"/>
  <c r="I264" i="37" s="1"/>
  <c r="I258" i="37"/>
  <c r="I259" i="37" s="1"/>
  <c r="I253" i="37"/>
  <c r="I254" i="37" s="1"/>
  <c r="I247" i="37"/>
  <c r="I248" i="37" s="1"/>
  <c r="I249" i="37" s="1"/>
  <c r="I241" i="37"/>
  <c r="I242" i="37" s="1"/>
  <c r="I243" i="37" s="1"/>
  <c r="I236" i="37"/>
  <c r="I237" i="37" s="1"/>
  <c r="I231" i="37"/>
  <c r="I232" i="37" s="1"/>
  <c r="I226" i="37"/>
  <c r="I227" i="37" s="1"/>
  <c r="I220" i="37"/>
  <c r="I221" i="37" s="1"/>
  <c r="I222" i="37" s="1"/>
  <c r="I215" i="37"/>
  <c r="I216" i="37" s="1"/>
  <c r="I210" i="37"/>
  <c r="I211" i="37" s="1"/>
  <c r="I205" i="37"/>
  <c r="I206" i="37" s="1"/>
  <c r="I200" i="37"/>
  <c r="I201" i="37" s="1"/>
  <c r="I195" i="37"/>
  <c r="I196" i="37" s="1"/>
  <c r="I190" i="37"/>
  <c r="I191" i="37" s="1"/>
  <c r="I185" i="37"/>
  <c r="I186" i="37" s="1"/>
  <c r="I179" i="37"/>
  <c r="I180" i="37" s="1"/>
  <c r="I181" i="37" s="1"/>
  <c r="I174" i="37"/>
  <c r="I175" i="37" s="1"/>
  <c r="I169" i="37"/>
  <c r="I170" i="37" s="1"/>
  <c r="I164" i="37"/>
  <c r="I165" i="37" s="1"/>
  <c r="I158" i="37"/>
  <c r="I159" i="37" s="1"/>
  <c r="I160" i="37" s="1"/>
  <c r="I153" i="37"/>
  <c r="I154" i="37" s="1"/>
  <c r="I148" i="37"/>
  <c r="I149" i="37" s="1"/>
  <c r="I143" i="37"/>
  <c r="I144" i="37" s="1"/>
  <c r="I138" i="37"/>
  <c r="I139" i="37" s="1"/>
  <c r="I133" i="37"/>
  <c r="I134" i="37" s="1"/>
  <c r="I124" i="37"/>
  <c r="I125" i="37" s="1"/>
  <c r="I126" i="37" s="1"/>
  <c r="I127" i="37" s="1"/>
  <c r="I128" i="37" s="1"/>
  <c r="I129" i="37" s="1"/>
  <c r="I119" i="37"/>
  <c r="I120" i="37" s="1"/>
  <c r="I114" i="37"/>
  <c r="I115" i="37" s="1"/>
  <c r="I109" i="37"/>
  <c r="I110" i="37" s="1"/>
  <c r="I102" i="37"/>
  <c r="I103" i="37" s="1"/>
  <c r="I104" i="37" s="1"/>
  <c r="I105" i="37" s="1"/>
  <c r="I97" i="37"/>
  <c r="I98" i="37" s="1"/>
  <c r="I92" i="37"/>
  <c r="I93" i="37" s="1"/>
  <c r="I87" i="37"/>
  <c r="I88" i="37" s="1"/>
  <c r="I83" i="37"/>
  <c r="I79" i="37"/>
  <c r="I75" i="37"/>
  <c r="I71" i="37"/>
  <c r="I67" i="37"/>
  <c r="G67" i="37"/>
  <c r="H67" i="37" s="1"/>
  <c r="H68" i="37" s="1"/>
  <c r="H1844" i="21" l="1"/>
  <c r="H1855" i="21"/>
  <c r="H2432" i="21"/>
  <c r="H2433" i="21" s="1"/>
  <c r="G239" i="27" s="1"/>
  <c r="A2618" i="21"/>
  <c r="H1856" i="21" l="1"/>
  <c r="G9" i="38"/>
  <c r="G10" i="38"/>
  <c r="G11" i="38"/>
  <c r="G12" i="38"/>
  <c r="G13" i="38"/>
  <c r="G14" i="38"/>
  <c r="G15" i="38"/>
  <c r="G16" i="38"/>
  <c r="G17" i="38"/>
  <c r="H2006" i="21" l="1"/>
  <c r="C2006" i="21"/>
  <c r="B2006" i="21"/>
  <c r="A2006" i="21"/>
  <c r="H2017" i="21"/>
  <c r="C2017" i="21"/>
  <c r="B2017" i="21"/>
  <c r="A2017" i="21"/>
  <c r="H2023" i="21"/>
  <c r="H2022" i="21"/>
  <c r="H2019" i="21"/>
  <c r="H2020" i="21" s="1"/>
  <c r="H2024" i="21" l="1"/>
  <c r="H2025" i="21" s="1"/>
  <c r="G345" i="27" s="1"/>
  <c r="A1323" i="18"/>
  <c r="H1323" i="18" l="1"/>
  <c r="C1323" i="18"/>
  <c r="B1323" i="18"/>
  <c r="D276" i="24"/>
  <c r="G271" i="27" s="1"/>
  <c r="G321" i="27" l="1"/>
  <c r="H1246" i="21"/>
  <c r="C1246" i="21"/>
  <c r="B1246" i="21"/>
  <c r="A1246" i="21"/>
  <c r="H1260" i="21"/>
  <c r="H1259" i="21"/>
  <c r="H1256" i="21"/>
  <c r="H1255" i="21"/>
  <c r="H1254" i="21"/>
  <c r="H1253" i="21"/>
  <c r="H1252" i="21"/>
  <c r="H1251" i="21"/>
  <c r="H1250" i="21"/>
  <c r="H1249" i="21"/>
  <c r="H1248" i="21"/>
  <c r="J1246" i="21"/>
  <c r="A2368" i="18"/>
  <c r="A2115" i="18"/>
  <c r="H2013" i="21"/>
  <c r="H2012" i="21"/>
  <c r="H2009" i="21"/>
  <c r="H2008" i="21"/>
  <c r="H2368" i="18" l="1"/>
  <c r="C2368" i="18"/>
  <c r="B2368" i="18"/>
  <c r="C2115" i="18"/>
  <c r="B2115" i="18"/>
  <c r="H2115" i="18"/>
  <c r="H1261" i="21"/>
  <c r="H1257" i="21"/>
  <c r="H2010" i="21"/>
  <c r="H2014" i="21"/>
  <c r="A1951" i="18"/>
  <c r="H1951" i="18" s="1"/>
  <c r="A1938" i="18"/>
  <c r="H1938" i="18" s="1"/>
  <c r="H1274" i="21" l="1"/>
  <c r="H1262" i="21"/>
  <c r="G171" i="27" s="1"/>
  <c r="H2015" i="21"/>
  <c r="G144" i="27" s="1"/>
  <c r="B1951" i="18"/>
  <c r="C1951" i="18"/>
  <c r="B1938" i="18"/>
  <c r="C1938" i="18"/>
  <c r="H1231" i="21"/>
  <c r="C1231" i="21"/>
  <c r="B1231" i="21"/>
  <c r="A1231" i="21"/>
  <c r="H1240" i="21"/>
  <c r="H1239" i="21"/>
  <c r="H1236" i="21"/>
  <c r="H1235" i="21"/>
  <c r="H1234" i="21"/>
  <c r="H1233" i="21"/>
  <c r="J1231" i="21"/>
  <c r="H1992" i="21"/>
  <c r="C1992" i="21"/>
  <c r="B1992" i="21"/>
  <c r="A1992" i="21"/>
  <c r="H2000" i="21"/>
  <c r="H1999" i="21"/>
  <c r="H1996" i="21"/>
  <c r="H1995" i="21"/>
  <c r="H1994" i="21"/>
  <c r="G256" i="27" l="1"/>
  <c r="H1237" i="21"/>
  <c r="H1241" i="21"/>
  <c r="H2001" i="21"/>
  <c r="H1997" i="21"/>
  <c r="H2002" i="21" l="1"/>
  <c r="G196" i="27" s="1"/>
  <c r="H1242" i="21"/>
  <c r="G197" i="27" s="1"/>
  <c r="H964" i="21" l="1"/>
  <c r="H1965" i="21"/>
  <c r="H2748" i="21"/>
  <c r="C2748" i="21"/>
  <c r="B2748" i="21"/>
  <c r="A2748" i="21"/>
  <c r="H2752" i="21"/>
  <c r="H2764" i="21"/>
  <c r="H2763" i="21"/>
  <c r="H2759" i="21"/>
  <c r="H2758" i="21"/>
  <c r="H2757" i="21"/>
  <c r="H2756" i="21"/>
  <c r="H2755" i="21"/>
  <c r="H2754" i="21"/>
  <c r="H2753" i="21"/>
  <c r="H2751" i="21"/>
  <c r="H2750" i="21"/>
  <c r="H1215" i="21"/>
  <c r="C1215" i="21"/>
  <c r="B1215" i="21"/>
  <c r="A1215" i="21"/>
  <c r="H1225" i="21"/>
  <c r="H1226" i="21" s="1"/>
  <c r="H1222" i="21"/>
  <c r="H1221" i="21"/>
  <c r="H1218" i="21"/>
  <c r="H1217" i="21"/>
  <c r="J1215" i="21"/>
  <c r="D204" i="24"/>
  <c r="G306" i="27" s="1"/>
  <c r="H2761" i="21" l="1"/>
  <c r="H2765" i="21"/>
  <c r="H1223" i="21"/>
  <c r="H1219" i="21"/>
  <c r="H2414" i="21"/>
  <c r="C2414" i="21"/>
  <c r="B2414" i="21"/>
  <c r="A2414" i="21"/>
  <c r="H2421" i="21"/>
  <c r="H2420" i="21"/>
  <c r="H2417" i="21"/>
  <c r="H2416" i="21"/>
  <c r="H2766" i="21" l="1"/>
  <c r="G379" i="27" s="1"/>
  <c r="H2418" i="21"/>
  <c r="H1227" i="21"/>
  <c r="G223" i="27" s="1"/>
  <c r="H2422" i="21"/>
  <c r="H2200" i="21"/>
  <c r="D196" i="24"/>
  <c r="G195" i="27" s="1"/>
  <c r="H2423" i="21" l="1"/>
  <c r="G580" i="27" s="1"/>
  <c r="J415" i="37"/>
  <c r="E29" i="37" s="1"/>
  <c r="A415" i="37"/>
  <c r="J411" i="37"/>
  <c r="E50" i="37" s="1"/>
  <c r="A411" i="37"/>
  <c r="J407" i="37"/>
  <c r="A406" i="37"/>
  <c r="J400" i="37"/>
  <c r="A400" i="37"/>
  <c r="J395" i="37"/>
  <c r="A395" i="37"/>
  <c r="J391" i="37"/>
  <c r="A391" i="37"/>
  <c r="J387" i="37"/>
  <c r="A387" i="37"/>
  <c r="J382" i="37"/>
  <c r="A382" i="37"/>
  <c r="A376" i="37"/>
  <c r="J372" i="37"/>
  <c r="A371" i="37"/>
  <c r="J367" i="37"/>
  <c r="A366" i="37"/>
  <c r="J362" i="37"/>
  <c r="A361" i="37"/>
  <c r="J356" i="37"/>
  <c r="A356" i="37"/>
  <c r="J352" i="37"/>
  <c r="A352" i="37"/>
  <c r="J348" i="37"/>
  <c r="A347" i="37"/>
  <c r="J343" i="37"/>
  <c r="A342" i="37"/>
  <c r="A335" i="37"/>
  <c r="J328" i="37"/>
  <c r="A328" i="37"/>
  <c r="J324" i="37"/>
  <c r="A323" i="37"/>
  <c r="J319" i="37"/>
  <c r="A318" i="37"/>
  <c r="J314" i="37"/>
  <c r="A313" i="37"/>
  <c r="J309" i="37"/>
  <c r="E41" i="37" s="1"/>
  <c r="A308" i="37"/>
  <c r="J304" i="37"/>
  <c r="A303" i="37"/>
  <c r="J298" i="37"/>
  <c r="A298" i="37"/>
  <c r="J294" i="37"/>
  <c r="A293" i="37"/>
  <c r="J288" i="37"/>
  <c r="A288" i="37"/>
  <c r="J283" i="37"/>
  <c r="A283" i="37"/>
  <c r="J278" i="37"/>
  <c r="A278" i="37"/>
  <c r="J273" i="37"/>
  <c r="A273" i="37"/>
  <c r="J268" i="37"/>
  <c r="A268" i="37"/>
  <c r="J263" i="37"/>
  <c r="A263" i="37"/>
  <c r="J259" i="37"/>
  <c r="A258" i="37"/>
  <c r="J254" i="37"/>
  <c r="A253" i="37"/>
  <c r="A247" i="37"/>
  <c r="J241" i="37"/>
  <c r="A241" i="37"/>
  <c r="J236" i="37"/>
  <c r="A236" i="37"/>
  <c r="J231" i="37"/>
  <c r="A231" i="37"/>
  <c r="J226" i="37"/>
  <c r="A226" i="37"/>
  <c r="J220" i="37"/>
  <c r="A220" i="37"/>
  <c r="J215" i="37"/>
  <c r="A215" i="37"/>
  <c r="J210" i="37"/>
  <c r="A210" i="37"/>
  <c r="J205" i="37"/>
  <c r="A205" i="37"/>
  <c r="J200" i="37"/>
  <c r="A200" i="37"/>
  <c r="J195" i="37"/>
  <c r="A195" i="37"/>
  <c r="J191" i="37"/>
  <c r="A190" i="37"/>
  <c r="J185" i="37"/>
  <c r="A185" i="37"/>
  <c r="J179" i="37"/>
  <c r="A179" i="37"/>
  <c r="J174" i="37"/>
  <c r="A174" i="37"/>
  <c r="J169" i="37"/>
  <c r="A169" i="37"/>
  <c r="J164" i="37"/>
  <c r="A164" i="37"/>
  <c r="J158" i="37"/>
  <c r="A158" i="37"/>
  <c r="J153" i="37"/>
  <c r="A153" i="37"/>
  <c r="J148" i="37"/>
  <c r="A148" i="37"/>
  <c r="J143" i="37"/>
  <c r="A143" i="37"/>
  <c r="J138" i="37"/>
  <c r="A138" i="37"/>
  <c r="J133" i="37"/>
  <c r="E11" i="37" s="1"/>
  <c r="A133" i="37"/>
  <c r="J124" i="37"/>
  <c r="A124" i="37"/>
  <c r="J119" i="37"/>
  <c r="A119" i="37"/>
  <c r="J115" i="37"/>
  <c r="A114" i="37"/>
  <c r="J110" i="37"/>
  <c r="A109" i="37"/>
  <c r="A102" i="37"/>
  <c r="J98" i="37"/>
  <c r="E32" i="37" s="1"/>
  <c r="A97" i="37"/>
  <c r="J93" i="37"/>
  <c r="A92" i="37"/>
  <c r="J88" i="37"/>
  <c r="A87" i="37"/>
  <c r="J83" i="37"/>
  <c r="A83" i="37"/>
  <c r="J79" i="37"/>
  <c r="A79" i="37"/>
  <c r="J75" i="37"/>
  <c r="E14" i="37" s="1"/>
  <c r="A75" i="37"/>
  <c r="J71" i="37"/>
  <c r="E10" i="37" s="1"/>
  <c r="A71" i="37"/>
  <c r="J67" i="37"/>
  <c r="E12" i="37" s="1"/>
  <c r="A67" i="37"/>
  <c r="D58" i="37"/>
  <c r="C58" i="37"/>
  <c r="B58" i="37"/>
  <c r="E57" i="37"/>
  <c r="D57" i="37"/>
  <c r="C57" i="37"/>
  <c r="B57" i="37"/>
  <c r="D56" i="37"/>
  <c r="C56" i="37"/>
  <c r="B56" i="37"/>
  <c r="D55" i="37"/>
  <c r="C55" i="37"/>
  <c r="B55" i="37"/>
  <c r="D54" i="37"/>
  <c r="C54" i="37"/>
  <c r="B54" i="37"/>
  <c r="D52" i="37"/>
  <c r="C52" i="37"/>
  <c r="B52" i="37"/>
  <c r="D53" i="37"/>
  <c r="C53" i="37"/>
  <c r="B53" i="37"/>
  <c r="D19" i="37"/>
  <c r="C19" i="37"/>
  <c r="B19" i="37"/>
  <c r="D50" i="37"/>
  <c r="C50" i="37"/>
  <c r="B50" i="37"/>
  <c r="D51" i="37"/>
  <c r="C51" i="37"/>
  <c r="B51" i="37"/>
  <c r="D49" i="37"/>
  <c r="C49" i="37"/>
  <c r="B49" i="37"/>
  <c r="D48" i="37"/>
  <c r="C48" i="37"/>
  <c r="B48" i="37"/>
  <c r="D47" i="37"/>
  <c r="C47" i="37"/>
  <c r="B47" i="37"/>
  <c r="D46" i="37"/>
  <c r="C46" i="37"/>
  <c r="B46" i="37"/>
  <c r="D45" i="37"/>
  <c r="C45" i="37"/>
  <c r="B45" i="37"/>
  <c r="D44" i="37"/>
  <c r="C44" i="37"/>
  <c r="B44" i="37"/>
  <c r="D43" i="37"/>
  <c r="C43" i="37"/>
  <c r="B43" i="37"/>
  <c r="D9" i="37"/>
  <c r="C9" i="37"/>
  <c r="B9" i="37"/>
  <c r="D40" i="37"/>
  <c r="C40" i="37"/>
  <c r="B40" i="37"/>
  <c r="D42" i="37"/>
  <c r="C42" i="37"/>
  <c r="B42" i="37"/>
  <c r="D41" i="37"/>
  <c r="C41" i="37"/>
  <c r="B41" i="37"/>
  <c r="D39" i="37"/>
  <c r="C39" i="37"/>
  <c r="B39" i="37"/>
  <c r="D38" i="37"/>
  <c r="C38" i="37"/>
  <c r="B38" i="37"/>
  <c r="D37" i="37"/>
  <c r="C37" i="37"/>
  <c r="B37" i="37"/>
  <c r="D36" i="37"/>
  <c r="C36" i="37"/>
  <c r="B36" i="37"/>
  <c r="D35" i="37"/>
  <c r="C35" i="37"/>
  <c r="B35" i="37"/>
  <c r="D34" i="37"/>
  <c r="C34" i="37"/>
  <c r="B34" i="37"/>
  <c r="D33" i="37"/>
  <c r="C33" i="37"/>
  <c r="B33" i="37"/>
  <c r="D32" i="37"/>
  <c r="C32" i="37"/>
  <c r="B32" i="37"/>
  <c r="D31" i="37"/>
  <c r="C31" i="37"/>
  <c r="B31" i="37"/>
  <c r="D30" i="37"/>
  <c r="C30" i="37"/>
  <c r="B30" i="37"/>
  <c r="D29" i="37"/>
  <c r="C29" i="37"/>
  <c r="B29" i="37"/>
  <c r="D27" i="37"/>
  <c r="C27" i="37"/>
  <c r="B27" i="37"/>
  <c r="D28" i="37"/>
  <c r="C28" i="37"/>
  <c r="B28" i="37"/>
  <c r="D26" i="37"/>
  <c r="C26" i="37"/>
  <c r="B26" i="37"/>
  <c r="D25" i="37"/>
  <c r="C25" i="37"/>
  <c r="B25" i="37"/>
  <c r="D24" i="37"/>
  <c r="C24" i="37"/>
  <c r="B24" i="37"/>
  <c r="D23" i="37"/>
  <c r="C23" i="37"/>
  <c r="B23" i="37"/>
  <c r="D22" i="37"/>
  <c r="C22" i="37"/>
  <c r="B22" i="37"/>
  <c r="D21" i="37"/>
  <c r="C21" i="37"/>
  <c r="B21" i="37"/>
  <c r="D20" i="37"/>
  <c r="C20" i="37"/>
  <c r="B20" i="37"/>
  <c r="D18" i="37"/>
  <c r="C18" i="37"/>
  <c r="B18" i="37"/>
  <c r="D17" i="37"/>
  <c r="C17" i="37"/>
  <c r="B17" i="37"/>
  <c r="D16" i="37"/>
  <c r="C16" i="37"/>
  <c r="B16" i="37"/>
  <c r="D15" i="37"/>
  <c r="C15" i="37"/>
  <c r="B15" i="37"/>
  <c r="D14" i="37"/>
  <c r="C14" i="37"/>
  <c r="B14" i="37"/>
  <c r="D13" i="37"/>
  <c r="C13" i="37"/>
  <c r="B13" i="37"/>
  <c r="D12" i="37"/>
  <c r="C12" i="37"/>
  <c r="B12" i="37"/>
  <c r="D11" i="37"/>
  <c r="C11" i="37"/>
  <c r="B11" i="37"/>
  <c r="D10" i="37"/>
  <c r="C10" i="37"/>
  <c r="B10" i="37"/>
  <c r="D8" i="37"/>
  <c r="C8" i="37"/>
  <c r="B8" i="37"/>
  <c r="F12" i="37" l="1"/>
  <c r="G12" i="37" s="1"/>
  <c r="J303" i="37"/>
  <c r="E9" i="37" s="1"/>
  <c r="J97" i="37"/>
  <c r="E37" i="37" s="1"/>
  <c r="E45" i="37"/>
  <c r="J201" i="37"/>
  <c r="J376" i="37"/>
  <c r="E21" i="37" s="1"/>
  <c r="E17" i="37"/>
  <c r="J87" i="37"/>
  <c r="J114" i="37"/>
  <c r="E36" i="37" s="1"/>
  <c r="J206" i="37"/>
  <c r="E49" i="37"/>
  <c r="J227" i="37"/>
  <c r="E40" i="37"/>
  <c r="J221" i="37"/>
  <c r="J139" i="37"/>
  <c r="J144" i="37"/>
  <c r="J149" i="37"/>
  <c r="J154" i="37"/>
  <c r="J159" i="37"/>
  <c r="J196" i="37"/>
  <c r="J216" i="37"/>
  <c r="J371" i="37"/>
  <c r="E55" i="37" s="1"/>
  <c r="J211" i="37"/>
  <c r="J274" i="37"/>
  <c r="J366" i="37"/>
  <c r="E33" i="37"/>
  <c r="J109" i="37"/>
  <c r="J175" i="37"/>
  <c r="J377" i="37"/>
  <c r="J378" i="37"/>
  <c r="J181" i="37"/>
  <c r="J237" i="37"/>
  <c r="J253" i="37"/>
  <c r="J258" i="37"/>
  <c r="J284" i="37"/>
  <c r="J357" i="37"/>
  <c r="J102" i="37"/>
  <c r="J232" i="37"/>
  <c r="J279" i="37"/>
  <c r="J402" i="37"/>
  <c r="J396" i="37"/>
  <c r="J92" i="37"/>
  <c r="J186" i="37"/>
  <c r="E13" i="37" s="1"/>
  <c r="J242" i="37"/>
  <c r="J289" i="37"/>
  <c r="J335" i="37"/>
  <c r="E43" i="37" s="1"/>
  <c r="J361" i="37"/>
  <c r="J383" i="37"/>
  <c r="J103" i="37"/>
  <c r="E8" i="37" s="1"/>
  <c r="J120" i="37"/>
  <c r="E31" i="37" s="1"/>
  <c r="J190" i="37"/>
  <c r="J170" i="37"/>
  <c r="J264" i="37"/>
  <c r="J134" i="37"/>
  <c r="E15" i="37" s="1"/>
  <c r="J165" i="37"/>
  <c r="J247" i="37"/>
  <c r="E53" i="37" s="1"/>
  <c r="J336" i="37"/>
  <c r="J269" i="37"/>
  <c r="J293" i="37"/>
  <c r="J299" i="37"/>
  <c r="E19" i="37" s="1"/>
  <c r="J308" i="37"/>
  <c r="E42" i="37" s="1"/>
  <c r="J313" i="37"/>
  <c r="J318" i="37"/>
  <c r="J323" i="37"/>
  <c r="J342" i="37"/>
  <c r="J347" i="37"/>
  <c r="J406" i="37"/>
  <c r="E25" i="37" l="1"/>
  <c r="J160" i="37"/>
  <c r="J222" i="37"/>
  <c r="E35" i="37"/>
  <c r="J243" i="37"/>
  <c r="J180" i="37"/>
  <c r="E20" i="37"/>
  <c r="E51" i="37"/>
  <c r="E52" i="37"/>
  <c r="J401" i="37"/>
  <c r="E22" i="37"/>
  <c r="E16" i="37"/>
  <c r="J249" i="37"/>
  <c r="E44" i="37" s="1"/>
  <c r="J248" i="37"/>
  <c r="E47" i="37" s="1"/>
  <c r="J338" i="37"/>
  <c r="J337" i="37"/>
  <c r="J329" i="37"/>
  <c r="E54" i="37" s="1"/>
  <c r="J125" i="37"/>
  <c r="J105" i="37"/>
  <c r="E30" i="37" s="1"/>
  <c r="J104" i="37"/>
  <c r="E38" i="37" s="1"/>
  <c r="E34" i="37" l="1"/>
  <c r="E26" i="37"/>
  <c r="J126" i="37"/>
  <c r="E18" i="37" s="1"/>
  <c r="J330" i="37"/>
  <c r="E46" i="37" s="1"/>
  <c r="J331" i="37"/>
  <c r="E48" i="37" s="1"/>
  <c r="J127" i="37" l="1"/>
  <c r="E27" i="37" s="1"/>
  <c r="J129" i="37" l="1"/>
  <c r="E23" i="37" s="1"/>
  <c r="J128" i="37"/>
  <c r="E24" i="37" s="1"/>
  <c r="H1094" i="18" l="1"/>
  <c r="C1094" i="18"/>
  <c r="B1094" i="18"/>
  <c r="I40" i="16"/>
  <c r="K40" i="16"/>
  <c r="L40" i="16"/>
  <c r="M40" i="16"/>
  <c r="B71" i="16"/>
  <c r="B69" i="16"/>
  <c r="B67" i="16"/>
  <c r="A71" i="16"/>
  <c r="A69" i="16"/>
  <c r="A67" i="16"/>
  <c r="E68" i="16"/>
  <c r="F68" i="16"/>
  <c r="G68" i="16"/>
  <c r="H68" i="16"/>
  <c r="I68" i="16"/>
  <c r="K68" i="16"/>
  <c r="L68" i="16"/>
  <c r="M68" i="16"/>
  <c r="A1066" i="18"/>
  <c r="H1066" i="18" s="1"/>
  <c r="A1053" i="18"/>
  <c r="C1053" i="18" s="1"/>
  <c r="A1043" i="18"/>
  <c r="B1043" i="18" s="1"/>
  <c r="A1839" i="18"/>
  <c r="H1839" i="18" s="1"/>
  <c r="A2180" i="18"/>
  <c r="A2055" i="21"/>
  <c r="A2043" i="21"/>
  <c r="H2727" i="21"/>
  <c r="C2727" i="21"/>
  <c r="B2727" i="21"/>
  <c r="A2727" i="21"/>
  <c r="H2744" i="21"/>
  <c r="H2743" i="21"/>
  <c r="H2740" i="21"/>
  <c r="H2741" i="21" s="1"/>
  <c r="H2737" i="21"/>
  <c r="H2736" i="21"/>
  <c r="H2735" i="21"/>
  <c r="H2734" i="21"/>
  <c r="H2733" i="21"/>
  <c r="H2732" i="21"/>
  <c r="H2731" i="21"/>
  <c r="H2730" i="21"/>
  <c r="H2729" i="21"/>
  <c r="J1880" i="21"/>
  <c r="H1882" i="21"/>
  <c r="G8" i="38"/>
  <c r="H2180" i="18" l="1"/>
  <c r="C2180" i="18"/>
  <c r="B2180" i="18"/>
  <c r="H8" i="38"/>
  <c r="B1066" i="18"/>
  <c r="H1053" i="18"/>
  <c r="H1043" i="18"/>
  <c r="B1053" i="18"/>
  <c r="C1066" i="18"/>
  <c r="C1043" i="18"/>
  <c r="B1839" i="18"/>
  <c r="C1839" i="18"/>
  <c r="H2745" i="21"/>
  <c r="H2738" i="21"/>
  <c r="E328" i="13"/>
  <c r="C328" i="13"/>
  <c r="E335" i="13"/>
  <c r="C335" i="13"/>
  <c r="E324" i="13"/>
  <c r="C324" i="13"/>
  <c r="E317" i="13"/>
  <c r="C317" i="13"/>
  <c r="E306" i="13"/>
  <c r="C306" i="13"/>
  <c r="E289" i="13"/>
  <c r="C289" i="13"/>
  <c r="E284" i="13"/>
  <c r="C284" i="13"/>
  <c r="E276" i="13"/>
  <c r="C276" i="13"/>
  <c r="E264" i="13"/>
  <c r="C264" i="13"/>
  <c r="E247" i="13"/>
  <c r="C247" i="13"/>
  <c r="E242" i="13"/>
  <c r="C242" i="13"/>
  <c r="E234" i="13"/>
  <c r="C234" i="13"/>
  <c r="E221" i="13"/>
  <c r="C221" i="13"/>
  <c r="E204" i="13"/>
  <c r="C204" i="13"/>
  <c r="E199" i="13"/>
  <c r="C199" i="13"/>
  <c r="E193" i="13"/>
  <c r="C193" i="13"/>
  <c r="E185" i="13"/>
  <c r="C185" i="13"/>
  <c r="E168" i="13"/>
  <c r="C168" i="13"/>
  <c r="E163" i="13"/>
  <c r="C163" i="13"/>
  <c r="E155" i="13"/>
  <c r="C155" i="13"/>
  <c r="E142" i="13"/>
  <c r="C142" i="13"/>
  <c r="E125" i="13"/>
  <c r="C125" i="13"/>
  <c r="E120" i="13"/>
  <c r="C120" i="13"/>
  <c r="E112" i="13"/>
  <c r="C112" i="13"/>
  <c r="E99" i="13"/>
  <c r="C99" i="13"/>
  <c r="E82" i="13"/>
  <c r="C82" i="13"/>
  <c r="E77" i="13"/>
  <c r="C77" i="13"/>
  <c r="E71" i="13"/>
  <c r="C71" i="13"/>
  <c r="E63" i="13"/>
  <c r="C63" i="13"/>
  <c r="E46" i="13"/>
  <c r="C46" i="13"/>
  <c r="E41" i="13"/>
  <c r="C41" i="13"/>
  <c r="E33" i="13"/>
  <c r="C33" i="13"/>
  <c r="E20" i="13"/>
  <c r="C20" i="13"/>
  <c r="H1192" i="21"/>
  <c r="C1192" i="21"/>
  <c r="B1192" i="21"/>
  <c r="A1192" i="21"/>
  <c r="H1168" i="21"/>
  <c r="C1168" i="21"/>
  <c r="B1168" i="21"/>
  <c r="A1168" i="21"/>
  <c r="H1209" i="21"/>
  <c r="H1208" i="21"/>
  <c r="H1205" i="21"/>
  <c r="H1204" i="21"/>
  <c r="H1203" i="21"/>
  <c r="H1200" i="21"/>
  <c r="H1199" i="21"/>
  <c r="H1198" i="21"/>
  <c r="H1195" i="21"/>
  <c r="H1194" i="21"/>
  <c r="J1192" i="21"/>
  <c r="H1185" i="21"/>
  <c r="H1184" i="21"/>
  <c r="H1181" i="21"/>
  <c r="H1180" i="21"/>
  <c r="H1179" i="21"/>
  <c r="H1176" i="21"/>
  <c r="H1175" i="21"/>
  <c r="H1174" i="21"/>
  <c r="H1171" i="21"/>
  <c r="H1170" i="21"/>
  <c r="H2746" i="21" l="1"/>
  <c r="G384" i="27" s="1"/>
  <c r="H1172" i="21"/>
  <c r="E48" i="13"/>
  <c r="E84" i="13"/>
  <c r="E127" i="13"/>
  <c r="E170" i="13"/>
  <c r="E206" i="13"/>
  <c r="E249" i="13"/>
  <c r="E291" i="13"/>
  <c r="E337" i="13"/>
  <c r="C48" i="13"/>
  <c r="C84" i="13"/>
  <c r="C127" i="13"/>
  <c r="C170" i="13"/>
  <c r="C206" i="13"/>
  <c r="C249" i="13"/>
  <c r="C291" i="13"/>
  <c r="C337" i="13"/>
  <c r="H1210" i="21"/>
  <c r="H1186" i="21"/>
  <c r="H1196" i="21"/>
  <c r="H1206" i="21"/>
  <c r="H1182" i="21"/>
  <c r="H1201" i="21"/>
  <c r="H1177" i="21"/>
  <c r="H1119" i="21"/>
  <c r="H1120" i="21" s="1"/>
  <c r="H1116" i="21"/>
  <c r="H1115" i="21"/>
  <c r="H1114" i="21"/>
  <c r="H1111" i="21"/>
  <c r="H1112" i="21" s="1"/>
  <c r="H11" i="21"/>
  <c r="C11" i="21"/>
  <c r="B11" i="21"/>
  <c r="A11" i="21"/>
  <c r="H19" i="21"/>
  <c r="H17" i="21"/>
  <c r="H16" i="21"/>
  <c r="H15" i="21"/>
  <c r="H14" i="21"/>
  <c r="H13" i="21"/>
  <c r="H2363" i="21"/>
  <c r="H2362" i="21"/>
  <c r="H2361" i="21"/>
  <c r="H2360" i="21"/>
  <c r="H2359" i="21"/>
  <c r="H2358" i="21"/>
  <c r="A3801" i="18"/>
  <c r="H3801" i="18" s="1"/>
  <c r="D188" i="24"/>
  <c r="A1153" i="21"/>
  <c r="H1153" i="21"/>
  <c r="C1153" i="21"/>
  <c r="B1153" i="21"/>
  <c r="H1140" i="21"/>
  <c r="C1140" i="21"/>
  <c r="B1140" i="21"/>
  <c r="A1140" i="21"/>
  <c r="H1164" i="21"/>
  <c r="H1163" i="21"/>
  <c r="H1160" i="21"/>
  <c r="H1159" i="21"/>
  <c r="H1156" i="21"/>
  <c r="H1155" i="21"/>
  <c r="H1149" i="21"/>
  <c r="H1148" i="21"/>
  <c r="H1145" i="21"/>
  <c r="H1144" i="21"/>
  <c r="H1143" i="21"/>
  <c r="E1142" i="21"/>
  <c r="C1142" i="21"/>
  <c r="H1982" i="21"/>
  <c r="C1982" i="21"/>
  <c r="B1982" i="21"/>
  <c r="A1982" i="21"/>
  <c r="H1988" i="21"/>
  <c r="H1987" i="21"/>
  <c r="H1984" i="21"/>
  <c r="H1985" i="21" s="1"/>
  <c r="H2658" i="21"/>
  <c r="C2658" i="21"/>
  <c r="B2658" i="21"/>
  <c r="A2658" i="21"/>
  <c r="H2648" i="21"/>
  <c r="C2648" i="21"/>
  <c r="B2648" i="21"/>
  <c r="A2648" i="21"/>
  <c r="H2633" i="21"/>
  <c r="C2633" i="21"/>
  <c r="B2633" i="21"/>
  <c r="A2633" i="21"/>
  <c r="H2644" i="21"/>
  <c r="H2643" i="21"/>
  <c r="H2642" i="21"/>
  <c r="H2641" i="21"/>
  <c r="H2638" i="21"/>
  <c r="H2637" i="21"/>
  <c r="H2636" i="21"/>
  <c r="H2635" i="21"/>
  <c r="H2664" i="21"/>
  <c r="H2663" i="21"/>
  <c r="H2660" i="21"/>
  <c r="H2661" i="21" s="1"/>
  <c r="H2654" i="21"/>
  <c r="H2653" i="21"/>
  <c r="H2650" i="21"/>
  <c r="H2651" i="21" s="1"/>
  <c r="A2471" i="18"/>
  <c r="A2422" i="18"/>
  <c r="H2422" i="18" s="1"/>
  <c r="A2230" i="18"/>
  <c r="A1994" i="18"/>
  <c r="A1984" i="18"/>
  <c r="H1984" i="18" s="1"/>
  <c r="H184" i="21"/>
  <c r="H183" i="21"/>
  <c r="H180" i="21"/>
  <c r="H179" i="21"/>
  <c r="H178" i="21"/>
  <c r="H175" i="21"/>
  <c r="H176" i="21" s="1"/>
  <c r="H172" i="21"/>
  <c r="H171" i="21"/>
  <c r="H2404" i="21"/>
  <c r="C2404" i="21"/>
  <c r="B2404" i="21"/>
  <c r="A2404" i="21"/>
  <c r="H2410" i="21"/>
  <c r="H2409" i="21"/>
  <c r="H2406" i="21"/>
  <c r="H2407" i="21" s="1"/>
  <c r="H678" i="21"/>
  <c r="H677" i="21"/>
  <c r="H674" i="21"/>
  <c r="H673" i="21"/>
  <c r="H670" i="21"/>
  <c r="H669" i="21"/>
  <c r="H666" i="21"/>
  <c r="H665" i="21"/>
  <c r="H1973" i="21"/>
  <c r="C1973" i="21"/>
  <c r="B1973" i="21"/>
  <c r="A1973" i="21"/>
  <c r="H1978" i="21"/>
  <c r="H1979" i="21" s="1"/>
  <c r="H1975" i="21"/>
  <c r="H1976" i="21" s="1"/>
  <c r="H2687" i="21"/>
  <c r="C2687" i="21"/>
  <c r="B2687" i="21"/>
  <c r="A2687" i="21"/>
  <c r="H2694" i="21"/>
  <c r="H2693" i="21"/>
  <c r="H2690" i="21"/>
  <c r="H2689" i="21"/>
  <c r="A3822" i="18"/>
  <c r="B3822" i="18" s="1"/>
  <c r="A3812" i="18"/>
  <c r="H3812" i="18" s="1"/>
  <c r="A3791" i="18"/>
  <c r="A3781" i="18"/>
  <c r="A3771" i="18"/>
  <c r="A3761" i="18"/>
  <c r="A3748" i="18"/>
  <c r="A3735" i="18"/>
  <c r="A3725" i="18"/>
  <c r="A3712" i="18"/>
  <c r="C3712" i="18" s="1"/>
  <c r="A3702" i="18"/>
  <c r="H3702" i="18" s="1"/>
  <c r="A3696" i="18"/>
  <c r="H3696" i="18" s="1"/>
  <c r="B149" i="16"/>
  <c r="B147" i="16"/>
  <c r="B145" i="16"/>
  <c r="B143" i="16"/>
  <c r="A149" i="16"/>
  <c r="A147" i="16"/>
  <c r="A145" i="16"/>
  <c r="A143" i="16"/>
  <c r="G710" i="27"/>
  <c r="G687" i="27"/>
  <c r="G677" i="27"/>
  <c r="G656" i="27"/>
  <c r="G653" i="27"/>
  <c r="G387" i="27"/>
  <c r="A3151" i="18"/>
  <c r="A3140" i="18"/>
  <c r="A3134" i="18"/>
  <c r="A3124" i="18"/>
  <c r="A3114" i="18"/>
  <c r="A3107" i="18"/>
  <c r="A3100" i="18"/>
  <c r="A3074" i="18"/>
  <c r="H3074" i="18" s="1"/>
  <c r="A3061" i="18"/>
  <c r="H3061" i="18" s="1"/>
  <c r="A3050" i="18"/>
  <c r="A3039" i="18"/>
  <c r="A3028" i="18"/>
  <c r="A3017" i="18"/>
  <c r="A3005" i="18"/>
  <c r="A2993" i="18"/>
  <c r="A2980" i="18"/>
  <c r="A2967" i="18"/>
  <c r="A2955" i="18"/>
  <c r="A2943" i="18"/>
  <c r="A2930" i="18"/>
  <c r="A2918" i="18"/>
  <c r="A2906" i="18"/>
  <c r="A2893" i="18"/>
  <c r="A2880" i="18"/>
  <c r="A2868" i="18"/>
  <c r="A2842" i="18"/>
  <c r="H2842" i="18" s="1"/>
  <c r="A2831" i="18"/>
  <c r="A2820" i="18"/>
  <c r="A2809" i="18"/>
  <c r="A2798" i="18"/>
  <c r="A2787" i="18"/>
  <c r="A2776" i="18"/>
  <c r="A2765" i="18"/>
  <c r="A2754" i="18"/>
  <c r="A2743" i="18"/>
  <c r="A2732" i="18"/>
  <c r="A2721" i="18"/>
  <c r="A2710" i="18"/>
  <c r="A2699" i="18"/>
  <c r="H2699" i="18" s="1"/>
  <c r="A2687" i="18"/>
  <c r="A2675" i="18"/>
  <c r="A2663" i="18"/>
  <c r="A2651" i="18"/>
  <c r="A2639" i="18"/>
  <c r="A2627" i="18"/>
  <c r="A2615" i="18"/>
  <c r="A2603" i="18"/>
  <c r="A2591" i="18"/>
  <c r="A2579" i="18"/>
  <c r="A2566" i="18"/>
  <c r="A2551" i="18"/>
  <c r="A2536" i="18"/>
  <c r="A2523" i="18"/>
  <c r="A2510" i="18"/>
  <c r="A2497" i="18"/>
  <c r="A2484" i="18"/>
  <c r="A2458" i="18"/>
  <c r="A2445" i="18"/>
  <c r="A2432" i="18"/>
  <c r="A2412" i="18"/>
  <c r="H2412" i="18" s="1"/>
  <c r="A2401" i="18"/>
  <c r="H2401" i="18" s="1"/>
  <c r="A2390" i="18"/>
  <c r="H2390" i="18" s="1"/>
  <c r="A2286" i="18"/>
  <c r="E1003" i="21"/>
  <c r="C1003" i="21"/>
  <c r="B1003" i="21"/>
  <c r="E919" i="21"/>
  <c r="C919" i="21"/>
  <c r="B919" i="21"/>
  <c r="H920" i="21"/>
  <c r="D180" i="24"/>
  <c r="G1003" i="21" s="1"/>
  <c r="D172" i="24"/>
  <c r="H919" i="21" s="1"/>
  <c r="B121" i="16"/>
  <c r="B119" i="16"/>
  <c r="B117" i="16"/>
  <c r="B115" i="16"/>
  <c r="A121" i="16"/>
  <c r="A119" i="16"/>
  <c r="A117" i="16"/>
  <c r="A115" i="16"/>
  <c r="B113" i="16"/>
  <c r="A113" i="16"/>
  <c r="H1127" i="21"/>
  <c r="C1127" i="21"/>
  <c r="B1127" i="21"/>
  <c r="A1127" i="21"/>
  <c r="H1134" i="21"/>
  <c r="H1133" i="21"/>
  <c r="H1130" i="21"/>
  <c r="H1129" i="21"/>
  <c r="J1127" i="21"/>
  <c r="B2497" i="18" l="1"/>
  <c r="H2497" i="18"/>
  <c r="C2497" i="18"/>
  <c r="B2651" i="18"/>
  <c r="H2651" i="18"/>
  <c r="C2651" i="18"/>
  <c r="C2993" i="18"/>
  <c r="B2993" i="18"/>
  <c r="H2993" i="18"/>
  <c r="C2458" i="18"/>
  <c r="B2458" i="18"/>
  <c r="H2458" i="18"/>
  <c r="H2523" i="18"/>
  <c r="C2523" i="18"/>
  <c r="B2523" i="18"/>
  <c r="H2579" i="18"/>
  <c r="C2579" i="18"/>
  <c r="B2579" i="18"/>
  <c r="H2627" i="18"/>
  <c r="C2627" i="18"/>
  <c r="B2627" i="18"/>
  <c r="H2675" i="18"/>
  <c r="C2675" i="18"/>
  <c r="B2675" i="18"/>
  <c r="C2721" i="18"/>
  <c r="B2721" i="18"/>
  <c r="H2721" i="18"/>
  <c r="C2765" i="18"/>
  <c r="B2765" i="18"/>
  <c r="H2765" i="18"/>
  <c r="C2809" i="18"/>
  <c r="B2809" i="18"/>
  <c r="H2809" i="18"/>
  <c r="H2918" i="18"/>
  <c r="C2918" i="18"/>
  <c r="B2918" i="18"/>
  <c r="H2967" i="18"/>
  <c r="C2967" i="18"/>
  <c r="B2967" i="18"/>
  <c r="B3114" i="18"/>
  <c r="H3114" i="18"/>
  <c r="C3114" i="18"/>
  <c r="B3151" i="18"/>
  <c r="H3151" i="18"/>
  <c r="C3151" i="18"/>
  <c r="H3748" i="18"/>
  <c r="C3748" i="18"/>
  <c r="B3748" i="18"/>
  <c r="H3791" i="18"/>
  <c r="C3791" i="18"/>
  <c r="B3791" i="18"/>
  <c r="H2471" i="18"/>
  <c r="C2471" i="18"/>
  <c r="B2471" i="18"/>
  <c r="B2603" i="18"/>
  <c r="H2603" i="18"/>
  <c r="C2603" i="18"/>
  <c r="H2831" i="18"/>
  <c r="C2831" i="18"/>
  <c r="B2831" i="18"/>
  <c r="H2484" i="18"/>
  <c r="C2484" i="18"/>
  <c r="B2484" i="18"/>
  <c r="H2536" i="18"/>
  <c r="C2536" i="18"/>
  <c r="B2536" i="18"/>
  <c r="H2591" i="18"/>
  <c r="C2591" i="18"/>
  <c r="B2591" i="18"/>
  <c r="H2639" i="18"/>
  <c r="C2639" i="18"/>
  <c r="B2639" i="18"/>
  <c r="H2687" i="18"/>
  <c r="C2687" i="18"/>
  <c r="B2687" i="18"/>
  <c r="H2732" i="18"/>
  <c r="C2732" i="18"/>
  <c r="B2732" i="18"/>
  <c r="H2776" i="18"/>
  <c r="C2776" i="18"/>
  <c r="B2776" i="18"/>
  <c r="H2820" i="18"/>
  <c r="C2820" i="18"/>
  <c r="B2820" i="18"/>
  <c r="B2880" i="18"/>
  <c r="H2880" i="18"/>
  <c r="C2880" i="18"/>
  <c r="B2930" i="18"/>
  <c r="H2930" i="18"/>
  <c r="C2930" i="18"/>
  <c r="B2980" i="18"/>
  <c r="H2980" i="18"/>
  <c r="C2980" i="18"/>
  <c r="C3124" i="18"/>
  <c r="B3124" i="18"/>
  <c r="H3124" i="18"/>
  <c r="B3761" i="18"/>
  <c r="H3761" i="18"/>
  <c r="C3761" i="18"/>
  <c r="C2286" i="18"/>
  <c r="B2286" i="18"/>
  <c r="H2286" i="18"/>
  <c r="B2551" i="18"/>
  <c r="H2551" i="18"/>
  <c r="C2551" i="18"/>
  <c r="H2743" i="18"/>
  <c r="C2743" i="18"/>
  <c r="B2743" i="18"/>
  <c r="C2893" i="18"/>
  <c r="B2893" i="18"/>
  <c r="H2893" i="18"/>
  <c r="H3134" i="18"/>
  <c r="C3134" i="18"/>
  <c r="B3134" i="18"/>
  <c r="C3771" i="18"/>
  <c r="B3771" i="18"/>
  <c r="H3771" i="18"/>
  <c r="H2230" i="18"/>
  <c r="C2230" i="18"/>
  <c r="B2230" i="18"/>
  <c r="H2787" i="18"/>
  <c r="C2787" i="18"/>
  <c r="B2787" i="18"/>
  <c r="C2943" i="18"/>
  <c r="B2943" i="18"/>
  <c r="H2943" i="18"/>
  <c r="B2445" i="18"/>
  <c r="H2445" i="18"/>
  <c r="C2445" i="18"/>
  <c r="C2510" i="18"/>
  <c r="B2510" i="18"/>
  <c r="H2510" i="18"/>
  <c r="C2566" i="18"/>
  <c r="B2566" i="18"/>
  <c r="H2566" i="18"/>
  <c r="C2615" i="18"/>
  <c r="B2615" i="18"/>
  <c r="H2615" i="18"/>
  <c r="C2663" i="18"/>
  <c r="B2663" i="18"/>
  <c r="H2663" i="18"/>
  <c r="B2710" i="18"/>
  <c r="H2710" i="18"/>
  <c r="C2710" i="18"/>
  <c r="B2754" i="18"/>
  <c r="H2754" i="18"/>
  <c r="C2754" i="18"/>
  <c r="B2798" i="18"/>
  <c r="H2798" i="18"/>
  <c r="C2798" i="18"/>
  <c r="H2906" i="18"/>
  <c r="C2906" i="18"/>
  <c r="B2906" i="18"/>
  <c r="H2955" i="18"/>
  <c r="C2955" i="18"/>
  <c r="B2955" i="18"/>
  <c r="H3005" i="18"/>
  <c r="C3005" i="18"/>
  <c r="B3005" i="18"/>
  <c r="H3107" i="18"/>
  <c r="C3107" i="18"/>
  <c r="B3107" i="18"/>
  <c r="H3140" i="18"/>
  <c r="C3140" i="18"/>
  <c r="B3140" i="18"/>
  <c r="H3781" i="18"/>
  <c r="C3781" i="18"/>
  <c r="B3781" i="18"/>
  <c r="B3039" i="18"/>
  <c r="H3039" i="18"/>
  <c r="C3039" i="18"/>
  <c r="C1994" i="18"/>
  <c r="B1994" i="18"/>
  <c r="H1994" i="18"/>
  <c r="C3028" i="18"/>
  <c r="H3028" i="18"/>
  <c r="B3028" i="18"/>
  <c r="H3725" i="18"/>
  <c r="B3725" i="18"/>
  <c r="C3725" i="18"/>
  <c r="C3050" i="18"/>
  <c r="B3050" i="18"/>
  <c r="H3050" i="18"/>
  <c r="C2868" i="18"/>
  <c r="H2868" i="18"/>
  <c r="B2868" i="18"/>
  <c r="C3017" i="18"/>
  <c r="H3017" i="18"/>
  <c r="B3017" i="18"/>
  <c r="H2432" i="18"/>
  <c r="C2432" i="18"/>
  <c r="B2432" i="18"/>
  <c r="C3100" i="18"/>
  <c r="H3100" i="18"/>
  <c r="B3100" i="18"/>
  <c r="H3735" i="18"/>
  <c r="C3735" i="18"/>
  <c r="B3735" i="18"/>
  <c r="H1187" i="21"/>
  <c r="G97" i="27" s="1"/>
  <c r="H1211" i="21"/>
  <c r="G98" i="27" s="1"/>
  <c r="H1117" i="21"/>
  <c r="B3801" i="18"/>
  <c r="C3801" i="18"/>
  <c r="H1150" i="21"/>
  <c r="H1161" i="21"/>
  <c r="H1157" i="21"/>
  <c r="H1989" i="21"/>
  <c r="H1990" i="21" s="1"/>
  <c r="G483" i="27" s="1"/>
  <c r="H1165" i="21"/>
  <c r="H2655" i="21"/>
  <c r="H2656" i="21" s="1"/>
  <c r="G481" i="27" s="1"/>
  <c r="H2639" i="21"/>
  <c r="H2645" i="21"/>
  <c r="H2665" i="21"/>
  <c r="H2666" i="21" s="1"/>
  <c r="G482" i="27" s="1"/>
  <c r="B2422" i="18"/>
  <c r="C2422" i="18"/>
  <c r="B1984" i="18"/>
  <c r="C1984" i="18"/>
  <c r="H185" i="21"/>
  <c r="H173" i="21"/>
  <c r="H181" i="21"/>
  <c r="H2411" i="21"/>
  <c r="H2412" i="21" s="1"/>
  <c r="G460" i="27" s="1"/>
  <c r="H671" i="21"/>
  <c r="H675" i="21"/>
  <c r="H667" i="21"/>
  <c r="H921" i="21"/>
  <c r="H679" i="21"/>
  <c r="H1135" i="21"/>
  <c r="H1980" i="21"/>
  <c r="G330" i="27" s="1"/>
  <c r="H2695" i="21"/>
  <c r="H2691" i="21"/>
  <c r="H1131" i="21"/>
  <c r="B3812" i="18"/>
  <c r="C3822" i="18"/>
  <c r="C3812" i="18"/>
  <c r="H3822" i="18"/>
  <c r="H3712" i="18"/>
  <c r="B3712" i="18"/>
  <c r="B3702" i="18"/>
  <c r="C3702" i="18"/>
  <c r="B3696" i="18"/>
  <c r="C3696" i="18"/>
  <c r="B2390" i="18"/>
  <c r="B2401" i="18"/>
  <c r="B2412" i="18"/>
  <c r="B2699" i="18"/>
  <c r="B2842" i="18"/>
  <c r="B3061" i="18"/>
  <c r="B3074" i="18"/>
  <c r="C2390" i="18"/>
  <c r="C2401" i="18"/>
  <c r="C2412" i="18"/>
  <c r="C2699" i="18"/>
  <c r="C2842" i="18"/>
  <c r="C3061" i="18"/>
  <c r="C3074" i="18"/>
  <c r="H1166" i="21" l="1"/>
  <c r="G200" i="27" s="1"/>
  <c r="H2646" i="21"/>
  <c r="G480" i="27" s="1"/>
  <c r="H186" i="21"/>
  <c r="H680" i="21"/>
  <c r="H1136" i="21"/>
  <c r="H2696" i="21"/>
  <c r="G320" i="27" s="1"/>
  <c r="E58" i="37" l="1"/>
  <c r="E56" i="37"/>
  <c r="E28" i="37"/>
  <c r="E39" i="37"/>
  <c r="G212" i="27"/>
  <c r="G227" i="27"/>
  <c r="H760" i="21" l="1"/>
  <c r="H1105" i="21"/>
  <c r="C1105" i="21"/>
  <c r="B1105" i="21"/>
  <c r="A1105" i="21"/>
  <c r="H1093" i="21"/>
  <c r="C1093" i="21"/>
  <c r="B1093" i="21"/>
  <c r="A1093" i="21"/>
  <c r="H1077" i="21"/>
  <c r="C1077" i="21"/>
  <c r="B1077" i="21"/>
  <c r="A1077" i="21"/>
  <c r="A1875" i="18"/>
  <c r="H1057" i="21"/>
  <c r="C1057" i="21"/>
  <c r="B1057" i="21"/>
  <c r="A1057" i="21"/>
  <c r="H1037" i="21"/>
  <c r="C1037" i="21"/>
  <c r="B1037" i="21"/>
  <c r="A1037" i="21"/>
  <c r="H1099" i="21"/>
  <c r="H1100" i="21" s="1"/>
  <c r="H1096" i="21"/>
  <c r="H1095" i="21"/>
  <c r="H1087" i="21"/>
  <c r="H1088" i="21" s="1"/>
  <c r="H1084" i="21"/>
  <c r="H1083" i="21"/>
  <c r="H1080" i="21"/>
  <c r="H1079" i="21"/>
  <c r="H1071" i="21"/>
  <c r="H1070" i="21"/>
  <c r="H1067" i="21"/>
  <c r="H1066" i="21"/>
  <c r="H1065" i="21"/>
  <c r="H1062" i="21"/>
  <c r="H1061" i="21"/>
  <c r="H1060" i="21"/>
  <c r="H1059" i="21"/>
  <c r="H1051" i="21"/>
  <c r="H1050" i="21"/>
  <c r="H1047" i="21"/>
  <c r="H1046" i="21"/>
  <c r="H1045" i="21"/>
  <c r="H1042" i="21"/>
  <c r="H1041" i="21"/>
  <c r="H1040" i="21"/>
  <c r="H1039" i="21"/>
  <c r="J1037" i="21"/>
  <c r="H2392" i="21"/>
  <c r="C2392" i="21"/>
  <c r="B2392" i="21"/>
  <c r="A2392" i="21"/>
  <c r="H959" i="21"/>
  <c r="C959" i="21"/>
  <c r="B959" i="21"/>
  <c r="A959" i="21"/>
  <c r="H968" i="21"/>
  <c r="H967" i="21"/>
  <c r="H963" i="21"/>
  <c r="H962" i="21"/>
  <c r="H961" i="21"/>
  <c r="J959" i="21"/>
  <c r="H1960" i="21"/>
  <c r="C1960" i="21"/>
  <c r="B1960" i="21"/>
  <c r="A1960" i="21"/>
  <c r="H1969" i="21"/>
  <c r="H1968" i="21"/>
  <c r="H1964" i="21"/>
  <c r="H1963" i="21"/>
  <c r="H1962" i="21"/>
  <c r="H2398" i="21"/>
  <c r="C2398" i="21"/>
  <c r="B2398" i="21"/>
  <c r="A2398" i="21"/>
  <c r="H2400" i="21"/>
  <c r="H2394" i="21"/>
  <c r="H2717" i="21"/>
  <c r="C2717" i="21"/>
  <c r="B2717" i="21"/>
  <c r="A2717" i="21"/>
  <c r="H2707" i="21"/>
  <c r="C2707" i="21"/>
  <c r="B2707" i="21"/>
  <c r="A2707" i="21"/>
  <c r="H2723" i="21"/>
  <c r="H2722" i="21"/>
  <c r="H2719" i="21"/>
  <c r="H2720" i="21" s="1"/>
  <c r="H2713" i="21"/>
  <c r="H2712" i="21"/>
  <c r="H2709" i="21"/>
  <c r="H2710" i="21" s="1"/>
  <c r="H2618" i="21"/>
  <c r="C2618" i="21"/>
  <c r="B2618" i="21"/>
  <c r="H2629" i="21"/>
  <c r="H2628" i="21"/>
  <c r="H2627" i="21"/>
  <c r="H2626" i="21"/>
  <c r="H2623" i="21"/>
  <c r="H2622" i="21"/>
  <c r="H2621" i="21"/>
  <c r="H2620" i="21"/>
  <c r="H1875" i="18" l="1"/>
  <c r="C1875" i="18"/>
  <c r="B1875" i="18"/>
  <c r="H965" i="21"/>
  <c r="H1966" i="21"/>
  <c r="I8" i="38"/>
  <c r="H2401" i="21"/>
  <c r="H2402" i="21" s="1"/>
  <c r="G283" i="27" s="1"/>
  <c r="H1063" i="21"/>
  <c r="H1068" i="21"/>
  <c r="H1097" i="21"/>
  <c r="H1101" i="21" s="1"/>
  <c r="G220" i="27" s="1"/>
  <c r="H1081" i="21"/>
  <c r="H1052" i="21"/>
  <c r="H1072" i="21"/>
  <c r="H1085" i="21"/>
  <c r="H1043" i="21"/>
  <c r="H1048" i="21"/>
  <c r="H969" i="21"/>
  <c r="H1970" i="21"/>
  <c r="H2714" i="21"/>
  <c r="H2715" i="21" s="1"/>
  <c r="G272" i="27" s="1"/>
  <c r="H2395" i="21"/>
  <c r="H2396" i="21" s="1"/>
  <c r="G184" i="27" s="1"/>
  <c r="H2724" i="21"/>
  <c r="H2725" i="21" s="1"/>
  <c r="G178" i="27" s="1"/>
  <c r="H2624" i="21"/>
  <c r="H2630" i="21"/>
  <c r="G275" i="27" l="1"/>
  <c r="G95" i="27"/>
  <c r="H1089" i="21"/>
  <c r="G367" i="27" s="1"/>
  <c r="H1073" i="21"/>
  <c r="G355" i="27" s="1"/>
  <c r="H1053" i="21"/>
  <c r="G354" i="27" s="1"/>
  <c r="H970" i="21"/>
  <c r="G181" i="27" s="1"/>
  <c r="H1971" i="21"/>
  <c r="G179" i="27" s="1"/>
  <c r="H2631" i="21"/>
  <c r="G479" i="27" s="1"/>
  <c r="J8" i="38" l="1"/>
  <c r="H1108" i="21"/>
  <c r="H1107" i="21"/>
  <c r="H1109" i="21" l="1"/>
  <c r="H1121" i="21" l="1"/>
  <c r="G55" i="27" s="1"/>
  <c r="C1015" i="21"/>
  <c r="B1015" i="21"/>
  <c r="D164" i="24"/>
  <c r="G1015" i="21" s="1"/>
  <c r="H1015" i="21" s="1"/>
  <c r="H1016" i="21" s="1"/>
  <c r="H1026" i="21"/>
  <c r="H1023" i="21"/>
  <c r="C1023" i="21"/>
  <c r="B1023" i="21"/>
  <c r="A1023" i="21"/>
  <c r="H1013" i="21"/>
  <c r="C1013" i="21"/>
  <c r="B1013" i="21"/>
  <c r="A1013" i="21"/>
  <c r="H1033" i="21"/>
  <c r="H1034" i="21" s="1"/>
  <c r="H1030" i="21"/>
  <c r="H1029" i="21"/>
  <c r="H1025" i="21"/>
  <c r="H1019" i="21"/>
  <c r="H1018" i="21"/>
  <c r="H2386" i="21"/>
  <c r="C2386" i="21"/>
  <c r="B2386" i="21"/>
  <c r="A2386" i="21"/>
  <c r="H2388" i="21"/>
  <c r="H2371" i="21"/>
  <c r="C2371" i="21"/>
  <c r="B2371" i="21"/>
  <c r="A2371" i="21"/>
  <c r="H2382" i="21"/>
  <c r="H2383" i="21" s="1"/>
  <c r="H2379" i="21"/>
  <c r="H2380" i="21" s="1"/>
  <c r="H2376" i="21"/>
  <c r="H2377" i="21" s="1"/>
  <c r="H2373" i="21"/>
  <c r="H2374" i="21" s="1"/>
  <c r="H1430" i="21"/>
  <c r="H1429" i="21"/>
  <c r="H1426" i="21"/>
  <c r="H1425" i="21"/>
  <c r="H1424" i="21"/>
  <c r="H2367" i="21"/>
  <c r="H2366" i="21"/>
  <c r="H2357" i="21"/>
  <c r="H2356" i="21"/>
  <c r="A1926" i="18"/>
  <c r="H1926" i="18" s="1"/>
  <c r="H1007" i="21"/>
  <c r="H1006" i="21"/>
  <c r="H1003" i="21"/>
  <c r="H1004" i="21" s="1"/>
  <c r="J1001" i="21"/>
  <c r="H1001" i="21"/>
  <c r="C1001" i="21"/>
  <c r="B1001" i="21"/>
  <c r="A1001" i="21"/>
  <c r="H995" i="21"/>
  <c r="H994" i="21"/>
  <c r="H991" i="21"/>
  <c r="H992" i="21" s="1"/>
  <c r="J989" i="21"/>
  <c r="H989" i="21"/>
  <c r="C989" i="21"/>
  <c r="B989" i="21"/>
  <c r="A989" i="21"/>
  <c r="H1027" i="21" l="1"/>
  <c r="H1031" i="21"/>
  <c r="H1020" i="21"/>
  <c r="H1021" i="21" s="1"/>
  <c r="G657" i="27" s="1"/>
  <c r="H2389" i="21"/>
  <c r="H2390" i="21" s="1"/>
  <c r="G668" i="27" s="1"/>
  <c r="H1431" i="21"/>
  <c r="H2384" i="21"/>
  <c r="G652" i="27" s="1"/>
  <c r="H2368" i="21"/>
  <c r="H1427" i="21"/>
  <c r="H2364" i="21"/>
  <c r="B1926" i="18"/>
  <c r="C1926" i="18"/>
  <c r="H1008" i="21"/>
  <c r="H1009" i="21" s="1"/>
  <c r="G579" i="27" s="1"/>
  <c r="H996" i="21"/>
  <c r="H997" i="21" s="1"/>
  <c r="G576" i="27" s="1"/>
  <c r="H1035" i="21" l="1"/>
  <c r="G361" i="27" s="1"/>
  <c r="H2369" i="21"/>
  <c r="G391" i="27" s="1"/>
  <c r="H1432" i="21"/>
  <c r="G186" i="27" s="1"/>
  <c r="M34" i="16" l="1"/>
  <c r="L34" i="16"/>
  <c r="K34" i="16"/>
  <c r="J34" i="16"/>
  <c r="I34" i="16"/>
  <c r="H34" i="16"/>
  <c r="G34" i="16"/>
  <c r="F34" i="16"/>
  <c r="A2276" i="18"/>
  <c r="H2276" i="18" s="1"/>
  <c r="H2595" i="21"/>
  <c r="C2595" i="21"/>
  <c r="B2595" i="21"/>
  <c r="A2595" i="21"/>
  <c r="H2614" i="21"/>
  <c r="H2613" i="21"/>
  <c r="H2612" i="21"/>
  <c r="H2611" i="21"/>
  <c r="H2608" i="21"/>
  <c r="H2607" i="21"/>
  <c r="H2606" i="21"/>
  <c r="H2605" i="21"/>
  <c r="H2604" i="21"/>
  <c r="H2603" i="21"/>
  <c r="H2602" i="21"/>
  <c r="H2601" i="21"/>
  <c r="H2600" i="21"/>
  <c r="H2597" i="21"/>
  <c r="H2598" i="21" s="1"/>
  <c r="A1860" i="18"/>
  <c r="A1849" i="18"/>
  <c r="B1849" i="18" s="1"/>
  <c r="H974" i="21"/>
  <c r="C974" i="21"/>
  <c r="B974" i="21"/>
  <c r="A974" i="21"/>
  <c r="A1012" i="18"/>
  <c r="A1001" i="18"/>
  <c r="H1860" i="18" l="1"/>
  <c r="C1860" i="18"/>
  <c r="B1860" i="18"/>
  <c r="H1001" i="18"/>
  <c r="B1001" i="18"/>
  <c r="C1001" i="18"/>
  <c r="B1012" i="18"/>
  <c r="C1012" i="18"/>
  <c r="H1012" i="18"/>
  <c r="B2276" i="18"/>
  <c r="C2276" i="18"/>
  <c r="C1849" i="18"/>
  <c r="H2615" i="21"/>
  <c r="H2609" i="21"/>
  <c r="H1849" i="18"/>
  <c r="H2616" i="21" l="1"/>
  <c r="G380" i="27" s="1"/>
  <c r="A853" i="18"/>
  <c r="A352" i="18"/>
  <c r="A4133" i="18"/>
  <c r="A4127" i="18"/>
  <c r="A4118" i="18"/>
  <c r="A4108" i="18"/>
  <c r="A4102" i="18"/>
  <c r="A4091" i="18"/>
  <c r="A4085" i="18"/>
  <c r="A4079" i="18"/>
  <c r="A4069" i="18"/>
  <c r="A4059" i="18"/>
  <c r="A4048" i="18"/>
  <c r="A4042" i="18"/>
  <c r="A4032" i="18"/>
  <c r="A4022" i="18"/>
  <c r="A4016" i="18"/>
  <c r="A4010" i="18"/>
  <c r="A3999" i="18"/>
  <c r="A3988" i="18"/>
  <c r="A3977" i="18"/>
  <c r="A3966" i="18"/>
  <c r="A3945" i="18"/>
  <c r="A3928" i="18"/>
  <c r="A3911" i="18"/>
  <c r="A3894" i="18"/>
  <c r="A3883" i="18"/>
  <c r="A3872" i="18"/>
  <c r="A3866" i="18"/>
  <c r="A3856" i="18"/>
  <c r="A3846" i="18"/>
  <c r="A3839" i="18"/>
  <c r="A3832" i="18"/>
  <c r="A3686" i="18"/>
  <c r="A3676" i="18"/>
  <c r="A3666" i="18"/>
  <c r="A3653" i="18"/>
  <c r="A3640" i="18"/>
  <c r="A3634" i="18"/>
  <c r="A3624" i="18"/>
  <c r="A3614" i="18"/>
  <c r="A3603" i="18"/>
  <c r="A3592" i="18"/>
  <c r="A3581" i="18"/>
  <c r="A3570" i="18"/>
  <c r="A3559" i="18"/>
  <c r="A3548" i="18"/>
  <c r="A3537" i="18"/>
  <c r="A3531" i="18"/>
  <c r="A3524" i="18"/>
  <c r="A3514" i="18"/>
  <c r="A3507" i="18"/>
  <c r="A3500" i="18"/>
  <c r="A3493" i="18"/>
  <c r="A3486" i="18"/>
  <c r="A3479" i="18"/>
  <c r="A3472" i="18"/>
  <c r="A3461" i="18"/>
  <c r="A3451" i="18"/>
  <c r="A3445" i="18"/>
  <c r="A3434" i="18"/>
  <c r="A3423" i="18"/>
  <c r="A3412" i="18"/>
  <c r="A3401" i="18"/>
  <c r="A3390" i="18"/>
  <c r="A3379" i="18"/>
  <c r="A3368" i="18"/>
  <c r="A3357" i="18"/>
  <c r="A3346" i="18"/>
  <c r="A3335" i="18"/>
  <c r="A3324" i="18"/>
  <c r="A3313" i="18"/>
  <c r="A3302" i="18"/>
  <c r="A3291" i="18"/>
  <c r="A3280" i="18"/>
  <c r="A3269" i="18"/>
  <c r="A3249" i="18"/>
  <c r="A3239" i="18"/>
  <c r="A3226" i="18"/>
  <c r="A3213" i="18"/>
  <c r="A3203" i="18"/>
  <c r="A3193" i="18"/>
  <c r="A3183" i="18"/>
  <c r="A3172" i="18"/>
  <c r="A3162" i="18"/>
  <c r="A2357" i="18"/>
  <c r="A2344" i="18"/>
  <c r="A2331" i="18"/>
  <c r="A2318" i="18"/>
  <c r="A2307" i="18"/>
  <c r="A2296" i="18"/>
  <c r="A2265" i="18"/>
  <c r="A2254" i="18"/>
  <c r="A2243" i="18"/>
  <c r="A2218" i="18"/>
  <c r="A2206" i="18"/>
  <c r="A2193" i="18"/>
  <c r="A2167" i="18"/>
  <c r="A2154" i="18"/>
  <c r="A2141" i="18"/>
  <c r="A2128" i="18"/>
  <c r="A2102" i="18"/>
  <c r="A2089" i="18"/>
  <c r="A2076" i="18"/>
  <c r="A2063" i="18"/>
  <c r="A2050" i="18"/>
  <c r="A2037" i="18"/>
  <c r="A2024" i="18"/>
  <c r="A2014" i="18"/>
  <c r="A2004" i="18"/>
  <c r="A1971" i="18"/>
  <c r="A1961" i="18"/>
  <c r="A1915" i="18"/>
  <c r="A1904" i="18"/>
  <c r="A1892" i="18"/>
  <c r="A1828" i="18"/>
  <c r="A1810" i="18"/>
  <c r="A1795" i="18"/>
  <c r="A1784" i="18"/>
  <c r="A1773" i="18"/>
  <c r="A1763" i="18"/>
  <c r="A1752" i="18"/>
  <c r="A1739" i="18"/>
  <c r="A1726" i="18"/>
  <c r="A1716" i="18"/>
  <c r="A1706" i="18"/>
  <c r="A1696" i="18"/>
  <c r="A1686" i="18"/>
  <c r="A1673" i="18"/>
  <c r="A1663" i="18"/>
  <c r="A1653" i="18"/>
  <c r="A1643" i="18"/>
  <c r="A1633" i="18"/>
  <c r="A1619" i="18"/>
  <c r="A1598" i="18"/>
  <c r="A1588" i="18"/>
  <c r="A1581" i="18"/>
  <c r="A1570" i="18"/>
  <c r="A1559" i="18"/>
  <c r="A1548" i="18"/>
  <c r="A1537" i="18"/>
  <c r="A1526" i="18"/>
  <c r="A1515" i="18"/>
  <c r="A1450" i="18"/>
  <c r="A1440" i="18"/>
  <c r="A1422" i="18"/>
  <c r="A1404" i="18"/>
  <c r="A1394" i="18"/>
  <c r="A1384" i="18"/>
  <c r="A1374" i="18"/>
  <c r="A1364" i="18"/>
  <c r="A1354" i="18"/>
  <c r="A1344" i="18"/>
  <c r="A1334" i="18"/>
  <c r="A1312" i="18"/>
  <c r="A1302" i="18"/>
  <c r="A1292" i="18"/>
  <c r="A1282" i="18"/>
  <c r="A1269" i="18"/>
  <c r="A1249" i="18"/>
  <c r="A1235" i="18"/>
  <c r="A1221" i="18"/>
  <c r="A1207" i="18"/>
  <c r="A1192" i="18"/>
  <c r="A1174" i="18"/>
  <c r="A1156" i="18"/>
  <c r="A1138" i="18"/>
  <c r="A1119" i="18"/>
  <c r="A1104" i="18"/>
  <c r="A1079" i="18"/>
  <c r="A1028" i="18"/>
  <c r="A991" i="18"/>
  <c r="A976" i="18"/>
  <c r="A961" i="18"/>
  <c r="A951" i="18"/>
  <c r="A941" i="18"/>
  <c r="A931" i="18"/>
  <c r="A921" i="18"/>
  <c r="A911" i="18"/>
  <c r="A896" i="18"/>
  <c r="A881" i="18"/>
  <c r="A867" i="18"/>
  <c r="A834" i="18"/>
  <c r="A820" i="18"/>
  <c r="A806" i="18"/>
  <c r="A792" i="18"/>
  <c r="A778" i="18"/>
  <c r="A764" i="18"/>
  <c r="A753" i="18"/>
  <c r="A739" i="18"/>
  <c r="A719" i="18"/>
  <c r="A709" i="18"/>
  <c r="A698" i="18"/>
  <c r="A691" i="18"/>
  <c r="A680" i="18"/>
  <c r="A666" i="18"/>
  <c r="A645" i="18"/>
  <c r="A635" i="18"/>
  <c r="A624" i="18"/>
  <c r="A617" i="18"/>
  <c r="A607" i="18"/>
  <c r="A593" i="18"/>
  <c r="A579" i="18"/>
  <c r="A565" i="18"/>
  <c r="A555" i="18"/>
  <c r="A545" i="18"/>
  <c r="A532" i="18"/>
  <c r="A520" i="18"/>
  <c r="A506" i="18"/>
  <c r="A492" i="18"/>
  <c r="A478" i="18"/>
  <c r="A464" i="18"/>
  <c r="A450" i="18"/>
  <c r="A436" i="18"/>
  <c r="A425" i="18"/>
  <c r="A411" i="18"/>
  <c r="A391" i="18"/>
  <c r="A381" i="18"/>
  <c r="A370" i="18"/>
  <c r="A363" i="18"/>
  <c r="A338" i="18"/>
  <c r="A317" i="18"/>
  <c r="A307" i="18"/>
  <c r="A296" i="18"/>
  <c r="A289" i="18"/>
  <c r="H1374" i="18" l="1"/>
  <c r="C1374" i="18"/>
  <c r="B1374" i="18"/>
  <c r="B1696" i="18"/>
  <c r="H1696" i="18"/>
  <c r="C1696" i="18"/>
  <c r="B2037" i="18"/>
  <c r="H2037" i="18"/>
  <c r="C2037" i="18"/>
  <c r="C2218" i="18"/>
  <c r="B2218" i="18"/>
  <c r="H2218" i="18"/>
  <c r="C2344" i="18"/>
  <c r="B2344" i="18"/>
  <c r="H2344" i="18"/>
  <c r="H3412" i="18"/>
  <c r="C3412" i="18"/>
  <c r="B3412" i="18"/>
  <c r="B3451" i="18"/>
  <c r="H3451" i="18"/>
  <c r="C3451" i="18"/>
  <c r="H3514" i="18"/>
  <c r="C3514" i="18"/>
  <c r="B3514" i="18"/>
  <c r="H3592" i="18"/>
  <c r="C3592" i="18"/>
  <c r="B3592" i="18"/>
  <c r="C3676" i="18"/>
  <c r="B3676" i="18"/>
  <c r="H3676" i="18"/>
  <c r="C3846" i="18"/>
  <c r="B3846" i="18"/>
  <c r="H3846" i="18"/>
  <c r="C3883" i="18"/>
  <c r="B3883" i="18"/>
  <c r="H3883" i="18"/>
  <c r="H3945" i="18"/>
  <c r="C3945" i="18"/>
  <c r="B3945" i="18"/>
  <c r="H3999" i="18"/>
  <c r="C3999" i="18"/>
  <c r="B3999" i="18"/>
  <c r="B1344" i="18"/>
  <c r="H1344" i="18"/>
  <c r="C1344" i="18"/>
  <c r="B1422" i="18"/>
  <c r="H1422" i="18"/>
  <c r="C1422" i="18"/>
  <c r="C1706" i="18"/>
  <c r="B1706" i="18"/>
  <c r="H1706" i="18"/>
  <c r="C1752" i="18"/>
  <c r="B1752" i="18"/>
  <c r="H1752" i="18"/>
  <c r="C2050" i="18"/>
  <c r="B2050" i="18"/>
  <c r="H2050" i="18"/>
  <c r="H2102" i="18"/>
  <c r="C2102" i="18"/>
  <c r="B2102" i="18"/>
  <c r="C2167" i="18"/>
  <c r="B2167" i="18"/>
  <c r="H2167" i="18"/>
  <c r="H2357" i="18"/>
  <c r="C2357" i="18"/>
  <c r="B2357" i="18"/>
  <c r="H3193" i="18"/>
  <c r="C3193" i="18"/>
  <c r="B3193" i="18"/>
  <c r="H3335" i="18"/>
  <c r="C3335" i="18"/>
  <c r="B3335" i="18"/>
  <c r="H3379" i="18"/>
  <c r="C3379" i="18"/>
  <c r="B3379" i="18"/>
  <c r="H3423" i="18"/>
  <c r="C3423" i="18"/>
  <c r="B3423" i="18"/>
  <c r="C3461" i="18"/>
  <c r="B3461" i="18"/>
  <c r="H3461" i="18"/>
  <c r="B3493" i="18"/>
  <c r="H3493" i="18"/>
  <c r="C3493" i="18"/>
  <c r="B3524" i="18"/>
  <c r="H3524" i="18"/>
  <c r="C3524" i="18"/>
  <c r="H3559" i="18"/>
  <c r="C3559" i="18"/>
  <c r="B3559" i="18"/>
  <c r="H3603" i="18"/>
  <c r="C3603" i="18"/>
  <c r="B3603" i="18"/>
  <c r="H3686" i="18"/>
  <c r="C3686" i="18"/>
  <c r="B3686" i="18"/>
  <c r="H3856" i="18"/>
  <c r="C3856" i="18"/>
  <c r="B3856" i="18"/>
  <c r="H4042" i="18"/>
  <c r="C4042" i="18"/>
  <c r="B4042" i="18"/>
  <c r="H4079" i="18"/>
  <c r="C4079" i="18"/>
  <c r="B4079" i="18"/>
  <c r="H4108" i="18"/>
  <c r="C4108" i="18"/>
  <c r="B4108" i="18"/>
  <c r="H1334" i="18"/>
  <c r="C1334" i="18"/>
  <c r="B1334" i="18"/>
  <c r="H1653" i="18"/>
  <c r="C1653" i="18"/>
  <c r="B1653" i="18"/>
  <c r="B2089" i="18"/>
  <c r="H2089" i="18"/>
  <c r="C2089" i="18"/>
  <c r="H2296" i="18"/>
  <c r="C2296" i="18"/>
  <c r="B2296" i="18"/>
  <c r="H3368" i="18"/>
  <c r="C3368" i="18"/>
  <c r="B3368" i="18"/>
  <c r="H3548" i="18"/>
  <c r="C3548" i="18"/>
  <c r="B3548" i="18"/>
  <c r="H4102" i="18"/>
  <c r="C4102" i="18"/>
  <c r="B4102" i="18"/>
  <c r="B1302" i="18"/>
  <c r="H1302" i="18"/>
  <c r="C1302" i="18"/>
  <c r="C1354" i="18"/>
  <c r="B1354" i="18"/>
  <c r="H1354" i="18"/>
  <c r="C1440" i="18"/>
  <c r="B1440" i="18"/>
  <c r="H1440" i="18"/>
  <c r="H1537" i="18"/>
  <c r="C1537" i="18"/>
  <c r="B1537" i="18"/>
  <c r="B1633" i="18"/>
  <c r="H1633" i="18"/>
  <c r="C1633" i="18"/>
  <c r="H1716" i="18"/>
  <c r="C1716" i="18"/>
  <c r="B1716" i="18"/>
  <c r="H2063" i="18"/>
  <c r="C2063" i="18"/>
  <c r="B2063" i="18"/>
  <c r="H2128" i="18"/>
  <c r="C2128" i="18"/>
  <c r="B2128" i="18"/>
  <c r="H2193" i="18"/>
  <c r="C2193" i="18"/>
  <c r="B2193" i="18"/>
  <c r="H2254" i="18"/>
  <c r="C2254" i="18"/>
  <c r="B2254" i="18"/>
  <c r="H2318" i="18"/>
  <c r="C2318" i="18"/>
  <c r="B2318" i="18"/>
  <c r="B3203" i="18"/>
  <c r="H3203" i="18"/>
  <c r="C3203" i="18"/>
  <c r="B3346" i="18"/>
  <c r="H3346" i="18"/>
  <c r="C3346" i="18"/>
  <c r="B3390" i="18"/>
  <c r="H3390" i="18"/>
  <c r="C3390" i="18"/>
  <c r="C3500" i="18"/>
  <c r="B3500" i="18"/>
  <c r="H3500" i="18"/>
  <c r="C3531" i="18"/>
  <c r="B3531" i="18"/>
  <c r="H3531" i="18"/>
  <c r="B3570" i="18"/>
  <c r="H3570" i="18"/>
  <c r="C3570" i="18"/>
  <c r="H3866" i="18"/>
  <c r="C3866" i="18"/>
  <c r="B3866" i="18"/>
  <c r="H3911" i="18"/>
  <c r="C3911" i="18"/>
  <c r="B3911" i="18"/>
  <c r="B3977" i="18"/>
  <c r="H3977" i="18"/>
  <c r="C3977" i="18"/>
  <c r="B4048" i="18"/>
  <c r="H4048" i="18"/>
  <c r="C4048" i="18"/>
  <c r="B4085" i="18"/>
  <c r="H4085" i="18"/>
  <c r="C4085" i="18"/>
  <c r="B4118" i="18"/>
  <c r="H4118" i="18"/>
  <c r="C4118" i="18"/>
  <c r="B1739" i="18"/>
  <c r="H1739" i="18"/>
  <c r="C1739" i="18"/>
  <c r="B2154" i="18"/>
  <c r="H2154" i="18"/>
  <c r="C2154" i="18"/>
  <c r="H3183" i="18"/>
  <c r="C3183" i="18"/>
  <c r="B3183" i="18"/>
  <c r="H3324" i="18"/>
  <c r="C3324" i="18"/>
  <c r="B3324" i="18"/>
  <c r="H3486" i="18"/>
  <c r="C3486" i="18"/>
  <c r="B3486" i="18"/>
  <c r="H4069" i="18"/>
  <c r="C4069" i="18"/>
  <c r="B4069" i="18"/>
  <c r="C1312" i="18"/>
  <c r="B1312" i="18"/>
  <c r="H1312" i="18"/>
  <c r="H1364" i="18"/>
  <c r="C1364" i="18"/>
  <c r="B1364" i="18"/>
  <c r="H1450" i="18"/>
  <c r="C1450" i="18"/>
  <c r="B1450" i="18"/>
  <c r="C1643" i="18"/>
  <c r="B1643" i="18"/>
  <c r="H1643" i="18"/>
  <c r="H1686" i="18"/>
  <c r="C1686" i="18"/>
  <c r="B1686" i="18"/>
  <c r="H1726" i="18"/>
  <c r="C1726" i="18"/>
  <c r="B1726" i="18"/>
  <c r="H2076" i="18"/>
  <c r="C2076" i="18"/>
  <c r="B2076" i="18"/>
  <c r="H2141" i="18"/>
  <c r="C2141" i="18"/>
  <c r="B2141" i="18"/>
  <c r="B2206" i="18"/>
  <c r="H2206" i="18"/>
  <c r="C2206" i="18"/>
  <c r="B2265" i="18"/>
  <c r="H2265" i="18"/>
  <c r="C2265" i="18"/>
  <c r="B2331" i="18"/>
  <c r="H2331" i="18"/>
  <c r="C2331" i="18"/>
  <c r="C3172" i="18"/>
  <c r="B3172" i="18"/>
  <c r="H3172" i="18"/>
  <c r="C3313" i="18"/>
  <c r="B3313" i="18"/>
  <c r="H3313" i="18"/>
  <c r="C3357" i="18"/>
  <c r="B3357" i="18"/>
  <c r="H3357" i="18"/>
  <c r="C3401" i="18"/>
  <c r="B3401" i="18"/>
  <c r="H3401" i="18"/>
  <c r="H3479" i="18"/>
  <c r="C3479" i="18"/>
  <c r="B3479" i="18"/>
  <c r="H3507" i="18"/>
  <c r="C3507" i="18"/>
  <c r="B3507" i="18"/>
  <c r="C3581" i="18"/>
  <c r="B3581" i="18"/>
  <c r="H3581" i="18"/>
  <c r="B3666" i="18"/>
  <c r="H3666" i="18"/>
  <c r="C3666" i="18"/>
  <c r="B3839" i="18"/>
  <c r="H3839" i="18"/>
  <c r="C3839" i="18"/>
  <c r="B3872" i="18"/>
  <c r="H3872" i="18"/>
  <c r="C3872" i="18"/>
  <c r="H3928" i="18"/>
  <c r="C3928" i="18"/>
  <c r="B3928" i="18"/>
  <c r="C3988" i="18"/>
  <c r="B3988" i="18"/>
  <c r="H3988" i="18"/>
  <c r="C4059" i="18"/>
  <c r="B4059" i="18"/>
  <c r="H4059" i="18"/>
  <c r="C4091" i="18"/>
  <c r="B4091" i="18"/>
  <c r="H4091" i="18"/>
  <c r="C391" i="18"/>
  <c r="B391" i="18"/>
  <c r="H391" i="18"/>
  <c r="B450" i="18"/>
  <c r="C450" i="18"/>
  <c r="H450" i="18"/>
  <c r="B506" i="18"/>
  <c r="C506" i="18"/>
  <c r="H506" i="18"/>
  <c r="H645" i="18"/>
  <c r="B645" i="18"/>
  <c r="C645" i="18"/>
  <c r="H698" i="18"/>
  <c r="C698" i="18"/>
  <c r="B698" i="18"/>
  <c r="H753" i="18"/>
  <c r="C753" i="18"/>
  <c r="B753" i="18"/>
  <c r="C806" i="18"/>
  <c r="B806" i="18"/>
  <c r="H806" i="18"/>
  <c r="C921" i="18"/>
  <c r="H921" i="18"/>
  <c r="B921" i="18"/>
  <c r="B961" i="18"/>
  <c r="C961" i="18"/>
  <c r="H961" i="18"/>
  <c r="C1221" i="18"/>
  <c r="B1221" i="18"/>
  <c r="H1221" i="18"/>
  <c r="C317" i="18"/>
  <c r="B317" i="18"/>
  <c r="H317" i="18"/>
  <c r="H635" i="18"/>
  <c r="C635" i="18"/>
  <c r="B635" i="18"/>
  <c r="H338" i="18"/>
  <c r="C338" i="18"/>
  <c r="B338" i="18"/>
  <c r="H296" i="18"/>
  <c r="C296" i="18"/>
  <c r="B296" i="18"/>
  <c r="H411" i="18"/>
  <c r="C411" i="18"/>
  <c r="B411" i="18"/>
  <c r="C464" i="18"/>
  <c r="B464" i="18"/>
  <c r="H464" i="18"/>
  <c r="B666" i="18"/>
  <c r="C666" i="18"/>
  <c r="H666" i="18"/>
  <c r="H709" i="18"/>
  <c r="B709" i="18"/>
  <c r="C709" i="18"/>
  <c r="H820" i="18"/>
  <c r="C820" i="18"/>
  <c r="B820" i="18"/>
  <c r="H931" i="18"/>
  <c r="C931" i="18"/>
  <c r="B931" i="18"/>
  <c r="C976" i="18"/>
  <c r="B976" i="18"/>
  <c r="H976" i="18"/>
  <c r="H1235" i="18"/>
  <c r="C1235" i="18"/>
  <c r="B1235" i="18"/>
  <c r="H352" i="18"/>
  <c r="B352" i="18"/>
  <c r="C352" i="18"/>
  <c r="B381" i="18"/>
  <c r="H381" i="18"/>
  <c r="C381" i="18"/>
  <c r="B307" i="18"/>
  <c r="C307" i="18"/>
  <c r="H307" i="18"/>
  <c r="H425" i="18"/>
  <c r="C425" i="18"/>
  <c r="B425" i="18"/>
  <c r="H478" i="18"/>
  <c r="C478" i="18"/>
  <c r="B478" i="18"/>
  <c r="C624" i="18"/>
  <c r="B624" i="18"/>
  <c r="H624" i="18"/>
  <c r="C680" i="18"/>
  <c r="B680" i="18"/>
  <c r="H680" i="18"/>
  <c r="B719" i="18"/>
  <c r="C719" i="18"/>
  <c r="H719" i="18"/>
  <c r="H778" i="18"/>
  <c r="B778" i="18"/>
  <c r="C778" i="18"/>
  <c r="H896" i="18"/>
  <c r="B896" i="18"/>
  <c r="C896" i="18"/>
  <c r="H991" i="18"/>
  <c r="C991" i="18"/>
  <c r="B991" i="18"/>
  <c r="H492" i="18"/>
  <c r="C492" i="18"/>
  <c r="B492" i="18"/>
  <c r="C739" i="18"/>
  <c r="B739" i="18"/>
  <c r="H739" i="18"/>
  <c r="B792" i="18"/>
  <c r="C792" i="18"/>
  <c r="H792" i="18"/>
  <c r="B911" i="18"/>
  <c r="C911" i="18"/>
  <c r="H911" i="18"/>
  <c r="H951" i="18"/>
  <c r="B951" i="18"/>
  <c r="C951" i="18"/>
  <c r="B1207" i="18"/>
  <c r="H1207" i="18"/>
  <c r="C1207" i="18"/>
  <c r="H555" i="18"/>
  <c r="C555" i="18"/>
  <c r="B555" i="18"/>
  <c r="C607" i="18"/>
  <c r="B607" i="18"/>
  <c r="H607" i="18"/>
  <c r="C1795" i="18"/>
  <c r="H1795" i="18"/>
  <c r="B1795" i="18"/>
  <c r="C3239" i="18"/>
  <c r="H3239" i="18"/>
  <c r="B3239" i="18"/>
  <c r="C3291" i="18"/>
  <c r="H3291" i="18"/>
  <c r="B3291" i="18"/>
  <c r="C3966" i="18"/>
  <c r="B3966" i="18"/>
  <c r="H3966" i="18"/>
  <c r="C1915" i="18"/>
  <c r="H1915" i="18"/>
  <c r="B1915" i="18"/>
  <c r="B2014" i="18"/>
  <c r="H2014" i="18"/>
  <c r="C2014" i="18"/>
  <c r="B520" i="18"/>
  <c r="C520" i="18"/>
  <c r="H520" i="18"/>
  <c r="H1810" i="18"/>
  <c r="B1810" i="18"/>
  <c r="C1810" i="18"/>
  <c r="C532" i="18"/>
  <c r="B532" i="18"/>
  <c r="H532" i="18"/>
  <c r="B941" i="18"/>
  <c r="C941" i="18"/>
  <c r="H941" i="18"/>
  <c r="H370" i="18"/>
  <c r="C370" i="18"/>
  <c r="B370" i="18"/>
  <c r="H565" i="18"/>
  <c r="B565" i="18"/>
  <c r="C565" i="18"/>
  <c r="B1104" i="18"/>
  <c r="H1104" i="18"/>
  <c r="C1104" i="18"/>
  <c r="B593" i="18"/>
  <c r="C593" i="18"/>
  <c r="H593" i="18"/>
  <c r="B1249" i="18"/>
  <c r="C1249" i="18"/>
  <c r="H1249" i="18"/>
  <c r="H1971" i="18"/>
  <c r="C1971" i="18"/>
  <c r="B1971" i="18"/>
  <c r="B3226" i="18"/>
  <c r="H3226" i="18"/>
  <c r="C3226" i="18"/>
  <c r="H3280" i="18"/>
  <c r="B3280" i="18"/>
  <c r="C3280" i="18"/>
  <c r="B2024" i="18"/>
  <c r="H2024" i="18"/>
  <c r="C2024" i="18"/>
  <c r="C3213" i="18"/>
  <c r="B3213" i="18"/>
  <c r="H3213" i="18"/>
  <c r="H3537" i="18"/>
  <c r="C3537" i="18"/>
  <c r="B3537" i="18"/>
  <c r="B1192" i="18"/>
  <c r="H1192" i="18"/>
  <c r="C1192" i="18"/>
  <c r="H2307" i="18"/>
  <c r="C2307" i="18"/>
  <c r="B2307" i="18"/>
  <c r="H3894" i="18"/>
  <c r="C3894" i="18"/>
  <c r="B3894" i="18"/>
  <c r="B3269" i="18"/>
  <c r="H3269" i="18"/>
  <c r="C3269" i="18"/>
  <c r="H4032" i="18"/>
  <c r="C4032" i="18"/>
  <c r="B4032" i="18"/>
  <c r="B1079" i="18"/>
  <c r="H1079" i="18"/>
  <c r="C1079" i="18"/>
  <c r="H2243" i="18"/>
  <c r="C2243" i="18"/>
  <c r="B2243" i="18"/>
  <c r="B3162" i="18"/>
  <c r="H3162" i="18"/>
  <c r="C3162" i="18"/>
  <c r="C3302" i="18"/>
  <c r="B3302" i="18"/>
  <c r="H3302" i="18"/>
  <c r="H3653" i="18"/>
  <c r="C3653" i="18"/>
  <c r="B3653" i="18"/>
  <c r="B3832" i="18"/>
  <c r="H3832" i="18"/>
  <c r="C3832" i="18"/>
  <c r="A279" i="18" l="1"/>
  <c r="A265" i="18"/>
  <c r="A251" i="18"/>
  <c r="A237" i="18"/>
  <c r="A223" i="18"/>
  <c r="A209" i="18"/>
  <c r="A195" i="18"/>
  <c r="A188" i="18"/>
  <c r="A179" i="18"/>
  <c r="A169" i="18"/>
  <c r="A159" i="18"/>
  <c r="A138" i="18"/>
  <c r="A131" i="18"/>
  <c r="A115" i="18"/>
  <c r="A95" i="18"/>
  <c r="A85" i="18"/>
  <c r="A74" i="18"/>
  <c r="A56" i="18"/>
  <c r="A25" i="18"/>
  <c r="A19" i="18"/>
  <c r="A13" i="18"/>
  <c r="A7" i="18"/>
  <c r="H188" i="18" l="1"/>
  <c r="C188" i="18"/>
  <c r="B188" i="18"/>
  <c r="H237" i="18"/>
  <c r="B237" i="18"/>
  <c r="C237" i="18"/>
  <c r="B251" i="18"/>
  <c r="H251" i="18"/>
  <c r="C251" i="18"/>
  <c r="C265" i="18"/>
  <c r="B265" i="18"/>
  <c r="H265" i="18"/>
  <c r="C179" i="18"/>
  <c r="B179" i="18"/>
  <c r="H179" i="18"/>
  <c r="H279" i="18"/>
  <c r="C279" i="18"/>
  <c r="B279" i="18"/>
  <c r="H1945" i="21"/>
  <c r="C1945" i="21"/>
  <c r="B1945" i="21"/>
  <c r="A1945" i="21"/>
  <c r="H1954" i="21"/>
  <c r="H1953" i="21"/>
  <c r="H1950" i="21"/>
  <c r="H1949" i="21"/>
  <c r="H1948" i="21"/>
  <c r="H1947" i="21"/>
  <c r="H983" i="21"/>
  <c r="H982" i="21"/>
  <c r="H979" i="21"/>
  <c r="H978" i="21"/>
  <c r="H977" i="21"/>
  <c r="H976" i="21"/>
  <c r="J974" i="21"/>
  <c r="H1951" i="21" l="1"/>
  <c r="H1955" i="21"/>
  <c r="H984" i="21"/>
  <c r="H980" i="21"/>
  <c r="H1740" i="21"/>
  <c r="H363" i="21"/>
  <c r="H370" i="21"/>
  <c r="H930" i="21"/>
  <c r="C930" i="21"/>
  <c r="B930" i="21"/>
  <c r="A930" i="21"/>
  <c r="H2354" i="21"/>
  <c r="B2354" i="21"/>
  <c r="C2354" i="21"/>
  <c r="A2354" i="21"/>
  <c r="H945" i="21"/>
  <c r="C945" i="21"/>
  <c r="B945" i="21"/>
  <c r="A945" i="21"/>
  <c r="H953" i="21"/>
  <c r="H952" i="21"/>
  <c r="H949" i="21"/>
  <c r="H948" i="21"/>
  <c r="H947" i="21"/>
  <c r="J945" i="21"/>
  <c r="H939" i="21"/>
  <c r="H940" i="21" s="1"/>
  <c r="H936" i="21"/>
  <c r="H935" i="21"/>
  <c r="H932" i="21"/>
  <c r="H933" i="21" s="1"/>
  <c r="J930" i="21"/>
  <c r="H2084" i="21"/>
  <c r="H2085" i="21"/>
  <c r="H2345" i="21"/>
  <c r="C2345" i="21"/>
  <c r="B2345" i="21"/>
  <c r="A2345" i="21"/>
  <c r="H2350" i="21"/>
  <c r="H2351" i="21" s="1"/>
  <c r="H2347" i="21"/>
  <c r="H2348" i="21" s="1"/>
  <c r="H579" i="18"/>
  <c r="C579" i="18"/>
  <c r="B579" i="18"/>
  <c r="H1956" i="21" l="1"/>
  <c r="G370" i="27" s="1"/>
  <c r="H985" i="21"/>
  <c r="G187" i="27" s="1"/>
  <c r="H2352" i="21"/>
  <c r="G102" i="27" s="1"/>
  <c r="H954" i="21"/>
  <c r="H937" i="21"/>
  <c r="H941" i="21" s="1"/>
  <c r="G532" i="27" s="1"/>
  <c r="H950" i="21"/>
  <c r="H1897" i="21"/>
  <c r="C1897" i="21"/>
  <c r="B1897" i="21"/>
  <c r="A1897" i="21"/>
  <c r="H955" i="21" l="1"/>
  <c r="G364" i="27" s="1"/>
  <c r="H917" i="21" l="1"/>
  <c r="C917" i="21"/>
  <c r="B917" i="21"/>
  <c r="A917" i="21"/>
  <c r="H924" i="21"/>
  <c r="H923" i="21"/>
  <c r="J917" i="21"/>
  <c r="H925" i="21" l="1"/>
  <c r="H926" i="21" s="1"/>
  <c r="G578" i="27" s="1"/>
  <c r="B867" i="18" l="1"/>
  <c r="C867" i="18"/>
  <c r="H867" i="18"/>
  <c r="D156" i="24" l="1"/>
  <c r="G907" i="21" s="1"/>
  <c r="H907" i="21" s="1"/>
  <c r="H908" i="21" s="1"/>
  <c r="C907" i="21"/>
  <c r="B907" i="21"/>
  <c r="H905" i="21"/>
  <c r="C905" i="21"/>
  <c r="B905" i="21"/>
  <c r="A905" i="21"/>
  <c r="H911" i="21"/>
  <c r="H910" i="21"/>
  <c r="J905" i="21"/>
  <c r="H912" i="21" l="1"/>
  <c r="H913" i="21" s="1"/>
  <c r="G417" i="27" s="1"/>
  <c r="H1934" i="21" l="1"/>
  <c r="C1934" i="21"/>
  <c r="B1934" i="21"/>
  <c r="A1934" i="21"/>
  <c r="H1939" i="21"/>
  <c r="H1940" i="21" s="1"/>
  <c r="H1936" i="21"/>
  <c r="H1937" i="21" s="1"/>
  <c r="H1923" i="21"/>
  <c r="C1923" i="21"/>
  <c r="B1923" i="21"/>
  <c r="A1923" i="21"/>
  <c r="H1928" i="21"/>
  <c r="H1929" i="21" s="1"/>
  <c r="H1925" i="21"/>
  <c r="H1926" i="21" s="1"/>
  <c r="H1941" i="21" l="1"/>
  <c r="G242" i="27" s="1"/>
  <c r="H1930" i="21"/>
  <c r="G228" i="27" s="1"/>
  <c r="H1911" i="21"/>
  <c r="C1911" i="21"/>
  <c r="B1911" i="21"/>
  <c r="A1911" i="21"/>
  <c r="H1917" i="21"/>
  <c r="H1916" i="21"/>
  <c r="H1913" i="21"/>
  <c r="H1914" i="21" s="1"/>
  <c r="H1918" i="21" l="1"/>
  <c r="H1919" i="21" s="1"/>
  <c r="G305" i="27" s="1"/>
  <c r="H223" i="18"/>
  <c r="C223" i="18"/>
  <c r="B223" i="18"/>
  <c r="H2582" i="21" l="1"/>
  <c r="C2582" i="21"/>
  <c r="B2582" i="21"/>
  <c r="A2582" i="21"/>
  <c r="H2589" i="21"/>
  <c r="H2588" i="21"/>
  <c r="H2585" i="21"/>
  <c r="H2584" i="21"/>
  <c r="H2586" i="21" l="1"/>
  <c r="H2590" i="21"/>
  <c r="E2335" i="21"/>
  <c r="C2335" i="21"/>
  <c r="B2335" i="21"/>
  <c r="H2330" i="21"/>
  <c r="C2330" i="21"/>
  <c r="B2330" i="21"/>
  <c r="A2330" i="21"/>
  <c r="H2339" i="21"/>
  <c r="H2338" i="21"/>
  <c r="H2332" i="21"/>
  <c r="H2333" i="21" s="1"/>
  <c r="C866" i="21"/>
  <c r="H866" i="21"/>
  <c r="B866" i="21"/>
  <c r="A866" i="21"/>
  <c r="E1900" i="21"/>
  <c r="C1900" i="21"/>
  <c r="B1900" i="21"/>
  <c r="H1905" i="21"/>
  <c r="H1904" i="21"/>
  <c r="H1901" i="21"/>
  <c r="H1899" i="21"/>
  <c r="E895" i="21"/>
  <c r="C895" i="21"/>
  <c r="B895" i="21"/>
  <c r="H899" i="21"/>
  <c r="H898" i="21"/>
  <c r="H894" i="21"/>
  <c r="H892" i="21"/>
  <c r="C892" i="21"/>
  <c r="B892" i="21"/>
  <c r="A892" i="21"/>
  <c r="C320" i="21"/>
  <c r="E320" i="21"/>
  <c r="E308" i="21"/>
  <c r="C308" i="21"/>
  <c r="D148" i="24"/>
  <c r="G320" i="21" s="1"/>
  <c r="H320" i="21" s="1"/>
  <c r="H321" i="21" s="1"/>
  <c r="D140" i="24"/>
  <c r="G308" i="21" s="1"/>
  <c r="H324" i="21"/>
  <c r="H323" i="21"/>
  <c r="H318" i="21"/>
  <c r="C318" i="21"/>
  <c r="B318" i="21"/>
  <c r="A318" i="21"/>
  <c r="H2591" i="21" l="1"/>
  <c r="G369" i="27" s="1"/>
  <c r="H2340" i="21"/>
  <c r="H900" i="21"/>
  <c r="H1906" i="21"/>
  <c r="H325" i="21"/>
  <c r="H326" i="21" s="1"/>
  <c r="G183" i="27" s="1"/>
  <c r="J879" i="21"/>
  <c r="H879" i="21"/>
  <c r="C879" i="21"/>
  <c r="B879" i="21"/>
  <c r="A879" i="21"/>
  <c r="H886" i="21"/>
  <c r="H885" i="21"/>
  <c r="H882" i="21"/>
  <c r="H881" i="21"/>
  <c r="H887" i="21" l="1"/>
  <c r="H883" i="21"/>
  <c r="H888" i="21" l="1"/>
  <c r="G94" i="27" s="1"/>
  <c r="H1269" i="18"/>
  <c r="C1269" i="18"/>
  <c r="B1269" i="18"/>
  <c r="D132" i="24" l="1"/>
  <c r="D124" i="24"/>
  <c r="D116" i="24"/>
  <c r="G686" i="21" s="1"/>
  <c r="D104" i="24"/>
  <c r="D92" i="24"/>
  <c r="G895" i="21" s="1"/>
  <c r="H895" i="21" s="1"/>
  <c r="H896" i="21" s="1"/>
  <c r="H901" i="21" s="1"/>
  <c r="G285" i="27" s="1"/>
  <c r="D84" i="24"/>
  <c r="D76" i="24"/>
  <c r="G1142" i="21" s="1"/>
  <c r="H1142" i="21" s="1"/>
  <c r="H1146" i="21" s="1"/>
  <c r="H1151" i="21" s="1"/>
  <c r="G188" i="27" s="1"/>
  <c r="D68" i="24"/>
  <c r="D60" i="24"/>
  <c r="D52" i="24"/>
  <c r="D44" i="24"/>
  <c r="G18" i="21" s="1"/>
  <c r="H18" i="21" s="1"/>
  <c r="H20" i="21" s="1"/>
  <c r="H21" i="21" s="1"/>
  <c r="G17" i="27" s="1"/>
  <c r="D35" i="24"/>
  <c r="G52" i="27" s="1"/>
  <c r="D23" i="24"/>
  <c r="G2335" i="21" s="1"/>
  <c r="H2335" i="21" s="1"/>
  <c r="H2336" i="21" s="1"/>
  <c r="H2341" i="21" s="1"/>
  <c r="G654" i="27" s="1"/>
  <c r="D15" i="24"/>
  <c r="D7" i="24"/>
  <c r="G1900" i="21" l="1"/>
  <c r="H1900" i="21" s="1"/>
  <c r="H1902" i="21" s="1"/>
  <c r="H1907" i="21" s="1"/>
  <c r="G189" i="27" s="1"/>
  <c r="H2683" i="21"/>
  <c r="H30" i="21"/>
  <c r="H1891" i="21"/>
  <c r="H1892" i="21" s="1"/>
  <c r="C306" i="21"/>
  <c r="B306" i="21"/>
  <c r="A306" i="21"/>
  <c r="J306" i="21"/>
  <c r="H312" i="21"/>
  <c r="H311" i="21"/>
  <c r="H43" i="21"/>
  <c r="C27" i="21"/>
  <c r="H308" i="21"/>
  <c r="H309" i="21" s="1"/>
  <c r="H313" i="21" l="1"/>
  <c r="H314" i="21" s="1"/>
  <c r="G182" i="27" s="1"/>
  <c r="H2684" i="21"/>
  <c r="H2680" i="21"/>
  <c r="C2674" i="21"/>
  <c r="B2674" i="21"/>
  <c r="A2674" i="21"/>
  <c r="H2679" i="21"/>
  <c r="H2676" i="21"/>
  <c r="H2677" i="21" s="1"/>
  <c r="H2681" i="21" l="1"/>
  <c r="H2685" i="21" s="1"/>
  <c r="G315" i="27" s="1"/>
  <c r="H80" i="21"/>
  <c r="C80" i="21"/>
  <c r="B80" i="21"/>
  <c r="A80" i="21"/>
  <c r="H88" i="21"/>
  <c r="H87" i="21"/>
  <c r="H84" i="21"/>
  <c r="H83" i="21"/>
  <c r="H82" i="21"/>
  <c r="J80" i="21"/>
  <c r="J66" i="21"/>
  <c r="H66" i="21"/>
  <c r="C66" i="21"/>
  <c r="B66" i="21"/>
  <c r="A66" i="21"/>
  <c r="H74" i="21"/>
  <c r="H73" i="21"/>
  <c r="H70" i="21"/>
  <c r="H69" i="21"/>
  <c r="H68" i="21"/>
  <c r="H85" i="21" l="1"/>
  <c r="H71" i="21"/>
  <c r="H89" i="21"/>
  <c r="H75" i="21"/>
  <c r="H873" i="21"/>
  <c r="H872" i="21"/>
  <c r="H869" i="21"/>
  <c r="H868" i="21"/>
  <c r="H76" i="21" l="1"/>
  <c r="G215" i="27" s="1"/>
  <c r="H90" i="21"/>
  <c r="G216" i="27" s="1"/>
  <c r="H874" i="21"/>
  <c r="H870" i="21"/>
  <c r="H875" i="21" l="1"/>
  <c r="G421" i="27" s="1"/>
  <c r="H1548" i="18"/>
  <c r="C1548" i="18"/>
  <c r="B1548" i="18"/>
  <c r="H1515" i="18"/>
  <c r="C1515" i="18"/>
  <c r="B1515" i="18"/>
  <c r="H163" i="21"/>
  <c r="H162" i="21"/>
  <c r="H158" i="21"/>
  <c r="H160" i="21" s="1"/>
  <c r="H47" i="21"/>
  <c r="H46" i="21"/>
  <c r="H42" i="21"/>
  <c r="H44" i="21" s="1"/>
  <c r="H34" i="21"/>
  <c r="H33" i="21"/>
  <c r="H29" i="21"/>
  <c r="H31" i="21" s="1"/>
  <c r="J854" i="21"/>
  <c r="H860" i="21"/>
  <c r="H859" i="21"/>
  <c r="H856" i="21"/>
  <c r="H857" i="21" s="1"/>
  <c r="H854" i="21"/>
  <c r="A854" i="21"/>
  <c r="B854" i="21"/>
  <c r="C854" i="21"/>
  <c r="H1868" i="21"/>
  <c r="C1868" i="21"/>
  <c r="B1868" i="21"/>
  <c r="A1868" i="21"/>
  <c r="H1874" i="21"/>
  <c r="H1873" i="21"/>
  <c r="H1870" i="21"/>
  <c r="H1871" i="21" s="1"/>
  <c r="H4127" i="18"/>
  <c r="C4127" i="18"/>
  <c r="B4127" i="18"/>
  <c r="H4133" i="18"/>
  <c r="C4133" i="18"/>
  <c r="B4133" i="18"/>
  <c r="H4022" i="18"/>
  <c r="C4022" i="18"/>
  <c r="B4022" i="18"/>
  <c r="H4016" i="18"/>
  <c r="C4016" i="18"/>
  <c r="B4016" i="18"/>
  <c r="H4010" i="18"/>
  <c r="C4010" i="18"/>
  <c r="B4010" i="18"/>
  <c r="H3640" i="18"/>
  <c r="C3640" i="18"/>
  <c r="B3640" i="18"/>
  <c r="H3634" i="18"/>
  <c r="C3634" i="18"/>
  <c r="B3634" i="18"/>
  <c r="H3624" i="18"/>
  <c r="C3624" i="18"/>
  <c r="B3624" i="18"/>
  <c r="H3614" i="18"/>
  <c r="C3614" i="18"/>
  <c r="B3614" i="18"/>
  <c r="H3472" i="18"/>
  <c r="C3472" i="18"/>
  <c r="B3472" i="18"/>
  <c r="H3445" i="18"/>
  <c r="C3445" i="18"/>
  <c r="B3445" i="18"/>
  <c r="H3434" i="18"/>
  <c r="C3434" i="18"/>
  <c r="B3434" i="18"/>
  <c r="H3249" i="18"/>
  <c r="C3249" i="18"/>
  <c r="B3249" i="18"/>
  <c r="H2004" i="18"/>
  <c r="C2004" i="18"/>
  <c r="B2004" i="18"/>
  <c r="H1961" i="18"/>
  <c r="C1961" i="18"/>
  <c r="B1961" i="18"/>
  <c r="H1904" i="18"/>
  <c r="C1904" i="18"/>
  <c r="B1904" i="18"/>
  <c r="H1892" i="18"/>
  <c r="C1892" i="18"/>
  <c r="B1892" i="18"/>
  <c r="H1828" i="18"/>
  <c r="C1828" i="18"/>
  <c r="B1828" i="18"/>
  <c r="H2324" i="21"/>
  <c r="H2321" i="21"/>
  <c r="C2321" i="21"/>
  <c r="B2321" i="21"/>
  <c r="A2321" i="21"/>
  <c r="H2323" i="21"/>
  <c r="H1784" i="18"/>
  <c r="C1784" i="18"/>
  <c r="B1784" i="18"/>
  <c r="H1773" i="18"/>
  <c r="C1773" i="18"/>
  <c r="B1773" i="18"/>
  <c r="H1763" i="18"/>
  <c r="C1763" i="18"/>
  <c r="B1763" i="18"/>
  <c r="H1673" i="18"/>
  <c r="C1673" i="18"/>
  <c r="B1673" i="18"/>
  <c r="H1663" i="18"/>
  <c r="C1663" i="18"/>
  <c r="B1663" i="18"/>
  <c r="H1619" i="18"/>
  <c r="C1619" i="18"/>
  <c r="B1619" i="18"/>
  <c r="H1598" i="18"/>
  <c r="C1598" i="18"/>
  <c r="B1598" i="18"/>
  <c r="H1588" i="18"/>
  <c r="C1588" i="18"/>
  <c r="B1588" i="18"/>
  <c r="H1581" i="18"/>
  <c r="C1581" i="18"/>
  <c r="B1581" i="18"/>
  <c r="H1570" i="18"/>
  <c r="C1570" i="18"/>
  <c r="B1570" i="18"/>
  <c r="H1559" i="18"/>
  <c r="C1559" i="18"/>
  <c r="B1559" i="18"/>
  <c r="H1526" i="18"/>
  <c r="C1526" i="18"/>
  <c r="B1526" i="18"/>
  <c r="H1404" i="18"/>
  <c r="C1404" i="18"/>
  <c r="B1404" i="18"/>
  <c r="H1394" i="18"/>
  <c r="C1394" i="18"/>
  <c r="B1394" i="18"/>
  <c r="H1384" i="18"/>
  <c r="C1384" i="18"/>
  <c r="B1384" i="18"/>
  <c r="H1292" i="18"/>
  <c r="C1292" i="18"/>
  <c r="B1292" i="18"/>
  <c r="H1282" i="18"/>
  <c r="C1282" i="18"/>
  <c r="B1282" i="18"/>
  <c r="H1174" i="18"/>
  <c r="C1174" i="18"/>
  <c r="B1174" i="18"/>
  <c r="H1156" i="18"/>
  <c r="C1156" i="18"/>
  <c r="B1156" i="18"/>
  <c r="H1138" i="18"/>
  <c r="C1138" i="18"/>
  <c r="B1138" i="18"/>
  <c r="H1119" i="18"/>
  <c r="C1119" i="18"/>
  <c r="B1119" i="18"/>
  <c r="H1028" i="18"/>
  <c r="C1028" i="18"/>
  <c r="B1028" i="18"/>
  <c r="H881" i="18"/>
  <c r="C881" i="18"/>
  <c r="B881" i="18"/>
  <c r="H853" i="18"/>
  <c r="C853" i="18"/>
  <c r="B853" i="18"/>
  <c r="H834" i="18"/>
  <c r="C834" i="18"/>
  <c r="B834" i="18"/>
  <c r="H764" i="18"/>
  <c r="C764" i="18"/>
  <c r="B764" i="18"/>
  <c r="H691" i="18"/>
  <c r="C691" i="18"/>
  <c r="B691" i="18"/>
  <c r="H617" i="18"/>
  <c r="C617" i="18"/>
  <c r="B617" i="18"/>
  <c r="H545" i="18"/>
  <c r="C545" i="18"/>
  <c r="B545" i="18"/>
  <c r="H436" i="18"/>
  <c r="C436" i="18"/>
  <c r="B436" i="18"/>
  <c r="H363" i="18"/>
  <c r="C363" i="18"/>
  <c r="B363" i="18"/>
  <c r="H289" i="18"/>
  <c r="C289" i="18"/>
  <c r="B289" i="18"/>
  <c r="H209" i="18"/>
  <c r="C209" i="18"/>
  <c r="B209" i="18"/>
  <c r="H195" i="18"/>
  <c r="C195" i="18"/>
  <c r="B195" i="18"/>
  <c r="H169" i="18"/>
  <c r="C169" i="18"/>
  <c r="B169" i="18"/>
  <c r="H159" i="18"/>
  <c r="C159" i="18"/>
  <c r="B159" i="18"/>
  <c r="H138" i="18"/>
  <c r="C138" i="18"/>
  <c r="B138" i="18"/>
  <c r="H131" i="18"/>
  <c r="C131" i="18"/>
  <c r="B131" i="18"/>
  <c r="H115" i="18"/>
  <c r="C115" i="18"/>
  <c r="B115" i="18"/>
  <c r="H95" i="18"/>
  <c r="C95" i="18"/>
  <c r="B95" i="18"/>
  <c r="H85" i="18"/>
  <c r="C85" i="18"/>
  <c r="B85" i="18"/>
  <c r="H74" i="18"/>
  <c r="C74" i="18"/>
  <c r="B74" i="18"/>
  <c r="H56" i="18"/>
  <c r="C56" i="18"/>
  <c r="B56" i="18"/>
  <c r="H25" i="18"/>
  <c r="C25" i="18"/>
  <c r="B25" i="18"/>
  <c r="H19" i="18"/>
  <c r="C19" i="18"/>
  <c r="B19" i="18"/>
  <c r="H13" i="18"/>
  <c r="C13" i="18"/>
  <c r="B13" i="18"/>
  <c r="H7" i="18"/>
  <c r="C7" i="18"/>
  <c r="B7" i="18"/>
  <c r="G415" i="37" l="1"/>
  <c r="H415" i="37" s="1"/>
  <c r="H416" i="37" s="1"/>
  <c r="G400" i="37"/>
  <c r="H400" i="37" s="1"/>
  <c r="G411" i="37"/>
  <c r="H411" i="37" s="1"/>
  <c r="H412" i="37" s="1"/>
  <c r="G406" i="37"/>
  <c r="H406" i="37" s="1"/>
  <c r="H408" i="37" s="1"/>
  <c r="G401" i="37"/>
  <c r="H401" i="37" s="1"/>
  <c r="G396" i="37"/>
  <c r="H396" i="37" s="1"/>
  <c r="G382" i="37"/>
  <c r="H382" i="37" s="1"/>
  <c r="G372" i="37"/>
  <c r="H372" i="37" s="1"/>
  <c r="G361" i="37"/>
  <c r="H361" i="37" s="1"/>
  <c r="G348" i="37"/>
  <c r="H348" i="37" s="1"/>
  <c r="G343" i="37"/>
  <c r="H343" i="37" s="1"/>
  <c r="G331" i="37"/>
  <c r="H331" i="37" s="1"/>
  <c r="G324" i="37"/>
  <c r="H324" i="37" s="1"/>
  <c r="G318" i="37"/>
  <c r="H318" i="37" s="1"/>
  <c r="G294" i="37"/>
  <c r="H294" i="37" s="1"/>
  <c r="G289" i="37"/>
  <c r="H289" i="37" s="1"/>
  <c r="G283" i="37"/>
  <c r="H283" i="37" s="1"/>
  <c r="G249" i="37"/>
  <c r="H249" i="37" s="1"/>
  <c r="G242" i="37"/>
  <c r="H242" i="37" s="1"/>
  <c r="G227" i="37"/>
  <c r="H227" i="37" s="1"/>
  <c r="G220" i="37"/>
  <c r="H220" i="37" s="1"/>
  <c r="G215" i="37"/>
  <c r="H215" i="37" s="1"/>
  <c r="G210" i="37"/>
  <c r="H210" i="37" s="1"/>
  <c r="G402" i="37"/>
  <c r="H402" i="37" s="1"/>
  <c r="G395" i="37"/>
  <c r="H395" i="37" s="1"/>
  <c r="G383" i="37"/>
  <c r="H383" i="37" s="1"/>
  <c r="G356" i="37"/>
  <c r="H356" i="37" s="1"/>
  <c r="G337" i="37"/>
  <c r="H337" i="37" s="1"/>
  <c r="G323" i="37"/>
  <c r="H323" i="37" s="1"/>
  <c r="H325" i="37" s="1"/>
  <c r="G278" i="37"/>
  <c r="H278" i="37" s="1"/>
  <c r="G259" i="37"/>
  <c r="H259" i="37" s="1"/>
  <c r="G231" i="37"/>
  <c r="H231" i="37" s="1"/>
  <c r="G226" i="37"/>
  <c r="H226" i="37" s="1"/>
  <c r="G201" i="37"/>
  <c r="H201" i="37" s="1"/>
  <c r="G191" i="37"/>
  <c r="H191" i="37" s="1"/>
  <c r="G181" i="37"/>
  <c r="H181" i="37" s="1"/>
  <c r="G174" i="37"/>
  <c r="H174" i="37" s="1"/>
  <c r="G159" i="37"/>
  <c r="H159" i="37" s="1"/>
  <c r="G149" i="37"/>
  <c r="H149" i="37" s="1"/>
  <c r="G138" i="37"/>
  <c r="H138" i="37" s="1"/>
  <c r="G128" i="37"/>
  <c r="H128" i="37" s="1"/>
  <c r="G126" i="37"/>
  <c r="H126" i="37" s="1"/>
  <c r="G119" i="37"/>
  <c r="H119" i="37" s="1"/>
  <c r="G103" i="37"/>
  <c r="H103" i="37" s="1"/>
  <c r="G97" i="37"/>
  <c r="H97" i="37" s="1"/>
  <c r="G88" i="37"/>
  <c r="H88" i="37" s="1"/>
  <c r="G75" i="37"/>
  <c r="H75" i="37" s="1"/>
  <c r="H76" i="37" s="1"/>
  <c r="G378" i="37"/>
  <c r="H378" i="37" s="1"/>
  <c r="G367" i="37"/>
  <c r="H367" i="37" s="1"/>
  <c r="G357" i="37"/>
  <c r="H357" i="37" s="1"/>
  <c r="G319" i="37"/>
  <c r="H319" i="37" s="1"/>
  <c r="G243" i="37"/>
  <c r="H243" i="37" s="1"/>
  <c r="G221" i="37"/>
  <c r="H221" i="37" s="1"/>
  <c r="G190" i="37"/>
  <c r="H190" i="37" s="1"/>
  <c r="G165" i="37"/>
  <c r="H165" i="37" s="1"/>
  <c r="G160" i="37"/>
  <c r="H160" i="37" s="1"/>
  <c r="G127" i="37"/>
  <c r="H127" i="37" s="1"/>
  <c r="G93" i="37"/>
  <c r="H93" i="37" s="1"/>
  <c r="G362" i="37"/>
  <c r="H362" i="37" s="1"/>
  <c r="G347" i="37"/>
  <c r="H347" i="37" s="1"/>
  <c r="G313" i="37"/>
  <c r="H313" i="37" s="1"/>
  <c r="G308" i="37"/>
  <c r="H308" i="37" s="1"/>
  <c r="G284" i="37"/>
  <c r="H284" i="37" s="1"/>
  <c r="G258" i="37"/>
  <c r="H258" i="37" s="1"/>
  <c r="G376" i="37"/>
  <c r="H376" i="37" s="1"/>
  <c r="G371" i="37"/>
  <c r="H371" i="37" s="1"/>
  <c r="G366" i="37"/>
  <c r="H366" i="37" s="1"/>
  <c r="H368" i="37" s="1"/>
  <c r="G342" i="37"/>
  <c r="H342" i="37" s="1"/>
  <c r="G330" i="37"/>
  <c r="H330" i="37" s="1"/>
  <c r="G314" i="37"/>
  <c r="H314" i="37" s="1"/>
  <c r="G309" i="37"/>
  <c r="H309" i="37" s="1"/>
  <c r="G288" i="37"/>
  <c r="H288" i="37" s="1"/>
  <c r="H290" i="37" s="1"/>
  <c r="G247" i="37"/>
  <c r="H247" i="37" s="1"/>
  <c r="G241" i="37"/>
  <c r="H241" i="37" s="1"/>
  <c r="G236" i="37"/>
  <c r="H236" i="37" s="1"/>
  <c r="G222" i="37"/>
  <c r="H222" i="37" s="1"/>
  <c r="G211" i="37"/>
  <c r="H211" i="37" s="1"/>
  <c r="G205" i="37"/>
  <c r="H205" i="37" s="1"/>
  <c r="G180" i="37"/>
  <c r="H180" i="37" s="1"/>
  <c r="G170" i="37"/>
  <c r="H170" i="37" s="1"/>
  <c r="G164" i="37"/>
  <c r="H164" i="37" s="1"/>
  <c r="G154" i="37"/>
  <c r="H154" i="37" s="1"/>
  <c r="G144" i="37"/>
  <c r="H144" i="37" s="1"/>
  <c r="G139" i="37"/>
  <c r="H139" i="37" s="1"/>
  <c r="G125" i="37"/>
  <c r="H125" i="37" s="1"/>
  <c r="G120" i="37"/>
  <c r="H120" i="37" s="1"/>
  <c r="G114" i="37"/>
  <c r="H114" i="37" s="1"/>
  <c r="G109" i="37"/>
  <c r="H109" i="37" s="1"/>
  <c r="G92" i="37"/>
  <c r="H92" i="37" s="1"/>
  <c r="G407" i="37"/>
  <c r="G338" i="37"/>
  <c r="H338" i="37" s="1"/>
  <c r="G279" i="37"/>
  <c r="H279" i="37" s="1"/>
  <c r="G248" i="37"/>
  <c r="H248" i="37" s="1"/>
  <c r="G232" i="37"/>
  <c r="H232" i="37" s="1"/>
  <c r="G216" i="37"/>
  <c r="H216" i="37" s="1"/>
  <c r="G200" i="37"/>
  <c r="H200" i="37" s="1"/>
  <c r="G185" i="37"/>
  <c r="H185" i="37" s="1"/>
  <c r="G175" i="37"/>
  <c r="H175" i="37" s="1"/>
  <c r="G110" i="37"/>
  <c r="H110" i="37" s="1"/>
  <c r="G105" i="37"/>
  <c r="H105" i="37" s="1"/>
  <c r="G98" i="37"/>
  <c r="H98" i="37" s="1"/>
  <c r="G87" i="37"/>
  <c r="H87" i="37" s="1"/>
  <c r="G377" i="37"/>
  <c r="H377" i="37" s="1"/>
  <c r="G293" i="37"/>
  <c r="H293" i="37" s="1"/>
  <c r="G237" i="37"/>
  <c r="H237" i="37" s="1"/>
  <c r="G186" i="37"/>
  <c r="H186" i="37" s="1"/>
  <c r="G179" i="37"/>
  <c r="H179" i="37" s="1"/>
  <c r="G115" i="37"/>
  <c r="H115" i="37" s="1"/>
  <c r="G102" i="37"/>
  <c r="H102" i="37" s="1"/>
  <c r="G158" i="37"/>
  <c r="H158" i="37" s="1"/>
  <c r="G104" i="37"/>
  <c r="H104" i="37" s="1"/>
  <c r="G153" i="37"/>
  <c r="H153" i="37" s="1"/>
  <c r="G143" i="37"/>
  <c r="H143" i="37" s="1"/>
  <c r="G124" i="37"/>
  <c r="H124" i="37" s="1"/>
  <c r="G129" i="37"/>
  <c r="H129" i="37" s="1"/>
  <c r="G206" i="37"/>
  <c r="H206" i="37" s="1"/>
  <c r="G169" i="37"/>
  <c r="H169" i="37" s="1"/>
  <c r="G148" i="37"/>
  <c r="H148" i="37" s="1"/>
  <c r="G71" i="37"/>
  <c r="H71" i="37" s="1"/>
  <c r="H72" i="37" s="1"/>
  <c r="H48" i="21"/>
  <c r="H49" i="21" s="1"/>
  <c r="G176" i="27" s="1"/>
  <c r="H164" i="21"/>
  <c r="H165" i="21" s="1"/>
  <c r="G175" i="27" s="1"/>
  <c r="H35" i="21"/>
  <c r="H36" i="21" s="1"/>
  <c r="G174" i="27" s="1"/>
  <c r="H861" i="21"/>
  <c r="H862" i="21" s="1"/>
  <c r="G310" i="27" s="1"/>
  <c r="H2325" i="21"/>
  <c r="H2326" i="21" s="1"/>
  <c r="G304" i="27" s="1"/>
  <c r="H1875" i="21"/>
  <c r="H1876" i="21" s="1"/>
  <c r="H295" i="37" l="1"/>
  <c r="H150" i="37"/>
  <c r="H344" i="37"/>
  <c r="H260" i="37"/>
  <c r="H89" i="37"/>
  <c r="H161" i="37"/>
  <c r="H202" i="37"/>
  <c r="H349" i="37"/>
  <c r="H397" i="37"/>
  <c r="H166" i="37"/>
  <c r="H207" i="37"/>
  <c r="H94" i="37"/>
  <c r="H116" i="37"/>
  <c r="H238" i="37"/>
  <c r="H244" i="37"/>
  <c r="H373" i="37"/>
  <c r="H130" i="37"/>
  <c r="H171" i="37"/>
  <c r="H106" i="37"/>
  <c r="H310" i="37"/>
  <c r="H192" i="37"/>
  <c r="H320" i="37"/>
  <c r="H228" i="37"/>
  <c r="H140" i="37"/>
  <c r="H233" i="37"/>
  <c r="H121" i="37"/>
  <c r="H358" i="37"/>
  <c r="H212" i="37"/>
  <c r="H384" i="37"/>
  <c r="H280" i="37"/>
  <c r="H217" i="37"/>
  <c r="H403" i="37"/>
  <c r="H145" i="37"/>
  <c r="H155" i="37"/>
  <c r="H187" i="37"/>
  <c r="H250" i="37"/>
  <c r="H182" i="37"/>
  <c r="H111" i="37"/>
  <c r="H379" i="37"/>
  <c r="H315" i="37"/>
  <c r="H99" i="37"/>
  <c r="H176" i="37"/>
  <c r="H223" i="37"/>
  <c r="H285" i="37"/>
  <c r="H363" i="37"/>
  <c r="F50" i="37"/>
  <c r="G50" i="37" s="1"/>
  <c r="F32" i="37"/>
  <c r="G32" i="37" s="1"/>
  <c r="F52" i="37"/>
  <c r="G52" i="37" s="1"/>
  <c r="F31" i="37"/>
  <c r="G31" i="37" s="1"/>
  <c r="F35" i="37"/>
  <c r="G35" i="37" s="1"/>
  <c r="F42" i="37"/>
  <c r="G42" i="37" s="1"/>
  <c r="F30" i="37"/>
  <c r="G30" i="37" s="1"/>
  <c r="F55" i="37"/>
  <c r="G55" i="37" s="1"/>
  <c r="F14" i="37"/>
  <c r="G14" i="37" s="1"/>
  <c r="F18" i="37"/>
  <c r="G18" i="37" s="1"/>
  <c r="F13" i="37"/>
  <c r="G13" i="37" s="1"/>
  <c r="F25" i="37"/>
  <c r="G25" i="37" s="1"/>
  <c r="F21" i="37"/>
  <c r="G21" i="37" s="1"/>
  <c r="F47" i="37"/>
  <c r="G47" i="37" s="1"/>
  <c r="F8" i="37"/>
  <c r="G8" i="37" s="1"/>
  <c r="F58" i="37"/>
  <c r="G58" i="37" s="1"/>
  <c r="F36" i="37"/>
  <c r="G36" i="37" s="1"/>
  <c r="F48" i="37"/>
  <c r="G48" i="37" s="1"/>
  <c r="F20" i="37"/>
  <c r="G20" i="37" s="1"/>
  <c r="F26" i="37"/>
  <c r="G26" i="37" s="1"/>
  <c r="F53" i="37"/>
  <c r="G53" i="37" s="1"/>
  <c r="F29" i="37"/>
  <c r="G29" i="37" s="1"/>
  <c r="F24" i="37"/>
  <c r="G24" i="37" s="1"/>
  <c r="F33" i="37"/>
  <c r="G33" i="37" s="1"/>
  <c r="F16" i="37"/>
  <c r="G16" i="37" s="1"/>
  <c r="F44" i="37"/>
  <c r="G44" i="37" s="1"/>
  <c r="F38" i="37"/>
  <c r="G38" i="37" s="1"/>
  <c r="F23" i="37"/>
  <c r="G23" i="37" s="1"/>
  <c r="F40" i="37"/>
  <c r="G40" i="37" s="1"/>
  <c r="F22" i="37"/>
  <c r="G22" i="37" s="1"/>
  <c r="F56" i="37"/>
  <c r="G56" i="37" s="1"/>
  <c r="F51" i="37"/>
  <c r="G51" i="37" s="1"/>
  <c r="F10" i="37"/>
  <c r="G10" i="37" s="1"/>
  <c r="F41" i="37"/>
  <c r="G41" i="37" s="1"/>
  <c r="F34" i="37"/>
  <c r="G34" i="37" s="1"/>
  <c r="F46" i="37"/>
  <c r="G46" i="37" s="1"/>
  <c r="F37" i="37"/>
  <c r="G37" i="37" s="1"/>
  <c r="F27" i="37"/>
  <c r="G27" i="37" s="1"/>
  <c r="G93" i="27"/>
  <c r="J1819" i="21"/>
  <c r="J1330" i="21"/>
  <c r="J124" i="21"/>
  <c r="C619" i="21"/>
  <c r="B619" i="21"/>
  <c r="A619" i="21"/>
  <c r="J619" i="21"/>
  <c r="H627" i="21"/>
  <c r="H626" i="21"/>
  <c r="H623" i="21"/>
  <c r="H622" i="21"/>
  <c r="H621" i="21"/>
  <c r="C591" i="21"/>
  <c r="B591" i="21"/>
  <c r="A591" i="21"/>
  <c r="J591" i="21"/>
  <c r="H599" i="21"/>
  <c r="H598" i="21"/>
  <c r="H595" i="21"/>
  <c r="H594" i="21"/>
  <c r="H593" i="21"/>
  <c r="H2313" i="21"/>
  <c r="C2313" i="21"/>
  <c r="B2313" i="21"/>
  <c r="A2313" i="21"/>
  <c r="H2315" i="21"/>
  <c r="H2316" i="21" s="1"/>
  <c r="H2317" i="21" s="1"/>
  <c r="G204" i="27" s="1"/>
  <c r="H628" i="21" l="1"/>
  <c r="H624" i="21"/>
  <c r="H600" i="21"/>
  <c r="H596" i="21"/>
  <c r="H629" i="21" l="1"/>
  <c r="G261" i="27" s="1"/>
  <c r="H601" i="21"/>
  <c r="G259" i="27" s="1"/>
  <c r="G25" i="27"/>
  <c r="J1601" i="21" l="1"/>
  <c r="H1601" i="21"/>
  <c r="H1606" i="21"/>
  <c r="H1607" i="21"/>
  <c r="B1603" i="21"/>
  <c r="C1603" i="21"/>
  <c r="G1603" i="21" l="1"/>
  <c r="H848" i="21" l="1"/>
  <c r="H847" i="21"/>
  <c r="H844" i="21"/>
  <c r="H843" i="21"/>
  <c r="J841" i="21"/>
  <c r="H841" i="21"/>
  <c r="B841" i="21"/>
  <c r="C841" i="21"/>
  <c r="A841" i="21"/>
  <c r="H828" i="21"/>
  <c r="C828" i="21"/>
  <c r="A828" i="21"/>
  <c r="B828" i="21"/>
  <c r="J828" i="21"/>
  <c r="H830" i="21"/>
  <c r="J813" i="21"/>
  <c r="H822" i="21"/>
  <c r="H823" i="21" s="1"/>
  <c r="H819" i="21"/>
  <c r="H818" i="21"/>
  <c r="A813" i="21"/>
  <c r="J1675" i="21"/>
  <c r="J1541" i="21"/>
  <c r="J1528" i="21"/>
  <c r="J1649" i="21"/>
  <c r="J1627" i="21"/>
  <c r="J1615" i="21"/>
  <c r="J1506" i="21"/>
  <c r="J1556" i="21"/>
  <c r="J798" i="21"/>
  <c r="H807" i="21"/>
  <c r="H808" i="21" s="1"/>
  <c r="H845" i="21" l="1"/>
  <c r="H849" i="21"/>
  <c r="H820" i="21"/>
  <c r="J156" i="21"/>
  <c r="J118" i="21"/>
  <c r="J94" i="21"/>
  <c r="J53" i="21"/>
  <c r="J40" i="21"/>
  <c r="J27" i="21"/>
  <c r="J144" i="21"/>
  <c r="J106" i="21"/>
  <c r="J785" i="21"/>
  <c r="H792" i="21"/>
  <c r="H788" i="21"/>
  <c r="J770" i="21"/>
  <c r="H773" i="21"/>
  <c r="H774" i="21"/>
  <c r="H775" i="21"/>
  <c r="H779" i="21"/>
  <c r="H778" i="21"/>
  <c r="J753" i="21"/>
  <c r="H756" i="21"/>
  <c r="H755" i="21"/>
  <c r="J734" i="21"/>
  <c r="H736" i="21"/>
  <c r="H737" i="21" s="1"/>
  <c r="J722" i="21"/>
  <c r="H728" i="21"/>
  <c r="H727" i="21"/>
  <c r="J710" i="21"/>
  <c r="J696" i="21"/>
  <c r="H699" i="21"/>
  <c r="H700" i="21"/>
  <c r="H704" i="21"/>
  <c r="H703" i="21"/>
  <c r="H698" i="21"/>
  <c r="J684" i="21"/>
  <c r="J663" i="21"/>
  <c r="J650" i="21"/>
  <c r="H652" i="21"/>
  <c r="H657" i="21"/>
  <c r="H656" i="21"/>
  <c r="J633" i="21"/>
  <c r="H638" i="21"/>
  <c r="H636" i="21"/>
  <c r="H568" i="21"/>
  <c r="H609" i="21"/>
  <c r="J606" i="21"/>
  <c r="J578" i="21"/>
  <c r="J564" i="21"/>
  <c r="H567" i="21"/>
  <c r="J549" i="21"/>
  <c r="H554" i="21"/>
  <c r="H850" i="21" l="1"/>
  <c r="G540" i="27" s="1"/>
  <c r="H729" i="21"/>
  <c r="H780" i="21"/>
  <c r="H757" i="21"/>
  <c r="H705" i="21"/>
  <c r="H701" i="21"/>
  <c r="H543" i="21"/>
  <c r="H542" i="21"/>
  <c r="H538" i="21"/>
  <c r="H537" i="21"/>
  <c r="H536" i="21"/>
  <c r="H535" i="21"/>
  <c r="H534" i="21"/>
  <c r="J515" i="21"/>
  <c r="J532" i="21"/>
  <c r="J503" i="21"/>
  <c r="H521" i="21"/>
  <c r="J456" i="21"/>
  <c r="J477" i="21"/>
  <c r="H480" i="21"/>
  <c r="H481" i="21"/>
  <c r="H706" i="21" l="1"/>
  <c r="G221" i="27" s="1"/>
  <c r="J441" i="21"/>
  <c r="J422" i="21"/>
  <c r="J409" i="21"/>
  <c r="J393" i="21"/>
  <c r="J377" i="21"/>
  <c r="J361" i="21"/>
  <c r="J346" i="21"/>
  <c r="J330" i="21"/>
  <c r="J285" i="21"/>
  <c r="J272" i="21"/>
  <c r="J260" i="21"/>
  <c r="J248" i="21"/>
  <c r="J236" i="21"/>
  <c r="J225" i="21"/>
  <c r="J211" i="21"/>
  <c r="J169" i="21"/>
  <c r="H425" i="21" l="1"/>
  <c r="H432" i="21"/>
  <c r="H431" i="21"/>
  <c r="H424" i="21"/>
  <c r="H416" i="21"/>
  <c r="H415" i="21"/>
  <c r="H412" i="21"/>
  <c r="H411" i="21"/>
  <c r="A2129" i="21"/>
  <c r="H395" i="21"/>
  <c r="H396" i="21" s="1"/>
  <c r="H371" i="21"/>
  <c r="H355" i="21"/>
  <c r="H356" i="21" s="1"/>
  <c r="H417" i="21" l="1"/>
  <c r="H426" i="21"/>
  <c r="H433" i="21"/>
  <c r="H413" i="21"/>
  <c r="H372" i="21"/>
  <c r="H340" i="21"/>
  <c r="H339" i="21"/>
  <c r="H341" i="21" l="1"/>
  <c r="H418" i="21"/>
  <c r="G192" i="27" s="1"/>
  <c r="H300" i="21"/>
  <c r="H299" i="21"/>
  <c r="H288" i="21"/>
  <c r="H287" i="21"/>
  <c r="H278" i="21"/>
  <c r="H266" i="21"/>
  <c r="H265" i="21"/>
  <c r="H254" i="21"/>
  <c r="H253" i="21"/>
  <c r="H242" i="21"/>
  <c r="H241" i="21"/>
  <c r="H250" i="21"/>
  <c r="H251" i="21" s="1"/>
  <c r="H238" i="21"/>
  <c r="H239" i="21" s="1"/>
  <c r="H230" i="21"/>
  <c r="H231" i="21" s="1"/>
  <c r="H267" i="21" l="1"/>
  <c r="H301" i="21"/>
  <c r="H289" i="21"/>
  <c r="H255" i="21"/>
  <c r="H256" i="21" s="1"/>
  <c r="G278" i="27" s="1"/>
  <c r="H243" i="21"/>
  <c r="H244" i="21" s="1"/>
  <c r="G277" i="27" s="1"/>
  <c r="H791" i="21"/>
  <c r="H793" i="21" s="1"/>
  <c r="H787" i="21"/>
  <c r="H789" i="21" s="1"/>
  <c r="H2571" i="21"/>
  <c r="H2535" i="21"/>
  <c r="H2534" i="21"/>
  <c r="H2570" i="21"/>
  <c r="H2569" i="21"/>
  <c r="H2568" i="21"/>
  <c r="H2567" i="21"/>
  <c r="H2566" i="21"/>
  <c r="H2518" i="21"/>
  <c r="H2565" i="21"/>
  <c r="H2564" i="21"/>
  <c r="H2563" i="21"/>
  <c r="H2513" i="21"/>
  <c r="H2562" i="21"/>
  <c r="H2561" i="21"/>
  <c r="H2560" i="21"/>
  <c r="H2509" i="21"/>
  <c r="H2559" i="21"/>
  <c r="H2558" i="21"/>
  <c r="H2557" i="21"/>
  <c r="H2499" i="21"/>
  <c r="H2556" i="21"/>
  <c r="H2491" i="21"/>
  <c r="H2555" i="21"/>
  <c r="H2554" i="21"/>
  <c r="H2553" i="21"/>
  <c r="H2550" i="21"/>
  <c r="H2549" i="21"/>
  <c r="H2548" i="21"/>
  <c r="H2547" i="21"/>
  <c r="H2546" i="21"/>
  <c r="H2545" i="21"/>
  <c r="H2544" i="21"/>
  <c r="H2543" i="21"/>
  <c r="H2542" i="21"/>
  <c r="H2541" i="21"/>
  <c r="H2540" i="21"/>
  <c r="H2537" i="21"/>
  <c r="H2536" i="21"/>
  <c r="H2533" i="21"/>
  <c r="H2532" i="21"/>
  <c r="H2531" i="21"/>
  <c r="H2530" i="21"/>
  <c r="H2529" i="21"/>
  <c r="H2528" i="21"/>
  <c r="H2527" i="21"/>
  <c r="H2526" i="21"/>
  <c r="H2525" i="21"/>
  <c r="H2524" i="21"/>
  <c r="H2523" i="21"/>
  <c r="H2522" i="21"/>
  <c r="H2521" i="21"/>
  <c r="H2520" i="21"/>
  <c r="H2504" i="21"/>
  <c r="H2519" i="21"/>
  <c r="H2517" i="21"/>
  <c r="H2516" i="21"/>
  <c r="H2515" i="21"/>
  <c r="H2514" i="21"/>
  <c r="H2512" i="21"/>
  <c r="H2511" i="21"/>
  <c r="H2510" i="21"/>
  <c r="H2508" i="21"/>
  <c r="H2507" i="21"/>
  <c r="H2506" i="21"/>
  <c r="H2505" i="21"/>
  <c r="H2503" i="21"/>
  <c r="H2502" i="21"/>
  <c r="H2501" i="21"/>
  <c r="H2500" i="21"/>
  <c r="H2498" i="21"/>
  <c r="H2497" i="21"/>
  <c r="H2496" i="21"/>
  <c r="H2495" i="21"/>
  <c r="H2494" i="21"/>
  <c r="H2492" i="21"/>
  <c r="H2493" i="21"/>
  <c r="H2490" i="21"/>
  <c r="H2489" i="21"/>
  <c r="H2488" i="21"/>
  <c r="H2487" i="21"/>
  <c r="H2486" i="21"/>
  <c r="H2485" i="21"/>
  <c r="H2484" i="21"/>
  <c r="H1888" i="21"/>
  <c r="H1887" i="21"/>
  <c r="H1886" i="21"/>
  <c r="H1885" i="21"/>
  <c r="H772" i="21"/>
  <c r="H776" i="21" s="1"/>
  <c r="H781" i="21" s="1"/>
  <c r="G377" i="27" s="1"/>
  <c r="H764" i="21"/>
  <c r="H763" i="21"/>
  <c r="H759" i="21"/>
  <c r="H761" i="21" s="1"/>
  <c r="H2476" i="21"/>
  <c r="H2468" i="21"/>
  <c r="H2465" i="21"/>
  <c r="H2307" i="21"/>
  <c r="H747" i="21"/>
  <c r="H746" i="21"/>
  <c r="H743" i="21"/>
  <c r="H742" i="21"/>
  <c r="H739" i="21"/>
  <c r="H2296" i="21"/>
  <c r="H2295" i="21"/>
  <c r="H2292" i="21"/>
  <c r="H2289" i="21"/>
  <c r="H2241" i="21"/>
  <c r="H2240" i="21"/>
  <c r="H2237" i="21"/>
  <c r="H724" i="21"/>
  <c r="H690" i="21"/>
  <c r="H689" i="21"/>
  <c r="H716" i="21"/>
  <c r="H715" i="21"/>
  <c r="H712" i="21"/>
  <c r="H2203" i="21"/>
  <c r="H2199" i="21"/>
  <c r="H2201" i="21" s="1"/>
  <c r="H2188" i="21"/>
  <c r="H2191" i="21"/>
  <c r="H2180" i="21"/>
  <c r="H2177" i="21"/>
  <c r="H2176" i="21"/>
  <c r="H2173" i="21"/>
  <c r="H2172" i="21"/>
  <c r="H644" i="21"/>
  <c r="H643" i="21"/>
  <c r="H640" i="21"/>
  <c r="H639" i="21"/>
  <c r="H637" i="21"/>
  <c r="H635" i="21"/>
  <c r="H613" i="21"/>
  <c r="H612" i="21"/>
  <c r="H608" i="21"/>
  <c r="H610" i="21" s="1"/>
  <c r="H2164" i="21"/>
  <c r="H2163" i="21"/>
  <c r="H2160" i="21"/>
  <c r="H2159" i="21"/>
  <c r="H2151" i="21"/>
  <c r="H2148" i="21"/>
  <c r="H653" i="21"/>
  <c r="H585" i="21"/>
  <c r="H584" i="21"/>
  <c r="H581" i="21"/>
  <c r="H580" i="21"/>
  <c r="H572" i="21"/>
  <c r="H571" i="21"/>
  <c r="H566" i="21"/>
  <c r="H558" i="21"/>
  <c r="H557" i="21"/>
  <c r="H553" i="21"/>
  <c r="H552" i="21"/>
  <c r="H551" i="21"/>
  <c r="H539" i="21"/>
  <c r="H526" i="21"/>
  <c r="H525" i="21"/>
  <c r="H520" i="21"/>
  <c r="H519" i="21"/>
  <c r="H518" i="21"/>
  <c r="H517" i="21"/>
  <c r="H509" i="21"/>
  <c r="H508" i="21"/>
  <c r="H505" i="21"/>
  <c r="H506" i="21" s="1"/>
  <c r="H485" i="21"/>
  <c r="H484" i="21"/>
  <c r="H479" i="21"/>
  <c r="H482" i="21" s="1"/>
  <c r="H435" i="21"/>
  <c r="H436" i="21" s="1"/>
  <c r="H428" i="21"/>
  <c r="H429" i="21" s="1"/>
  <c r="H2140" i="21"/>
  <c r="H2139" i="21"/>
  <c r="H2138" i="21"/>
  <c r="H2137" i="21"/>
  <c r="H2134" i="21"/>
  <c r="H2133" i="21"/>
  <c r="H2132" i="21"/>
  <c r="H2131" i="21"/>
  <c r="H2123" i="21"/>
  <c r="H2120" i="21"/>
  <c r="H2119" i="21"/>
  <c r="H2116" i="21"/>
  <c r="H2108" i="21"/>
  <c r="H2107" i="21"/>
  <c r="H2106" i="21"/>
  <c r="H2103" i="21"/>
  <c r="H2090" i="21"/>
  <c r="H2089" i="21"/>
  <c r="H2088" i="21"/>
  <c r="H2083" i="21"/>
  <c r="H2075" i="21"/>
  <c r="H2074" i="21"/>
  <c r="H2070" i="21"/>
  <c r="H2062" i="21"/>
  <c r="H2061" i="21"/>
  <c r="H2058" i="21"/>
  <c r="H2057" i="21"/>
  <c r="H2049" i="21"/>
  <c r="H2048" i="21"/>
  <c r="H2045" i="21"/>
  <c r="H403" i="21"/>
  <c r="H402" i="21"/>
  <c r="H399" i="21"/>
  <c r="H398" i="21"/>
  <c r="H387" i="21"/>
  <c r="H386" i="21"/>
  <c r="H383" i="21"/>
  <c r="H380" i="21"/>
  <c r="H379" i="21"/>
  <c r="H1862" i="21"/>
  <c r="H1813" i="21"/>
  <c r="H1812" i="21"/>
  <c r="H1809" i="21"/>
  <c r="H1801" i="21"/>
  <c r="H1800" i="21"/>
  <c r="H1797" i="21"/>
  <c r="H1796" i="21"/>
  <c r="H1795" i="21"/>
  <c r="H1787" i="21"/>
  <c r="H1786" i="21"/>
  <c r="H1783" i="21"/>
  <c r="H1775" i="21"/>
  <c r="H1767" i="21"/>
  <c r="H1766" i="21"/>
  <c r="H1763" i="21"/>
  <c r="H1755" i="21"/>
  <c r="H1752" i="21"/>
  <c r="H1744" i="21"/>
  <c r="H1743" i="21"/>
  <c r="H367" i="21"/>
  <c r="H366" i="21"/>
  <c r="H364" i="21"/>
  <c r="H1732" i="21"/>
  <c r="H1731" i="21"/>
  <c r="H1728" i="21"/>
  <c r="H1727" i="21"/>
  <c r="H1719" i="21"/>
  <c r="H1718" i="21"/>
  <c r="H1715" i="21"/>
  <c r="H1707" i="21"/>
  <c r="H1706" i="21"/>
  <c r="H1703" i="21"/>
  <c r="H1702" i="21"/>
  <c r="H1701" i="21"/>
  <c r="H1693" i="21"/>
  <c r="H1692" i="21"/>
  <c r="H1689" i="21"/>
  <c r="H1688" i="21"/>
  <c r="H1687" i="21"/>
  <c r="H815" i="21"/>
  <c r="H816" i="21" s="1"/>
  <c r="H824" i="21" s="1"/>
  <c r="G633" i="27" s="1"/>
  <c r="H1679" i="21"/>
  <c r="H1678" i="21"/>
  <c r="H1675" i="21"/>
  <c r="H1655" i="21"/>
  <c r="H1654" i="21"/>
  <c r="H1667" i="21"/>
  <c r="H1666" i="21"/>
  <c r="H1663" i="21"/>
  <c r="H1651" i="21"/>
  <c r="H1643" i="21"/>
  <c r="H1642" i="21"/>
  <c r="H1639" i="21"/>
  <c r="H1631" i="21"/>
  <c r="H1630" i="21"/>
  <c r="H1619" i="21"/>
  <c r="H1618" i="21"/>
  <c r="H1627" i="21"/>
  <c r="H1615" i="21"/>
  <c r="H1603" i="21"/>
  <c r="H1595" i="21"/>
  <c r="H1594" i="21"/>
  <c r="H1591" i="21"/>
  <c r="H1583" i="21"/>
  <c r="H1580" i="21"/>
  <c r="H1572" i="21"/>
  <c r="H1571" i="21"/>
  <c r="H1568" i="21"/>
  <c r="H1560" i="21"/>
  <c r="H1559" i="21"/>
  <c r="H1556" i="21"/>
  <c r="H835" i="21"/>
  <c r="H834" i="21"/>
  <c r="H831" i="21"/>
  <c r="H832" i="21" s="1"/>
  <c r="H1548" i="21"/>
  <c r="H1547" i="21"/>
  <c r="H1546" i="21"/>
  <c r="H1543" i="21"/>
  <c r="H1535" i="21"/>
  <c r="H1534" i="21"/>
  <c r="H1533" i="21"/>
  <c r="H1530" i="21"/>
  <c r="H352" i="21"/>
  <c r="H351" i="21"/>
  <c r="H348" i="21"/>
  <c r="H349" i="21" s="1"/>
  <c r="H804" i="21"/>
  <c r="H803" i="21"/>
  <c r="H800" i="21"/>
  <c r="H1522" i="21"/>
  <c r="H1521" i="21"/>
  <c r="H1518" i="21"/>
  <c r="H336" i="21"/>
  <c r="H335" i="21"/>
  <c r="H332" i="21"/>
  <c r="H333" i="21" s="1"/>
  <c r="H1510" i="21"/>
  <c r="H1509" i="21"/>
  <c r="H1506" i="21"/>
  <c r="H450" i="21"/>
  <c r="H449" i="21"/>
  <c r="H446" i="21"/>
  <c r="H445" i="21"/>
  <c r="H444" i="21"/>
  <c r="H443" i="21"/>
  <c r="H296" i="21"/>
  <c r="H295" i="21"/>
  <c r="H292" i="21"/>
  <c r="H291" i="21"/>
  <c r="H1498" i="21"/>
  <c r="H1495" i="21"/>
  <c r="H1487" i="21"/>
  <c r="H1486" i="21"/>
  <c r="H1483" i="21"/>
  <c r="H1475" i="21"/>
  <c r="H1474" i="21"/>
  <c r="H1471" i="21"/>
  <c r="H1470" i="21"/>
  <c r="H1469" i="21"/>
  <c r="H1468" i="21"/>
  <c r="H1467" i="21"/>
  <c r="H1466" i="21"/>
  <c r="H1458" i="21"/>
  <c r="H1457" i="21"/>
  <c r="H1456" i="21"/>
  <c r="H1455" i="21"/>
  <c r="H279" i="21"/>
  <c r="H275" i="21"/>
  <c r="H274" i="21"/>
  <c r="H262" i="21"/>
  <c r="H227" i="21"/>
  <c r="H1444" i="21"/>
  <c r="H1443" i="21"/>
  <c r="H1440" i="21"/>
  <c r="H1439" i="21"/>
  <c r="H1438" i="21"/>
  <c r="H219" i="21"/>
  <c r="H218" i="21"/>
  <c r="H215" i="21"/>
  <c r="H214" i="21"/>
  <c r="H213" i="21"/>
  <c r="H1416" i="21"/>
  <c r="H1413" i="21"/>
  <c r="H1412" i="21"/>
  <c r="H1404" i="21"/>
  <c r="H1396" i="21"/>
  <c r="H1395" i="21"/>
  <c r="H1392" i="21"/>
  <c r="H1384" i="21"/>
  <c r="H1376" i="21"/>
  <c r="H1373" i="21"/>
  <c r="H1365" i="21"/>
  <c r="H1364" i="21"/>
  <c r="H1363" i="21"/>
  <c r="H1362" i="21"/>
  <c r="H1361" i="21"/>
  <c r="H1360" i="21"/>
  <c r="H1359" i="21"/>
  <c r="H1358" i="21"/>
  <c r="H1357" i="21"/>
  <c r="H1354" i="21"/>
  <c r="H1353" i="21"/>
  <c r="H1352" i="21"/>
  <c r="H1351" i="21"/>
  <c r="H1350" i="21"/>
  <c r="H1349" i="21"/>
  <c r="H1348" i="21"/>
  <c r="H1347" i="21"/>
  <c r="H1346" i="21"/>
  <c r="H1345" i="21"/>
  <c r="H1344" i="21"/>
  <c r="H1343" i="21"/>
  <c r="H1342" i="21"/>
  <c r="H1341" i="21"/>
  <c r="H1340" i="21"/>
  <c r="H1339" i="21"/>
  <c r="H1338" i="21"/>
  <c r="H1337" i="21"/>
  <c r="H1336" i="21"/>
  <c r="H1335" i="21"/>
  <c r="H1332" i="21"/>
  <c r="H471" i="21"/>
  <c r="H470" i="21"/>
  <c r="H467" i="21"/>
  <c r="H466" i="21"/>
  <c r="H465" i="21"/>
  <c r="H462" i="21"/>
  <c r="H459" i="21"/>
  <c r="H458" i="21"/>
  <c r="H150" i="21"/>
  <c r="H147" i="21"/>
  <c r="H146" i="21"/>
  <c r="H136" i="21"/>
  <c r="H135" i="21"/>
  <c r="H132" i="21"/>
  <c r="H131" i="21"/>
  <c r="H130" i="21"/>
  <c r="H129" i="21"/>
  <c r="H128" i="21"/>
  <c r="H127" i="21"/>
  <c r="H126" i="21"/>
  <c r="H125" i="21"/>
  <c r="H124" i="21"/>
  <c r="H112" i="21"/>
  <c r="H109" i="21"/>
  <c r="H108" i="21"/>
  <c r="H100" i="21"/>
  <c r="H99" i="21"/>
  <c r="H60" i="21"/>
  <c r="H59" i="21"/>
  <c r="H56" i="21"/>
  <c r="H55" i="21"/>
  <c r="H133" i="21" l="1"/>
  <c r="H1459" i="21"/>
  <c r="H337" i="21"/>
  <c r="H342" i="21" s="1"/>
  <c r="G524" i="27" s="1"/>
  <c r="H836" i="21"/>
  <c r="H837" i="21" s="1"/>
  <c r="G539" i="27" s="1"/>
  <c r="H486" i="21"/>
  <c r="H437" i="21"/>
  <c r="G193" i="27" s="1"/>
  <c r="H400" i="21"/>
  <c r="H368" i="21"/>
  <c r="H373" i="21" s="1"/>
  <c r="G634" i="27" s="1"/>
  <c r="H353" i="21"/>
  <c r="H216" i="21"/>
  <c r="H61" i="21"/>
  <c r="H57" i="21"/>
  <c r="H1366" i="21"/>
  <c r="H1355" i="21"/>
  <c r="H1333" i="21"/>
  <c r="H1377" i="21"/>
  <c r="H1374" i="21"/>
  <c r="H1378" i="21" l="1"/>
  <c r="G40" i="27" s="1"/>
  <c r="H62" i="21"/>
  <c r="G269" i="27" s="1"/>
  <c r="H1367" i="21"/>
  <c r="G24" i="27" s="1"/>
  <c r="E126" i="30" l="1"/>
  <c r="F126" i="30"/>
  <c r="G126" i="30"/>
  <c r="H126" i="30"/>
  <c r="I126" i="30"/>
  <c r="J126" i="30"/>
  <c r="K126" i="30"/>
  <c r="L126" i="30"/>
  <c r="C2304" i="21"/>
  <c r="B2304" i="21"/>
  <c r="C2302" i="21"/>
  <c r="B2302" i="21"/>
  <c r="A2302" i="21"/>
  <c r="H2308" i="21"/>
  <c r="G2304" i="21"/>
  <c r="K170" i="16"/>
  <c r="H2304" i="21" l="1"/>
  <c r="H2305" i="21" s="1"/>
  <c r="H2309" i="21" s="1"/>
  <c r="G286" i="27" s="1"/>
  <c r="E160" i="16" l="1"/>
  <c r="F160" i="16"/>
  <c r="G160" i="16"/>
  <c r="H160" i="16"/>
  <c r="I160" i="16"/>
  <c r="J160" i="16"/>
  <c r="K160" i="16"/>
  <c r="L160" i="16"/>
  <c r="D160" i="16"/>
  <c r="E76" i="16"/>
  <c r="F76" i="16"/>
  <c r="D76" i="16"/>
  <c r="E52" i="16"/>
  <c r="F52" i="16"/>
  <c r="G52" i="16"/>
  <c r="I52" i="16"/>
  <c r="K52" i="16"/>
  <c r="L52" i="16"/>
  <c r="M52" i="16"/>
  <c r="D52" i="16"/>
  <c r="I42" i="16"/>
  <c r="J42" i="16"/>
  <c r="K42" i="16"/>
  <c r="L42" i="16"/>
  <c r="M42" i="16"/>
  <c r="H42" i="16"/>
  <c r="G42" i="16"/>
  <c r="E42" i="16"/>
  <c r="D42" i="16"/>
  <c r="H33" i="24" l="1"/>
  <c r="C2068" i="21"/>
  <c r="B2068" i="21"/>
  <c r="A2068" i="21"/>
  <c r="C2071" i="21"/>
  <c r="H2071" i="21"/>
  <c r="B2071" i="21"/>
  <c r="C686" i="21"/>
  <c r="B686" i="21"/>
  <c r="H686" i="21"/>
  <c r="B96" i="21"/>
  <c r="C1452" i="21"/>
  <c r="B1452" i="21"/>
  <c r="H2076" i="21" l="1"/>
  <c r="H2072" i="21"/>
  <c r="H114" i="24"/>
  <c r="H102" i="24"/>
  <c r="H96" i="21"/>
  <c r="G1452" i="21"/>
  <c r="H1452" i="21" s="1"/>
  <c r="H2077" i="21" l="1"/>
  <c r="G577" i="27" s="1"/>
  <c r="C1554" i="21" l="1"/>
  <c r="B1554" i="21"/>
  <c r="A1554" i="21"/>
  <c r="C1880" i="21"/>
  <c r="B1880" i="21"/>
  <c r="A1880" i="21"/>
  <c r="C2474" i="21"/>
  <c r="B2474" i="21"/>
  <c r="A2474" i="21"/>
  <c r="H2477" i="21"/>
  <c r="H2478" i="21" s="1"/>
  <c r="G38" i="27" s="1"/>
  <c r="C2096" i="21"/>
  <c r="B2096" i="21"/>
  <c r="A2096" i="21"/>
  <c r="C2081" i="21"/>
  <c r="B2081" i="21"/>
  <c r="A2081" i="21"/>
  <c r="C2055" i="21"/>
  <c r="B2055" i="21"/>
  <c r="C2043" i="21"/>
  <c r="B2043" i="21"/>
  <c r="H2046" i="21"/>
  <c r="C734" i="21"/>
  <c r="B734" i="21"/>
  <c r="A734" i="21"/>
  <c r="C2287" i="21"/>
  <c r="B2287" i="21"/>
  <c r="A2287" i="21"/>
  <c r="H740" i="21"/>
  <c r="H2293" i="21"/>
  <c r="H2290" i="21"/>
  <c r="C2101" i="21"/>
  <c r="B2101" i="21"/>
  <c r="A2101" i="21"/>
  <c r="H2104" i="21"/>
  <c r="C1725" i="21"/>
  <c r="B1725" i="21"/>
  <c r="A1725" i="21"/>
  <c r="H1725" i="21"/>
  <c r="C441" i="21"/>
  <c r="B441" i="21"/>
  <c r="A441" i="21"/>
  <c r="C1390" i="21"/>
  <c r="B1390" i="21"/>
  <c r="A1390" i="21"/>
  <c r="H1393" i="21"/>
  <c r="C1819" i="21"/>
  <c r="B1819" i="21"/>
  <c r="A1819" i="21"/>
  <c r="C813" i="21"/>
  <c r="B813" i="21"/>
  <c r="B50" i="26"/>
  <c r="B49" i="26"/>
  <c r="B48" i="26"/>
  <c r="B47" i="26"/>
  <c r="B46" i="26"/>
  <c r="H22" i="26"/>
  <c r="H19" i="26"/>
  <c r="H13" i="26"/>
  <c r="B50" i="10"/>
  <c r="B49" i="10"/>
  <c r="B48" i="10"/>
  <c r="B47" i="10"/>
  <c r="B46" i="10"/>
  <c r="H21" i="10"/>
  <c r="H22" i="10" s="1"/>
  <c r="H19" i="10"/>
  <c r="H12" i="10"/>
  <c r="H11" i="10"/>
  <c r="H10" i="10"/>
  <c r="H9" i="10"/>
  <c r="M253" i="30"/>
  <c r="L253" i="30"/>
  <c r="K253" i="30"/>
  <c r="J253" i="30"/>
  <c r="I253" i="30"/>
  <c r="H253" i="30"/>
  <c r="G253" i="30"/>
  <c r="F253" i="30"/>
  <c r="E253" i="30"/>
  <c r="D253" i="30"/>
  <c r="M248" i="30"/>
  <c r="L248" i="30"/>
  <c r="K248" i="30"/>
  <c r="J248" i="30"/>
  <c r="I248" i="30"/>
  <c r="H248" i="30"/>
  <c r="G248" i="30"/>
  <c r="F248" i="30"/>
  <c r="E248" i="30"/>
  <c r="D248" i="30"/>
  <c r="M239" i="30"/>
  <c r="L239" i="30"/>
  <c r="K239" i="30"/>
  <c r="J239" i="30"/>
  <c r="I239" i="30"/>
  <c r="H239" i="30"/>
  <c r="G239" i="30"/>
  <c r="F239" i="30"/>
  <c r="E239" i="30"/>
  <c r="D239" i="30"/>
  <c r="M226" i="30"/>
  <c r="L226" i="30"/>
  <c r="K226" i="30"/>
  <c r="J226" i="30"/>
  <c r="I226" i="30"/>
  <c r="H226" i="30"/>
  <c r="G226" i="30"/>
  <c r="F226" i="30"/>
  <c r="E226" i="30"/>
  <c r="D226" i="30"/>
  <c r="M220" i="30"/>
  <c r="L220" i="30"/>
  <c r="K220" i="30"/>
  <c r="J220" i="30"/>
  <c r="I220" i="30"/>
  <c r="H220" i="30"/>
  <c r="G220" i="30"/>
  <c r="F220" i="30"/>
  <c r="E220" i="30"/>
  <c r="D220" i="30"/>
  <c r="M210" i="30"/>
  <c r="L210" i="30"/>
  <c r="K210" i="30"/>
  <c r="J210" i="30"/>
  <c r="I210" i="30"/>
  <c r="H210" i="30"/>
  <c r="G210" i="30"/>
  <c r="F210" i="30"/>
  <c r="E210" i="30"/>
  <c r="D210" i="30"/>
  <c r="M202" i="30"/>
  <c r="L202" i="30"/>
  <c r="K202" i="30"/>
  <c r="J202" i="30"/>
  <c r="I202" i="30"/>
  <c r="H202" i="30"/>
  <c r="G202" i="30"/>
  <c r="F202" i="30"/>
  <c r="E202" i="30"/>
  <c r="D202" i="30"/>
  <c r="M187" i="30"/>
  <c r="L187" i="30"/>
  <c r="K187" i="30"/>
  <c r="J187" i="30"/>
  <c r="I187" i="30"/>
  <c r="H187" i="30"/>
  <c r="G187" i="30"/>
  <c r="F187" i="30"/>
  <c r="E187" i="30"/>
  <c r="D187" i="30"/>
  <c r="M179" i="30"/>
  <c r="L179" i="30"/>
  <c r="K179" i="30"/>
  <c r="J179" i="30"/>
  <c r="I179" i="30"/>
  <c r="H179" i="30"/>
  <c r="G179" i="30"/>
  <c r="F179" i="30"/>
  <c r="E179" i="30"/>
  <c r="D179" i="30"/>
  <c r="M166" i="30"/>
  <c r="L166" i="30"/>
  <c r="K166" i="30"/>
  <c r="J166" i="30"/>
  <c r="I166" i="30"/>
  <c r="H166" i="30"/>
  <c r="G166" i="30"/>
  <c r="F166" i="30"/>
  <c r="E166" i="30"/>
  <c r="D166" i="30"/>
  <c r="M160" i="30"/>
  <c r="L160" i="30"/>
  <c r="K160" i="30"/>
  <c r="J160" i="30"/>
  <c r="I160" i="30"/>
  <c r="H160" i="30"/>
  <c r="G160" i="30"/>
  <c r="F160" i="30"/>
  <c r="E160" i="30"/>
  <c r="D160" i="30"/>
  <c r="M153" i="30"/>
  <c r="L153" i="30"/>
  <c r="K153" i="30"/>
  <c r="J153" i="30"/>
  <c r="I153" i="30"/>
  <c r="H153" i="30"/>
  <c r="G153" i="30"/>
  <c r="F153" i="30"/>
  <c r="E153" i="30"/>
  <c r="D153" i="30"/>
  <c r="M144" i="30"/>
  <c r="L144" i="30"/>
  <c r="K144" i="30"/>
  <c r="J144" i="30"/>
  <c r="I144" i="30"/>
  <c r="H144" i="30"/>
  <c r="G144" i="30"/>
  <c r="F144" i="30"/>
  <c r="E144" i="30"/>
  <c r="D144" i="30"/>
  <c r="M132" i="30"/>
  <c r="L132" i="30"/>
  <c r="K132" i="30"/>
  <c r="J132" i="30"/>
  <c r="I132" i="30"/>
  <c r="H132" i="30"/>
  <c r="G132" i="30"/>
  <c r="F132" i="30"/>
  <c r="E132" i="30"/>
  <c r="D132" i="30"/>
  <c r="M126" i="30"/>
  <c r="D126" i="30"/>
  <c r="M120" i="30"/>
  <c r="L120" i="30"/>
  <c r="K120" i="30"/>
  <c r="J120" i="30"/>
  <c r="I120" i="30"/>
  <c r="H120" i="30"/>
  <c r="G120" i="30"/>
  <c r="F120" i="30"/>
  <c r="E120" i="30"/>
  <c r="D120" i="30"/>
  <c r="M110" i="30"/>
  <c r="L110" i="30"/>
  <c r="K110" i="30"/>
  <c r="J110" i="30"/>
  <c r="I110" i="30"/>
  <c r="H110" i="30"/>
  <c r="G110" i="30"/>
  <c r="F110" i="30"/>
  <c r="E110" i="30"/>
  <c r="D110" i="30"/>
  <c r="M103" i="30"/>
  <c r="L103" i="30"/>
  <c r="K103" i="30"/>
  <c r="J103" i="30"/>
  <c r="I103" i="30"/>
  <c r="H103" i="30"/>
  <c r="G103" i="30"/>
  <c r="F103" i="30"/>
  <c r="E103" i="30"/>
  <c r="D103" i="30"/>
  <c r="M94" i="30"/>
  <c r="L94" i="30"/>
  <c r="K94" i="30"/>
  <c r="J94" i="30"/>
  <c r="I94" i="30"/>
  <c r="H94" i="30"/>
  <c r="G94" i="30"/>
  <c r="F94" i="30"/>
  <c r="E94" i="30"/>
  <c r="D94" i="30"/>
  <c r="M85" i="30"/>
  <c r="L85" i="30"/>
  <c r="K85" i="30"/>
  <c r="J85" i="30"/>
  <c r="I85" i="30"/>
  <c r="H85" i="30"/>
  <c r="G85" i="30"/>
  <c r="F85" i="30"/>
  <c r="E85" i="30"/>
  <c r="D85" i="30"/>
  <c r="M77" i="30"/>
  <c r="L77" i="30"/>
  <c r="K77" i="30"/>
  <c r="J77" i="30"/>
  <c r="I77" i="30"/>
  <c r="H77" i="30"/>
  <c r="G77" i="30"/>
  <c r="F77" i="30"/>
  <c r="E77" i="30"/>
  <c r="D77" i="30"/>
  <c r="M70" i="30"/>
  <c r="L70" i="30"/>
  <c r="K70" i="30"/>
  <c r="J70" i="30"/>
  <c r="I70" i="30"/>
  <c r="H70" i="30"/>
  <c r="G70" i="30"/>
  <c r="F70" i="30"/>
  <c r="E70" i="30"/>
  <c r="D70" i="30"/>
  <c r="M60" i="30"/>
  <c r="L60" i="30"/>
  <c r="K60" i="30"/>
  <c r="J60" i="30"/>
  <c r="I60" i="30"/>
  <c r="H60" i="30"/>
  <c r="G60" i="30"/>
  <c r="F60" i="30"/>
  <c r="E60" i="30"/>
  <c r="D60" i="30"/>
  <c r="M53" i="30"/>
  <c r="L53" i="30"/>
  <c r="K53" i="30"/>
  <c r="J53" i="30"/>
  <c r="I53" i="30"/>
  <c r="H53" i="30"/>
  <c r="G53" i="30"/>
  <c r="F53" i="30"/>
  <c r="E53" i="30"/>
  <c r="D53" i="30"/>
  <c r="M38" i="30"/>
  <c r="L38" i="30"/>
  <c r="K38" i="30"/>
  <c r="J38" i="30"/>
  <c r="I38" i="30"/>
  <c r="H38" i="30"/>
  <c r="G38" i="30"/>
  <c r="F38" i="30"/>
  <c r="E38" i="30"/>
  <c r="D38" i="30"/>
  <c r="M19" i="30"/>
  <c r="L19" i="30"/>
  <c r="K19" i="30"/>
  <c r="J19" i="30"/>
  <c r="I19" i="30"/>
  <c r="H19" i="30"/>
  <c r="G19" i="30"/>
  <c r="F19" i="30"/>
  <c r="E19" i="30"/>
  <c r="D19" i="30"/>
  <c r="B19" i="30"/>
  <c r="M10" i="30"/>
  <c r="L10" i="30"/>
  <c r="K10" i="30"/>
  <c r="J10" i="30"/>
  <c r="I10" i="30"/>
  <c r="H10" i="30"/>
  <c r="G10" i="30"/>
  <c r="F10" i="30"/>
  <c r="E10" i="30"/>
  <c r="D10" i="30"/>
  <c r="B10" i="30"/>
  <c r="B175" i="16"/>
  <c r="A175" i="16"/>
  <c r="E174" i="16"/>
  <c r="D174" i="16"/>
  <c r="B173" i="16"/>
  <c r="A173" i="16"/>
  <c r="B171" i="16"/>
  <c r="A171" i="16"/>
  <c r="B169" i="16"/>
  <c r="A169" i="16"/>
  <c r="K168" i="16"/>
  <c r="J168" i="16"/>
  <c r="I168" i="16"/>
  <c r="H168" i="16"/>
  <c r="G168" i="16"/>
  <c r="F168" i="16"/>
  <c r="E168" i="16"/>
  <c r="D168" i="16"/>
  <c r="B167" i="16"/>
  <c r="A167" i="16"/>
  <c r="B165" i="16"/>
  <c r="A165" i="16"/>
  <c r="B163" i="16"/>
  <c r="A163" i="16"/>
  <c r="B161" i="16"/>
  <c r="A161" i="16"/>
  <c r="B159" i="16"/>
  <c r="A159" i="16"/>
  <c r="B157" i="16"/>
  <c r="A157" i="16"/>
  <c r="B155" i="16"/>
  <c r="A155" i="16"/>
  <c r="J154" i="16"/>
  <c r="J152" i="16" s="1"/>
  <c r="I154" i="16"/>
  <c r="I152" i="16" s="1"/>
  <c r="H154" i="16"/>
  <c r="H152" i="16" s="1"/>
  <c r="G154" i="16"/>
  <c r="G152" i="16" s="1"/>
  <c r="F154" i="16"/>
  <c r="F152" i="16" s="1"/>
  <c r="E154" i="16"/>
  <c r="E152" i="16" s="1"/>
  <c r="D154" i="16"/>
  <c r="D152" i="16" s="1"/>
  <c r="B153" i="16"/>
  <c r="A153" i="16"/>
  <c r="B151" i="16"/>
  <c r="A151" i="16"/>
  <c r="M142" i="16"/>
  <c r="J142" i="16"/>
  <c r="H142" i="16"/>
  <c r="F142" i="16"/>
  <c r="E142" i="16"/>
  <c r="D142" i="16"/>
  <c r="B141" i="16"/>
  <c r="A141" i="16"/>
  <c r="B139" i="16"/>
  <c r="A139" i="16"/>
  <c r="B137" i="16"/>
  <c r="A137" i="16"/>
  <c r="B135" i="16"/>
  <c r="A135" i="16"/>
  <c r="B133" i="16"/>
  <c r="A133" i="16"/>
  <c r="B131" i="16"/>
  <c r="A131" i="16"/>
  <c r="B129" i="16"/>
  <c r="A129" i="16"/>
  <c r="B127" i="16"/>
  <c r="A127" i="16"/>
  <c r="M126" i="16"/>
  <c r="E126" i="16"/>
  <c r="E124" i="16" s="1"/>
  <c r="B125" i="16"/>
  <c r="A125" i="16"/>
  <c r="B123" i="16"/>
  <c r="A123" i="16"/>
  <c r="M112" i="16"/>
  <c r="E112" i="16"/>
  <c r="D112" i="16"/>
  <c r="B111" i="16"/>
  <c r="A111" i="16"/>
  <c r="B109" i="16"/>
  <c r="A109" i="16"/>
  <c r="B107" i="16"/>
  <c r="A107" i="16"/>
  <c r="B105" i="16"/>
  <c r="A105" i="16"/>
  <c r="B103" i="16"/>
  <c r="A103" i="16"/>
  <c r="M102" i="16"/>
  <c r="H102" i="16"/>
  <c r="G102" i="16"/>
  <c r="E102" i="16"/>
  <c r="D102" i="16"/>
  <c r="D74" i="16" s="1"/>
  <c r="B101" i="16"/>
  <c r="A101" i="16"/>
  <c r="B99" i="16"/>
  <c r="A99" i="16"/>
  <c r="B97" i="16"/>
  <c r="A97" i="16"/>
  <c r="B95" i="16"/>
  <c r="A95" i="16"/>
  <c r="B93" i="16"/>
  <c r="A93" i="16"/>
  <c r="B91" i="16"/>
  <c r="A91" i="16"/>
  <c r="B89" i="16"/>
  <c r="A89" i="16"/>
  <c r="B87" i="16"/>
  <c r="A87" i="16"/>
  <c r="B85" i="16"/>
  <c r="A85" i="16"/>
  <c r="B83" i="16"/>
  <c r="A83" i="16"/>
  <c r="B81" i="16"/>
  <c r="A81" i="16"/>
  <c r="B79" i="16"/>
  <c r="A79" i="16"/>
  <c r="B77" i="16"/>
  <c r="A77" i="16"/>
  <c r="B75" i="16"/>
  <c r="A75" i="16"/>
  <c r="B73" i="16"/>
  <c r="A73" i="16"/>
  <c r="B65" i="16"/>
  <c r="A65" i="16"/>
  <c r="B63" i="16"/>
  <c r="A63" i="16"/>
  <c r="B61" i="16"/>
  <c r="A61" i="16"/>
  <c r="B59" i="16"/>
  <c r="A59" i="16"/>
  <c r="M58" i="16"/>
  <c r="L58" i="16"/>
  <c r="K58" i="16"/>
  <c r="J58" i="16"/>
  <c r="I58" i="16"/>
  <c r="H58" i="16"/>
  <c r="G58" i="16"/>
  <c r="F58" i="16"/>
  <c r="B57" i="16"/>
  <c r="A57" i="16"/>
  <c r="B55" i="16"/>
  <c r="A55" i="16"/>
  <c r="B53" i="16"/>
  <c r="A53" i="16"/>
  <c r="B51" i="16"/>
  <c r="A51" i="16"/>
  <c r="B49" i="16"/>
  <c r="A49" i="16"/>
  <c r="B47" i="16"/>
  <c r="A47" i="16"/>
  <c r="B45" i="16"/>
  <c r="A45" i="16"/>
  <c r="B43" i="16"/>
  <c r="A43" i="16"/>
  <c r="B41" i="16"/>
  <c r="A41" i="16"/>
  <c r="B39" i="16"/>
  <c r="A39" i="16"/>
  <c r="B37" i="16"/>
  <c r="A37" i="16"/>
  <c r="B35" i="16"/>
  <c r="A35" i="16"/>
  <c r="B33" i="16"/>
  <c r="A33" i="16"/>
  <c r="B31" i="16"/>
  <c r="A31" i="16"/>
  <c r="B29" i="16"/>
  <c r="A29" i="16"/>
  <c r="M28" i="16"/>
  <c r="L28" i="16"/>
  <c r="K28" i="16"/>
  <c r="J28" i="16"/>
  <c r="I28" i="16"/>
  <c r="H28" i="16"/>
  <c r="G28" i="16"/>
  <c r="F28" i="16"/>
  <c r="D28" i="16"/>
  <c r="B27" i="16"/>
  <c r="A27" i="16"/>
  <c r="B25" i="16"/>
  <c r="A25" i="16"/>
  <c r="B23" i="16"/>
  <c r="A23" i="16"/>
  <c r="B21" i="16"/>
  <c r="A21" i="16"/>
  <c r="B19" i="16"/>
  <c r="A19" i="16"/>
  <c r="B17" i="16"/>
  <c r="A17" i="16"/>
  <c r="B15" i="16"/>
  <c r="A15" i="16"/>
  <c r="L14" i="16"/>
  <c r="K14" i="16"/>
  <c r="J14" i="16"/>
  <c r="I14" i="16"/>
  <c r="H14" i="16"/>
  <c r="G14" i="16"/>
  <c r="F14" i="16"/>
  <c r="B13" i="16"/>
  <c r="A13" i="16"/>
  <c r="B11" i="16"/>
  <c r="A11" i="16"/>
  <c r="B9" i="16"/>
  <c r="A9" i="16"/>
  <c r="G522" i="21"/>
  <c r="H522" i="21" s="1"/>
  <c r="G297" i="27"/>
  <c r="H97" i="21"/>
  <c r="C96" i="21"/>
  <c r="H1453" i="21"/>
  <c r="G659" i="27"/>
  <c r="C785" i="21"/>
  <c r="B785" i="21"/>
  <c r="A785" i="21"/>
  <c r="C2577" i="21"/>
  <c r="B2577" i="21"/>
  <c r="A2577" i="21"/>
  <c r="C2482" i="21"/>
  <c r="B2482" i="21"/>
  <c r="A2482" i="21"/>
  <c r="C770" i="21"/>
  <c r="B770" i="21"/>
  <c r="A770" i="21"/>
  <c r="C753" i="21"/>
  <c r="B753" i="21"/>
  <c r="A753" i="21"/>
  <c r="H2469" i="21"/>
  <c r="H2466" i="21"/>
  <c r="C2463" i="21"/>
  <c r="B2463" i="21"/>
  <c r="A2463" i="21"/>
  <c r="C2247" i="21"/>
  <c r="B2247" i="21"/>
  <c r="A2247" i="21"/>
  <c r="H2238" i="21"/>
  <c r="C2235" i="21"/>
  <c r="B2235" i="21"/>
  <c r="A2235" i="21"/>
  <c r="C2230" i="21"/>
  <c r="B2230" i="21"/>
  <c r="A2230" i="21"/>
  <c r="C2225" i="21"/>
  <c r="B2225" i="21"/>
  <c r="A2225" i="21"/>
  <c r="C2220" i="21"/>
  <c r="B2220" i="21"/>
  <c r="A2220" i="21"/>
  <c r="H725" i="21"/>
  <c r="C722" i="21"/>
  <c r="B722" i="21"/>
  <c r="A722" i="21"/>
  <c r="H687" i="21"/>
  <c r="C684" i="21"/>
  <c r="B684" i="21"/>
  <c r="A684" i="21"/>
  <c r="H713" i="21"/>
  <c r="C710" i="21"/>
  <c r="B710" i="21"/>
  <c r="A710" i="21"/>
  <c r="H2214" i="21"/>
  <c r="H2215" i="21" s="1"/>
  <c r="H2211" i="21"/>
  <c r="H2212" i="21" s="1"/>
  <c r="C2209" i="21"/>
  <c r="B2209" i="21"/>
  <c r="A2209" i="21"/>
  <c r="C663" i="21"/>
  <c r="B663" i="21"/>
  <c r="A663" i="21"/>
  <c r="H2204" i="21"/>
  <c r="C2197" i="21"/>
  <c r="B2197" i="21"/>
  <c r="A2197" i="21"/>
  <c r="H2192" i="21"/>
  <c r="H2189" i="21"/>
  <c r="C2186" i="21"/>
  <c r="B2186" i="21"/>
  <c r="A2186" i="21"/>
  <c r="H2181" i="21"/>
  <c r="C2170" i="21"/>
  <c r="B2170" i="21"/>
  <c r="A2170" i="21"/>
  <c r="C633" i="21"/>
  <c r="B633" i="21"/>
  <c r="A633" i="21"/>
  <c r="C606" i="21"/>
  <c r="B606" i="21"/>
  <c r="A606" i="21"/>
  <c r="C2157" i="21"/>
  <c r="B2157" i="21"/>
  <c r="A2157" i="21"/>
  <c r="H2152" i="21"/>
  <c r="H2149" i="21"/>
  <c r="C2146" i="21"/>
  <c r="B2146" i="21"/>
  <c r="A2146" i="21"/>
  <c r="C650" i="21"/>
  <c r="B650" i="21"/>
  <c r="A650" i="21"/>
  <c r="C578" i="21"/>
  <c r="B578" i="21"/>
  <c r="A578" i="21"/>
  <c r="H564" i="21"/>
  <c r="C564" i="21"/>
  <c r="B564" i="21"/>
  <c r="A564" i="21"/>
  <c r="C549" i="21"/>
  <c r="B549" i="21"/>
  <c r="A549" i="21"/>
  <c r="C532" i="21"/>
  <c r="B532" i="21"/>
  <c r="A532" i="21"/>
  <c r="C522" i="21"/>
  <c r="B522" i="21"/>
  <c r="C515" i="21"/>
  <c r="B515" i="21"/>
  <c r="A515" i="21"/>
  <c r="C503" i="21"/>
  <c r="B503" i="21"/>
  <c r="A503" i="21"/>
  <c r="C477" i="21"/>
  <c r="B477" i="21"/>
  <c r="A477" i="21"/>
  <c r="C696" i="21"/>
  <c r="B696" i="21"/>
  <c r="A696" i="21"/>
  <c r="C422" i="21"/>
  <c r="B422" i="21"/>
  <c r="A422" i="21"/>
  <c r="C409" i="21"/>
  <c r="B409" i="21"/>
  <c r="A409" i="21"/>
  <c r="C2129" i="21"/>
  <c r="B2129" i="21"/>
  <c r="H2124" i="21"/>
  <c r="H2117" i="21"/>
  <c r="C2114" i="21"/>
  <c r="B2114" i="21"/>
  <c r="A2114" i="21"/>
  <c r="C393" i="21"/>
  <c r="B393" i="21"/>
  <c r="A393" i="21"/>
  <c r="H384" i="21"/>
  <c r="C377" i="21"/>
  <c r="B377" i="21"/>
  <c r="A377" i="21"/>
  <c r="H1863" i="21"/>
  <c r="H1864" i="21" s="1"/>
  <c r="G294" i="27" s="1"/>
  <c r="C1860" i="21"/>
  <c r="B1860" i="21"/>
  <c r="A1860" i="21"/>
  <c r="H1810" i="21"/>
  <c r="C1807" i="21"/>
  <c r="B1807" i="21"/>
  <c r="A1807" i="21"/>
  <c r="C1793" i="21"/>
  <c r="B1793" i="21"/>
  <c r="A1793" i="21"/>
  <c r="H1784" i="21"/>
  <c r="C1781" i="21"/>
  <c r="B1781" i="21"/>
  <c r="A1781" i="21"/>
  <c r="H1776" i="21"/>
  <c r="H1777" i="21" s="1"/>
  <c r="C1773" i="21"/>
  <c r="B1773" i="21"/>
  <c r="A1773" i="21"/>
  <c r="H1764" i="21"/>
  <c r="C1761" i="21"/>
  <c r="B1761" i="21"/>
  <c r="A1761" i="21"/>
  <c r="H1756" i="21"/>
  <c r="H1753" i="21"/>
  <c r="C1750" i="21"/>
  <c r="B1750" i="21"/>
  <c r="A1750" i="21"/>
  <c r="H1741" i="21"/>
  <c r="C1738" i="21"/>
  <c r="B1738" i="21"/>
  <c r="A1738" i="21"/>
  <c r="C361" i="21"/>
  <c r="B361" i="21"/>
  <c r="A361" i="21"/>
  <c r="H1716" i="21"/>
  <c r="C1713" i="21"/>
  <c r="B1713" i="21"/>
  <c r="A1713" i="21"/>
  <c r="C1699" i="21"/>
  <c r="B1699" i="21"/>
  <c r="A1699" i="21"/>
  <c r="C1685" i="21"/>
  <c r="B1685" i="21"/>
  <c r="A1685" i="21"/>
  <c r="H1676" i="21"/>
  <c r="C1673" i="21"/>
  <c r="B1673" i="21"/>
  <c r="A1673" i="21"/>
  <c r="H1664" i="21"/>
  <c r="C1661" i="21"/>
  <c r="B1661" i="21"/>
  <c r="A1661" i="21"/>
  <c r="H1652" i="21"/>
  <c r="C1649" i="21"/>
  <c r="B1649" i="21"/>
  <c r="A1649" i="21"/>
  <c r="H1640" i="21"/>
  <c r="C1637" i="21"/>
  <c r="B1637" i="21"/>
  <c r="A1637" i="21"/>
  <c r="H1628" i="21"/>
  <c r="C1625" i="21"/>
  <c r="B1625" i="21"/>
  <c r="A1625" i="21"/>
  <c r="H1616" i="21"/>
  <c r="C1613" i="21"/>
  <c r="B1613" i="21"/>
  <c r="A1613" i="21"/>
  <c r="H1604" i="21"/>
  <c r="C1601" i="21"/>
  <c r="B1601" i="21"/>
  <c r="A1601" i="21"/>
  <c r="H1592" i="21"/>
  <c r="C1589" i="21"/>
  <c r="B1589" i="21"/>
  <c r="A1589" i="21"/>
  <c r="H1584" i="21"/>
  <c r="H1581" i="21"/>
  <c r="C1578" i="21"/>
  <c r="B1578" i="21"/>
  <c r="A1578" i="21"/>
  <c r="H1569" i="21"/>
  <c r="C1566" i="21"/>
  <c r="B1566" i="21"/>
  <c r="A1566" i="21"/>
  <c r="H1557" i="21"/>
  <c r="H1544" i="21"/>
  <c r="C1541" i="21"/>
  <c r="B1541" i="21"/>
  <c r="A1541" i="21"/>
  <c r="H1531" i="21"/>
  <c r="C1528" i="21"/>
  <c r="B1528" i="21"/>
  <c r="A1528" i="21"/>
  <c r="C346" i="21"/>
  <c r="B346" i="21"/>
  <c r="A346" i="21"/>
  <c r="H801" i="21"/>
  <c r="C798" i="21"/>
  <c r="B798" i="21"/>
  <c r="A798" i="21"/>
  <c r="H1519" i="21"/>
  <c r="C1516" i="21"/>
  <c r="B1516" i="21"/>
  <c r="A1516" i="21"/>
  <c r="C330" i="21"/>
  <c r="B330" i="21"/>
  <c r="A330" i="21"/>
  <c r="H1507" i="21"/>
  <c r="C1504" i="21"/>
  <c r="B1504" i="21"/>
  <c r="A1504" i="21"/>
  <c r="C285" i="21"/>
  <c r="B285" i="21"/>
  <c r="A285" i="21"/>
  <c r="H1499" i="21"/>
  <c r="H1496" i="21"/>
  <c r="C1493" i="21"/>
  <c r="B1493" i="21"/>
  <c r="A1493" i="21"/>
  <c r="H1484" i="21"/>
  <c r="C1481" i="21"/>
  <c r="B1481" i="21"/>
  <c r="A1481" i="21"/>
  <c r="C1464" i="21"/>
  <c r="B1464" i="21"/>
  <c r="A1464" i="21"/>
  <c r="C1450" i="21"/>
  <c r="B1450" i="21"/>
  <c r="A1450" i="21"/>
  <c r="C272" i="21"/>
  <c r="B272" i="21"/>
  <c r="A272" i="21"/>
  <c r="H263" i="21"/>
  <c r="C260" i="21"/>
  <c r="B260" i="21"/>
  <c r="A260" i="21"/>
  <c r="C248" i="21"/>
  <c r="B248" i="21"/>
  <c r="A248" i="21"/>
  <c r="C236" i="21"/>
  <c r="B236" i="21"/>
  <c r="A236" i="21"/>
  <c r="H228" i="21"/>
  <c r="C225" i="21"/>
  <c r="B225" i="21"/>
  <c r="A225" i="21"/>
  <c r="C1436" i="21"/>
  <c r="B1436" i="21"/>
  <c r="A1436" i="21"/>
  <c r="C211" i="21"/>
  <c r="B211" i="21"/>
  <c r="A211" i="21"/>
  <c r="C1422" i="21"/>
  <c r="B1422" i="21"/>
  <c r="A1422" i="21"/>
  <c r="H1417" i="21"/>
  <c r="C1410" i="21"/>
  <c r="B1410" i="21"/>
  <c r="A1410" i="21"/>
  <c r="H1405" i="21"/>
  <c r="H1406" i="21" s="1"/>
  <c r="G180" i="27" s="1"/>
  <c r="C1402" i="21"/>
  <c r="B1402" i="21"/>
  <c r="A1402" i="21"/>
  <c r="H1385" i="21"/>
  <c r="H1386" i="21" s="1"/>
  <c r="G177" i="27" s="1"/>
  <c r="C1382" i="21"/>
  <c r="B1382" i="21"/>
  <c r="A1382" i="21"/>
  <c r="C169" i="21"/>
  <c r="B169" i="21"/>
  <c r="A169" i="21"/>
  <c r="C1371" i="21"/>
  <c r="B1371" i="21"/>
  <c r="A1371" i="21"/>
  <c r="C1330" i="21"/>
  <c r="B1330" i="21"/>
  <c r="A1330" i="21"/>
  <c r="H463" i="21"/>
  <c r="H456" i="21"/>
  <c r="C456" i="21"/>
  <c r="B456" i="21"/>
  <c r="A456" i="21"/>
  <c r="H156" i="21"/>
  <c r="C156" i="21"/>
  <c r="B156" i="21"/>
  <c r="A156" i="21"/>
  <c r="H151" i="21"/>
  <c r="H144" i="21"/>
  <c r="C144" i="21"/>
  <c r="B144" i="21"/>
  <c r="A144" i="21"/>
  <c r="H118" i="21"/>
  <c r="C118" i="21"/>
  <c r="B118" i="21"/>
  <c r="A118" i="21"/>
  <c r="H113" i="21"/>
  <c r="H106" i="21"/>
  <c r="C106" i="21"/>
  <c r="B106" i="21"/>
  <c r="A106" i="21"/>
  <c r="H94" i="21"/>
  <c r="C94" i="21"/>
  <c r="B94" i="21"/>
  <c r="A94" i="21"/>
  <c r="C53" i="21"/>
  <c r="B53" i="21"/>
  <c r="A53" i="21"/>
  <c r="C40" i="21"/>
  <c r="B40" i="21"/>
  <c r="A40" i="21"/>
  <c r="B27" i="21"/>
  <c r="A27" i="21"/>
  <c r="C33" i="2"/>
  <c r="B33" i="2"/>
  <c r="C31" i="2"/>
  <c r="B31" i="2"/>
  <c r="C29" i="2"/>
  <c r="B29" i="2"/>
  <c r="C27" i="2"/>
  <c r="B27" i="2"/>
  <c r="C25" i="2"/>
  <c r="B25" i="2"/>
  <c r="C23" i="2"/>
  <c r="B23" i="2"/>
  <c r="C21" i="2"/>
  <c r="B21" i="2"/>
  <c r="C19" i="2"/>
  <c r="B19" i="2"/>
  <c r="C17" i="2"/>
  <c r="B17" i="2"/>
  <c r="C15" i="2"/>
  <c r="B15" i="2"/>
  <c r="G253" i="37" l="1"/>
  <c r="H253" i="37" s="1"/>
  <c r="H255" i="37" s="1"/>
  <c r="G254" i="37"/>
  <c r="H254" i="37" s="1"/>
  <c r="G83" i="37"/>
  <c r="H83" i="37" s="1"/>
  <c r="H84" i="37" s="1"/>
  <c r="G79" i="37"/>
  <c r="H79" i="37" s="1"/>
  <c r="H80" i="37" s="1"/>
  <c r="G352" i="37"/>
  <c r="H352" i="37" s="1"/>
  <c r="H353" i="37" s="1"/>
  <c r="G391" i="37"/>
  <c r="H391" i="37" s="1"/>
  <c r="H392" i="37" s="1"/>
  <c r="G329" i="37"/>
  <c r="H329" i="37" s="1"/>
  <c r="G304" i="37"/>
  <c r="H304" i="37" s="1"/>
  <c r="G274" i="37"/>
  <c r="H274" i="37" s="1"/>
  <c r="G264" i="37"/>
  <c r="H264" i="37" s="1"/>
  <c r="G335" i="37"/>
  <c r="H335" i="37" s="1"/>
  <c r="G299" i="37"/>
  <c r="H299" i="37" s="1"/>
  <c r="G336" i="37"/>
  <c r="H336" i="37" s="1"/>
  <c r="G328" i="37"/>
  <c r="H328" i="37" s="1"/>
  <c r="G133" i="37"/>
  <c r="H133" i="37" s="1"/>
  <c r="G387" i="37"/>
  <c r="H387" i="37" s="1"/>
  <c r="H388" i="37" s="1"/>
  <c r="G303" i="37"/>
  <c r="H303" i="37" s="1"/>
  <c r="G273" i="37"/>
  <c r="H273" i="37" s="1"/>
  <c r="G268" i="37"/>
  <c r="H268" i="37" s="1"/>
  <c r="G263" i="37"/>
  <c r="H263" i="37" s="1"/>
  <c r="G269" i="37"/>
  <c r="H269" i="37" s="1"/>
  <c r="G196" i="37"/>
  <c r="H196" i="37" s="1"/>
  <c r="G298" i="37"/>
  <c r="H298" i="37" s="1"/>
  <c r="G134" i="37"/>
  <c r="H134" i="37" s="1"/>
  <c r="G195" i="37"/>
  <c r="H195" i="37" s="1"/>
  <c r="G651" i="27"/>
  <c r="G617" i="27"/>
  <c r="G642" i="27"/>
  <c r="H23" i="26"/>
  <c r="H674" i="27" s="1"/>
  <c r="H232" i="21"/>
  <c r="G247" i="27" s="1"/>
  <c r="H13" i="10"/>
  <c r="L9" i="30"/>
  <c r="D9" i="30"/>
  <c r="E9" i="30"/>
  <c r="F9" i="30"/>
  <c r="G9" i="30"/>
  <c r="H9" i="30"/>
  <c r="I9" i="30"/>
  <c r="J9" i="30"/>
  <c r="K9" i="30"/>
  <c r="M9" i="30"/>
  <c r="C120" i="30"/>
  <c r="C253" i="30"/>
  <c r="C70" i="30"/>
  <c r="C226" i="30"/>
  <c r="C202" i="30"/>
  <c r="C110" i="30"/>
  <c r="C94" i="30"/>
  <c r="C166" i="30"/>
  <c r="C144" i="30"/>
  <c r="C60" i="30"/>
  <c r="C38" i="30"/>
  <c r="C53" i="30"/>
  <c r="C126" i="30"/>
  <c r="C160" i="30"/>
  <c r="C10" i="30"/>
  <c r="C132" i="30"/>
  <c r="C239" i="30"/>
  <c r="C187" i="30"/>
  <c r="C103" i="30"/>
  <c r="C248" i="30"/>
  <c r="C179" i="30"/>
  <c r="C85" i="30"/>
  <c r="C220" i="30"/>
  <c r="C77" i="30"/>
  <c r="C153" i="30"/>
  <c r="C210" i="30"/>
  <c r="C19" i="30"/>
  <c r="H1488" i="21"/>
  <c r="H1489" i="21" s="1"/>
  <c r="G301" i="27" s="1"/>
  <c r="H2109" i="21"/>
  <c r="H2110" i="21" s="1"/>
  <c r="G625" i="27" s="1"/>
  <c r="H23" i="10"/>
  <c r="H1889" i="21"/>
  <c r="H1883" i="21"/>
  <c r="H2091" i="21"/>
  <c r="H2050" i="21"/>
  <c r="H2051" i="21" s="1"/>
  <c r="G477" i="27" s="1"/>
  <c r="H2086" i="21"/>
  <c r="H2059" i="21"/>
  <c r="H2063" i="21"/>
  <c r="H748" i="21"/>
  <c r="H744" i="21"/>
  <c r="H2297" i="21"/>
  <c r="H2298" i="21" s="1"/>
  <c r="G643" i="27" s="1"/>
  <c r="H1729" i="21"/>
  <c r="H1733" i="21"/>
  <c r="H1397" i="21"/>
  <c r="H1398" i="21" s="1"/>
  <c r="G386" i="27" s="1"/>
  <c r="H447" i="21"/>
  <c r="H451" i="21"/>
  <c r="H1596" i="21"/>
  <c r="H1597" i="21" s="1"/>
  <c r="G558" i="27" s="1"/>
  <c r="H1476" i="21"/>
  <c r="H1561" i="21"/>
  <c r="H1562" i="21" s="1"/>
  <c r="G590" i="27" s="1"/>
  <c r="H2178" i="21"/>
  <c r="H544" i="21"/>
  <c r="H658" i="21"/>
  <c r="H717" i="21"/>
  <c r="H718" i="21" s="1"/>
  <c r="G542" i="27" s="1"/>
  <c r="H2121" i="21"/>
  <c r="H2125" i="21" s="1"/>
  <c r="G34" i="27" s="1"/>
  <c r="H1708" i="21"/>
  <c r="H472" i="21"/>
  <c r="H1632" i="21"/>
  <c r="H1633" i="21" s="1"/>
  <c r="G591" i="27" s="1"/>
  <c r="H404" i="21"/>
  <c r="H405" i="21" s="1"/>
  <c r="G574" i="27" s="1"/>
  <c r="H2174" i="21"/>
  <c r="H1573" i="21"/>
  <c r="H1574" i="21" s="1"/>
  <c r="G555" i="27" s="1"/>
  <c r="H1798" i="21"/>
  <c r="H2205" i="21"/>
  <c r="G303" i="27" s="1"/>
  <c r="H559" i="21"/>
  <c r="H654" i="21"/>
  <c r="H468" i="21"/>
  <c r="H297" i="21"/>
  <c r="H1511" i="21"/>
  <c r="H1512" i="21" s="1"/>
  <c r="G523" i="27" s="1"/>
  <c r="H805" i="21"/>
  <c r="H1704" i="21"/>
  <c r="H487" i="21"/>
  <c r="G238" i="27" s="1"/>
  <c r="H388" i="21"/>
  <c r="H510" i="21"/>
  <c r="H511" i="21" s="1"/>
  <c r="G245" i="27" s="1"/>
  <c r="H573" i="21"/>
  <c r="H148" i="21"/>
  <c r="H152" i="21" s="1"/>
  <c r="G61" i="27" s="1"/>
  <c r="H293" i="21"/>
  <c r="H268" i="21"/>
  <c r="G279" i="27" s="1"/>
  <c r="H1690" i="21"/>
  <c r="H1745" i="21"/>
  <c r="H1746" i="21" s="1"/>
  <c r="G635" i="27" s="1"/>
  <c r="H1814" i="21"/>
  <c r="H1815" i="21" s="1"/>
  <c r="G686" i="27" s="1"/>
  <c r="H765" i="21"/>
  <c r="H766" i="21" s="1"/>
  <c r="G199" i="27" s="1"/>
  <c r="H2141" i="21"/>
  <c r="H582" i="21"/>
  <c r="H1694" i="21"/>
  <c r="H2242" i="21"/>
  <c r="H2243" i="21" s="1"/>
  <c r="G683" i="27" s="1"/>
  <c r="H381" i="21"/>
  <c r="H586" i="21"/>
  <c r="H2551" i="21"/>
  <c r="H280" i="21"/>
  <c r="H1608" i="21"/>
  <c r="H1609" i="21" s="1"/>
  <c r="G572" i="27" s="1"/>
  <c r="H2165" i="21"/>
  <c r="H645" i="21"/>
  <c r="H691" i="21"/>
  <c r="H692" i="21" s="1"/>
  <c r="G575" i="27" s="1"/>
  <c r="H2193" i="21"/>
  <c r="G300" i="27" s="1"/>
  <c r="H1472" i="21"/>
  <c r="H1656" i="21"/>
  <c r="H1657" i="21" s="1"/>
  <c r="G596" i="27" s="1"/>
  <c r="H1680" i="21"/>
  <c r="H1681" i="21" s="1"/>
  <c r="G598" i="27" s="1"/>
  <c r="H527" i="21"/>
  <c r="H730" i="21"/>
  <c r="G614" i="27" s="1"/>
  <c r="H2538" i="21"/>
  <c r="H1441" i="21"/>
  <c r="H137" i="21"/>
  <c r="H138" i="21" s="1"/>
  <c r="G106" i="27"/>
  <c r="H1414" i="21"/>
  <c r="H1418" i="21" s="1"/>
  <c r="G185" i="27" s="1"/>
  <c r="H1549" i="21"/>
  <c r="H1550" i="21" s="1"/>
  <c r="G535" i="27" s="1"/>
  <c r="H1802" i="21"/>
  <c r="H101" i="21"/>
  <c r="H102" i="21" s="1"/>
  <c r="H460" i="21"/>
  <c r="H1445" i="21"/>
  <c r="H1757" i="21"/>
  <c r="G639" i="27" s="1"/>
  <c r="H2153" i="21"/>
  <c r="G280" i="27" s="1"/>
  <c r="H555" i="21"/>
  <c r="H276" i="21"/>
  <c r="H1620" i="21"/>
  <c r="H1621" i="21" s="1"/>
  <c r="G589" i="27" s="1"/>
  <c r="H1644" i="21"/>
  <c r="H1645" i="21" s="1"/>
  <c r="G592" i="27" s="1"/>
  <c r="H1668" i="21"/>
  <c r="H1669" i="21" s="1"/>
  <c r="G597" i="27" s="1"/>
  <c r="H1720" i="21"/>
  <c r="H1721" i="21" s="1"/>
  <c r="G603" i="27" s="1"/>
  <c r="H2135" i="21"/>
  <c r="H569" i="21"/>
  <c r="H614" i="21"/>
  <c r="H615" i="21" s="1"/>
  <c r="G288" i="27" s="1"/>
  <c r="H641" i="21"/>
  <c r="H794" i="21"/>
  <c r="G693" i="27" s="1"/>
  <c r="H220" i="21"/>
  <c r="H1500" i="21"/>
  <c r="G302" i="27" s="1"/>
  <c r="H2470" i="21"/>
  <c r="G169" i="27" s="1"/>
  <c r="H110" i="21"/>
  <c r="H114" i="21" s="1"/>
  <c r="G107" i="27" s="1"/>
  <c r="H1536" i="21"/>
  <c r="H1537" i="21" s="1"/>
  <c r="G534" i="27" s="1"/>
  <c r="H1788" i="21"/>
  <c r="H1789" i="21" s="1"/>
  <c r="G618" i="27" s="1"/>
  <c r="H1523" i="21"/>
  <c r="H1524" i="21" s="1"/>
  <c r="G525" i="27" s="1"/>
  <c r="H1768" i="21"/>
  <c r="H1769" i="21" s="1"/>
  <c r="H540" i="21"/>
  <c r="H2161" i="21"/>
  <c r="H2216" i="21"/>
  <c r="G331" i="27" s="1"/>
  <c r="H2572" i="21"/>
  <c r="H523" i="21"/>
  <c r="H1585" i="21"/>
  <c r="G556" i="27" s="1"/>
  <c r="H1460" i="21"/>
  <c r="G284" i="27" s="1"/>
  <c r="E74" i="16"/>
  <c r="H190" i="27" l="1"/>
  <c r="I190" i="27" s="1"/>
  <c r="H322" i="27"/>
  <c r="I322" i="27" s="1"/>
  <c r="H327" i="27"/>
  <c r="I327" i="27" s="1"/>
  <c r="H312" i="27"/>
  <c r="I312" i="27" s="1"/>
  <c r="H328" i="27"/>
  <c r="I328" i="27" s="1"/>
  <c r="H325" i="27"/>
  <c r="I325" i="27" s="1"/>
  <c r="H323" i="27"/>
  <c r="I323" i="27" s="1"/>
  <c r="H326" i="27"/>
  <c r="I326" i="27" s="1"/>
  <c r="H324" i="27"/>
  <c r="I324" i="27" s="1"/>
  <c r="J190" i="27"/>
  <c r="F370" i="32"/>
  <c r="G370" i="32" s="1"/>
  <c r="H339" i="27"/>
  <c r="I339" i="27" s="1"/>
  <c r="H337" i="27"/>
  <c r="I337" i="27" s="1"/>
  <c r="H714" i="27"/>
  <c r="I714" i="27" s="1"/>
  <c r="H266" i="27"/>
  <c r="I266" i="27" s="1"/>
  <c r="H262" i="27"/>
  <c r="I262" i="27" s="1"/>
  <c r="H715" i="27"/>
  <c r="I715" i="27" s="1"/>
  <c r="H717" i="27"/>
  <c r="I717" i="27" s="1"/>
  <c r="H713" i="27"/>
  <c r="I713" i="27" s="1"/>
  <c r="H265" i="27"/>
  <c r="I265" i="27" s="1"/>
  <c r="H711" i="27"/>
  <c r="I711" i="27" s="1"/>
  <c r="H263" i="27"/>
  <c r="I263" i="27" s="1"/>
  <c r="H716" i="27"/>
  <c r="I716" i="27" s="1"/>
  <c r="H712" i="27"/>
  <c r="I712" i="27" s="1"/>
  <c r="H264" i="27"/>
  <c r="I264" i="27" s="1"/>
  <c r="H257" i="27"/>
  <c r="I257" i="27" s="1"/>
  <c r="H256" i="27"/>
  <c r="I256" i="27" s="1"/>
  <c r="H345" i="27"/>
  <c r="I345" i="27" s="1"/>
  <c r="F319" i="32" s="1"/>
  <c r="G319" i="32" s="1"/>
  <c r="H239" i="27"/>
  <c r="I239" i="27" s="1"/>
  <c r="F348" i="32" s="1"/>
  <c r="G348" i="32" s="1"/>
  <c r="H300" i="37"/>
  <c r="H305" i="37"/>
  <c r="H275" i="37"/>
  <c r="H339" i="37"/>
  <c r="H332" i="37"/>
  <c r="H135" i="37"/>
  <c r="H270" i="37"/>
  <c r="H197" i="37"/>
  <c r="H265" i="37"/>
  <c r="H271" i="27"/>
  <c r="I271" i="27" s="1"/>
  <c r="H232" i="27"/>
  <c r="I232" i="27" s="1"/>
  <c r="F146" i="32" s="1"/>
  <c r="G146" i="32" s="1"/>
  <c r="H171" i="27"/>
  <c r="I171" i="27" s="1"/>
  <c r="F480" i="32" s="1"/>
  <c r="G480" i="32" s="1"/>
  <c r="H402" i="27"/>
  <c r="I402" i="27" s="1"/>
  <c r="H144" i="27"/>
  <c r="I144" i="27" s="1"/>
  <c r="F10" i="32" s="1"/>
  <c r="G10" i="32" s="1"/>
  <c r="H428" i="27"/>
  <c r="I428" i="27" s="1"/>
  <c r="H371" i="27"/>
  <c r="I371" i="27" s="1"/>
  <c r="J371" i="27" s="1"/>
  <c r="H372" i="27"/>
  <c r="I372" i="27" s="1"/>
  <c r="H197" i="27"/>
  <c r="I197" i="27" s="1"/>
  <c r="F65" i="32" s="1"/>
  <c r="G65" i="32" s="1"/>
  <c r="H196" i="27"/>
  <c r="I196" i="27" s="1"/>
  <c r="F57" i="32" s="1"/>
  <c r="G57" i="32" s="1"/>
  <c r="H580" i="27"/>
  <c r="I580" i="27" s="1"/>
  <c r="H306" i="27"/>
  <c r="I306" i="27" s="1"/>
  <c r="F380" i="32" s="1"/>
  <c r="G380" i="32" s="1"/>
  <c r="H379" i="27"/>
  <c r="I379" i="27" s="1"/>
  <c r="F328" i="32" s="1"/>
  <c r="G328" i="32" s="1"/>
  <c r="F43" i="37"/>
  <c r="G43" i="37" s="1"/>
  <c r="F19" i="37"/>
  <c r="G19" i="37" s="1"/>
  <c r="F45" i="37"/>
  <c r="G45" i="37" s="1"/>
  <c r="F54" i="37"/>
  <c r="G54" i="37" s="1"/>
  <c r="F57" i="37"/>
  <c r="G57" i="37" s="1"/>
  <c r="F39" i="37"/>
  <c r="G39" i="37" s="1"/>
  <c r="F11" i="37"/>
  <c r="G11" i="37" s="1"/>
  <c r="F49" i="37"/>
  <c r="G49" i="37" s="1"/>
  <c r="F15" i="37"/>
  <c r="G15" i="37" s="1"/>
  <c r="F28" i="37"/>
  <c r="G28" i="37" s="1"/>
  <c r="F17" i="37"/>
  <c r="G17" i="37" s="1"/>
  <c r="F9" i="37"/>
  <c r="G9" i="37" s="1"/>
  <c r="H98" i="27"/>
  <c r="I98" i="27" s="1"/>
  <c r="F11" i="32" s="1"/>
  <c r="G11" i="32" s="1"/>
  <c r="H158" i="27"/>
  <c r="I158" i="27" s="1"/>
  <c r="H156" i="27"/>
  <c r="I156" i="27" s="1"/>
  <c r="J156" i="27" s="1"/>
  <c r="J155" i="27" s="1"/>
  <c r="H159" i="27"/>
  <c r="I159" i="27" s="1"/>
  <c r="J159" i="27" s="1"/>
  <c r="H635" i="27"/>
  <c r="I635" i="27" s="1"/>
  <c r="H636" i="27"/>
  <c r="I636" i="27" s="1"/>
  <c r="J636" i="27" s="1"/>
  <c r="H549" i="27"/>
  <c r="I549" i="27" s="1"/>
  <c r="H555" i="27"/>
  <c r="I555" i="27" s="1"/>
  <c r="F121" i="32" s="1"/>
  <c r="G121" i="32" s="1"/>
  <c r="H558" i="27"/>
  <c r="I558" i="27" s="1"/>
  <c r="H200" i="27"/>
  <c r="I200" i="27" s="1"/>
  <c r="F316" i="32" s="1"/>
  <c r="G316" i="32" s="1"/>
  <c r="H436" i="27"/>
  <c r="I436" i="27" s="1"/>
  <c r="F445" i="32" s="1"/>
  <c r="G445" i="32" s="1"/>
  <c r="H410" i="27"/>
  <c r="I410" i="27" s="1"/>
  <c r="F482" i="32" s="1"/>
  <c r="G482" i="32" s="1"/>
  <c r="H552" i="27"/>
  <c r="I552" i="27" s="1"/>
  <c r="H556" i="27"/>
  <c r="I556" i="27" s="1"/>
  <c r="F169" i="32" s="1"/>
  <c r="G169" i="32" s="1"/>
  <c r="H559" i="27"/>
  <c r="I559" i="27" s="1"/>
  <c r="H481" i="27"/>
  <c r="I481" i="27" s="1"/>
  <c r="F54" i="32" s="1"/>
  <c r="G54" i="32" s="1"/>
  <c r="H407" i="27"/>
  <c r="I407" i="27" s="1"/>
  <c r="F518" i="32" s="1"/>
  <c r="G518" i="32" s="1"/>
  <c r="H411" i="27"/>
  <c r="I411" i="27" s="1"/>
  <c r="F511" i="32" s="1"/>
  <c r="G511" i="32" s="1"/>
  <c r="H548" i="27"/>
  <c r="I548" i="27" s="1"/>
  <c r="H550" i="27"/>
  <c r="I550" i="27" s="1"/>
  <c r="H553" i="27"/>
  <c r="I553" i="27" s="1"/>
  <c r="H557" i="27"/>
  <c r="I557" i="27" s="1"/>
  <c r="H560" i="27"/>
  <c r="I560" i="27" s="1"/>
  <c r="H482" i="27"/>
  <c r="I482" i="27" s="1"/>
  <c r="F167" i="32" s="1"/>
  <c r="G167" i="32" s="1"/>
  <c r="H442" i="27"/>
  <c r="I442" i="27" s="1"/>
  <c r="F494" i="32" s="1"/>
  <c r="G494" i="32" s="1"/>
  <c r="H408" i="27"/>
  <c r="I408" i="27" s="1"/>
  <c r="F428" i="32" s="1"/>
  <c r="G428" i="32" s="1"/>
  <c r="H381" i="27"/>
  <c r="I381" i="27" s="1"/>
  <c r="J381" i="27" s="1"/>
  <c r="H551" i="27"/>
  <c r="I551" i="27" s="1"/>
  <c r="H554" i="27"/>
  <c r="I554" i="27" s="1"/>
  <c r="J554" i="27" s="1"/>
  <c r="H561" i="27"/>
  <c r="I561" i="27" s="1"/>
  <c r="H188" i="27"/>
  <c r="I188" i="27" s="1"/>
  <c r="F157" i="32" s="1"/>
  <c r="G157" i="32" s="1"/>
  <c r="H483" i="27"/>
  <c r="I483" i="27" s="1"/>
  <c r="F451" i="32" s="1"/>
  <c r="G451" i="32" s="1"/>
  <c r="H409" i="27"/>
  <c r="I409" i="27" s="1"/>
  <c r="F427" i="32" s="1"/>
  <c r="G427" i="32" s="1"/>
  <c r="H382" i="27"/>
  <c r="I382" i="27" s="1"/>
  <c r="J382" i="27" s="1"/>
  <c r="H460" i="27"/>
  <c r="I460" i="27" s="1"/>
  <c r="F342" i="32" s="1"/>
  <c r="G342" i="32" s="1"/>
  <c r="H330" i="27"/>
  <c r="I330" i="27" s="1"/>
  <c r="F106" i="32" s="1"/>
  <c r="G106" i="32" s="1"/>
  <c r="G641" i="27"/>
  <c r="G616" i="27"/>
  <c r="G640" i="27"/>
  <c r="G650" i="27"/>
  <c r="G615" i="27"/>
  <c r="H642" i="27"/>
  <c r="I642" i="27" s="1"/>
  <c r="J642" i="27" s="1"/>
  <c r="H630" i="27"/>
  <c r="I630" i="27" s="1"/>
  <c r="J630" i="27" s="1"/>
  <c r="H626" i="27"/>
  <c r="I626" i="27" s="1"/>
  <c r="J626" i="27" s="1"/>
  <c r="H651" i="27"/>
  <c r="I651" i="27" s="1"/>
  <c r="J651" i="27" s="1"/>
  <c r="H648" i="27"/>
  <c r="I648" i="27" s="1"/>
  <c r="J648" i="27" s="1"/>
  <c r="J647" i="27" s="1"/>
  <c r="H641" i="27"/>
  <c r="H629" i="27"/>
  <c r="I629" i="27" s="1"/>
  <c r="J629" i="27" s="1"/>
  <c r="H624" i="27"/>
  <c r="I624" i="27" s="1"/>
  <c r="F296" i="32" s="1"/>
  <c r="G296" i="32" s="1"/>
  <c r="H640" i="27"/>
  <c r="H628" i="27"/>
  <c r="I628" i="27" s="1"/>
  <c r="F377" i="32" s="1"/>
  <c r="G377" i="32" s="1"/>
  <c r="H623" i="27"/>
  <c r="I623" i="27" s="1"/>
  <c r="F483" i="32" s="1"/>
  <c r="G483" i="32" s="1"/>
  <c r="H650" i="27"/>
  <c r="H631" i="27"/>
  <c r="I631" i="27" s="1"/>
  <c r="J631" i="27" s="1"/>
  <c r="H627" i="27"/>
  <c r="I627" i="27" s="1"/>
  <c r="F493" i="32" s="1"/>
  <c r="G493" i="32" s="1"/>
  <c r="H420" i="27"/>
  <c r="I420" i="27" s="1"/>
  <c r="F422" i="32" s="1"/>
  <c r="G422" i="32" s="1"/>
  <c r="H421" i="27"/>
  <c r="I421" i="27" s="1"/>
  <c r="F281" i="32" s="1"/>
  <c r="G281" i="32" s="1"/>
  <c r="H418" i="27"/>
  <c r="I418" i="27" s="1"/>
  <c r="F251" i="32" s="1"/>
  <c r="G251" i="32" s="1"/>
  <c r="H419" i="27"/>
  <c r="I419" i="27" s="1"/>
  <c r="F233" i="32" s="1"/>
  <c r="G233" i="32" s="1"/>
  <c r="H514" i="27"/>
  <c r="I514" i="27" s="1"/>
  <c r="J514" i="27" s="1"/>
  <c r="H508" i="27"/>
  <c r="I508" i="27" s="1"/>
  <c r="H502" i="27"/>
  <c r="I502" i="27" s="1"/>
  <c r="J502" i="27" s="1"/>
  <c r="H499" i="27"/>
  <c r="I499" i="27" s="1"/>
  <c r="F432" i="32" s="1"/>
  <c r="G432" i="32" s="1"/>
  <c r="H494" i="27"/>
  <c r="I494" i="27" s="1"/>
  <c r="F490" i="32" s="1"/>
  <c r="G490" i="32" s="1"/>
  <c r="H490" i="27"/>
  <c r="I490" i="27" s="1"/>
  <c r="J490" i="27" s="1"/>
  <c r="H479" i="27"/>
  <c r="I479" i="27" s="1"/>
  <c r="F52" i="32" s="1"/>
  <c r="G52" i="32" s="1"/>
  <c r="H477" i="27"/>
  <c r="I477" i="27" s="1"/>
  <c r="F452" i="32" s="1"/>
  <c r="G452" i="32" s="1"/>
  <c r="H473" i="27"/>
  <c r="I473" i="27" s="1"/>
  <c r="F145" i="32" s="1"/>
  <c r="G145" i="32" s="1"/>
  <c r="H470" i="27"/>
  <c r="I470" i="27" s="1"/>
  <c r="F392" i="32" s="1"/>
  <c r="G392" i="32" s="1"/>
  <c r="H467" i="27"/>
  <c r="I467" i="27" s="1"/>
  <c r="F155" i="32" s="1"/>
  <c r="G155" i="32" s="1"/>
  <c r="H464" i="27"/>
  <c r="I464" i="27" s="1"/>
  <c r="F224" i="32" s="1"/>
  <c r="G224" i="32" s="1"/>
  <c r="H459" i="27"/>
  <c r="I459" i="27" s="1"/>
  <c r="F467" i="32" s="1"/>
  <c r="G467" i="32" s="1"/>
  <c r="H455" i="27"/>
  <c r="I455" i="27" s="1"/>
  <c r="F303" i="32" s="1"/>
  <c r="G303" i="32" s="1"/>
  <c r="H452" i="27"/>
  <c r="I452" i="27" s="1"/>
  <c r="F459" i="32" s="1"/>
  <c r="G459" i="32" s="1"/>
  <c r="H439" i="27"/>
  <c r="I439" i="27" s="1"/>
  <c r="J439" i="27" s="1"/>
  <c r="H432" i="27"/>
  <c r="I432" i="27" s="1"/>
  <c r="F504" i="32" s="1"/>
  <c r="G504" i="32" s="1"/>
  <c r="H513" i="27"/>
  <c r="I513" i="27" s="1"/>
  <c r="J513" i="27" s="1"/>
  <c r="H510" i="27"/>
  <c r="I510" i="27" s="1"/>
  <c r="H506" i="27"/>
  <c r="H501" i="27"/>
  <c r="I501" i="27" s="1"/>
  <c r="J501" i="27" s="1"/>
  <c r="H497" i="27"/>
  <c r="I497" i="27" s="1"/>
  <c r="F499" i="32" s="1"/>
  <c r="G499" i="32" s="1"/>
  <c r="H493" i="27"/>
  <c r="I493" i="27" s="1"/>
  <c r="J493" i="27" s="1"/>
  <c r="H487" i="27"/>
  <c r="I487" i="27" s="1"/>
  <c r="J487" i="27" s="1"/>
  <c r="H476" i="27"/>
  <c r="H472" i="27"/>
  <c r="I472" i="27" s="1"/>
  <c r="F86" i="32" s="1"/>
  <c r="G86" i="32" s="1"/>
  <c r="H469" i="27"/>
  <c r="I469" i="27" s="1"/>
  <c r="F192" i="32" s="1"/>
  <c r="G192" i="32" s="1"/>
  <c r="H466" i="27"/>
  <c r="I466" i="27" s="1"/>
  <c r="F161" i="32" s="1"/>
  <c r="G161" i="32" s="1"/>
  <c r="H463" i="27"/>
  <c r="I463" i="27" s="1"/>
  <c r="J463" i="27" s="1"/>
  <c r="H458" i="27"/>
  <c r="I458" i="27" s="1"/>
  <c r="F386" i="32" s="1"/>
  <c r="G386" i="32" s="1"/>
  <c r="H451" i="27"/>
  <c r="I451" i="27" s="1"/>
  <c r="F406" i="32" s="1"/>
  <c r="G406" i="32" s="1"/>
  <c r="H449" i="27"/>
  <c r="I449" i="27" s="1"/>
  <c r="F388" i="32" s="1"/>
  <c r="G388" i="32" s="1"/>
  <c r="H446" i="27"/>
  <c r="I446" i="27" s="1"/>
  <c r="F322" i="32" s="1"/>
  <c r="G322" i="32" s="1"/>
  <c r="H445" i="27"/>
  <c r="I445" i="27" s="1"/>
  <c r="H441" i="27"/>
  <c r="I441" i="27" s="1"/>
  <c r="F479" i="32" s="1"/>
  <c r="G479" i="32" s="1"/>
  <c r="H435" i="27"/>
  <c r="I435" i="27" s="1"/>
  <c r="F475" i="32" s="1"/>
  <c r="G475" i="32" s="1"/>
  <c r="H512" i="27"/>
  <c r="I512" i="27" s="1"/>
  <c r="H509" i="27"/>
  <c r="I509" i="27" s="1"/>
  <c r="F221" i="32" s="1"/>
  <c r="G221" i="32" s="1"/>
  <c r="H505" i="27"/>
  <c r="I505" i="27" s="1"/>
  <c r="F114" i="32" s="1"/>
  <c r="G114" i="32" s="1"/>
  <c r="H496" i="27"/>
  <c r="I496" i="27" s="1"/>
  <c r="F363" i="32" s="1"/>
  <c r="G363" i="32" s="1"/>
  <c r="H492" i="27"/>
  <c r="I492" i="27" s="1"/>
  <c r="J492" i="27" s="1"/>
  <c r="H489" i="27"/>
  <c r="I489" i="27" s="1"/>
  <c r="J489" i="27" s="1"/>
  <c r="H486" i="27"/>
  <c r="I486" i="27" s="1"/>
  <c r="F419" i="32" s="1"/>
  <c r="G419" i="32" s="1"/>
  <c r="H478" i="27"/>
  <c r="I478" i="27" s="1"/>
  <c r="F83" i="32" s="1"/>
  <c r="G83" i="32" s="1"/>
  <c r="H471" i="27"/>
  <c r="I471" i="27" s="1"/>
  <c r="F230" i="32" s="1"/>
  <c r="G230" i="32" s="1"/>
  <c r="H465" i="27"/>
  <c r="I465" i="27" s="1"/>
  <c r="F387" i="32" s="1"/>
  <c r="G387" i="32" s="1"/>
  <c r="H457" i="27"/>
  <c r="I457" i="27" s="1"/>
  <c r="F414" i="32" s="1"/>
  <c r="G414" i="32" s="1"/>
  <c r="H454" i="27"/>
  <c r="I454" i="27" s="1"/>
  <c r="F376" i="32" s="1"/>
  <c r="G376" i="32" s="1"/>
  <c r="H450" i="27"/>
  <c r="I450" i="27" s="1"/>
  <c r="F501" i="32" s="1"/>
  <c r="G501" i="32" s="1"/>
  <c r="H448" i="27"/>
  <c r="I448" i="27" s="1"/>
  <c r="F450" i="32" s="1"/>
  <c r="G450" i="32" s="1"/>
  <c r="H444" i="27"/>
  <c r="I444" i="27" s="1"/>
  <c r="J444" i="27" s="1"/>
  <c r="H440" i="27"/>
  <c r="I440" i="27" s="1"/>
  <c r="J440" i="27" s="1"/>
  <c r="H511" i="27"/>
  <c r="I511" i="27" s="1"/>
  <c r="F162" i="32" s="1"/>
  <c r="G162" i="32" s="1"/>
  <c r="H504" i="27"/>
  <c r="I504" i="27" s="1"/>
  <c r="F318" i="32" s="1"/>
  <c r="G318" i="32" s="1"/>
  <c r="H500" i="27"/>
  <c r="I500" i="27" s="1"/>
  <c r="J500" i="27" s="1"/>
  <c r="H495" i="27"/>
  <c r="I495" i="27" s="1"/>
  <c r="F487" i="32" s="1"/>
  <c r="G487" i="32" s="1"/>
  <c r="H491" i="27"/>
  <c r="I491" i="27" s="1"/>
  <c r="F453" i="32" s="1"/>
  <c r="G453" i="32" s="1"/>
  <c r="H488" i="27"/>
  <c r="I488" i="27" s="1"/>
  <c r="J488" i="27" s="1"/>
  <c r="H480" i="27"/>
  <c r="I480" i="27" s="1"/>
  <c r="F104" i="32" s="1"/>
  <c r="G104" i="32" s="1"/>
  <c r="H474" i="27"/>
  <c r="I474" i="27" s="1"/>
  <c r="F264" i="32" s="1"/>
  <c r="G264" i="32" s="1"/>
  <c r="H468" i="27"/>
  <c r="I468" i="27" s="1"/>
  <c r="F234" i="32" s="1"/>
  <c r="G234" i="32" s="1"/>
  <c r="H462" i="27"/>
  <c r="I462" i="27" s="1"/>
  <c r="J462" i="27" s="1"/>
  <c r="H456" i="27"/>
  <c r="I456" i="27" s="1"/>
  <c r="F271" i="32" s="1"/>
  <c r="G271" i="32" s="1"/>
  <c r="H453" i="27"/>
  <c r="I453" i="27" s="1"/>
  <c r="F488" i="32" s="1"/>
  <c r="G488" i="32" s="1"/>
  <c r="H447" i="27"/>
  <c r="I447" i="27" s="1"/>
  <c r="F333" i="32" s="1"/>
  <c r="G333" i="32" s="1"/>
  <c r="H443" i="27"/>
  <c r="I443" i="27" s="1"/>
  <c r="J443" i="27" s="1"/>
  <c r="H433" i="27"/>
  <c r="I433" i="27" s="1"/>
  <c r="F491" i="32" s="1"/>
  <c r="G491" i="32" s="1"/>
  <c r="H360" i="27"/>
  <c r="I360" i="27" s="1"/>
  <c r="F120" i="32" s="1"/>
  <c r="G120" i="32" s="1"/>
  <c r="H429" i="27"/>
  <c r="I429" i="27" s="1"/>
  <c r="F362" i="32" s="1"/>
  <c r="G362" i="32" s="1"/>
  <c r="H405" i="27"/>
  <c r="I405" i="27" s="1"/>
  <c r="F471" i="32" s="1"/>
  <c r="G471" i="32" s="1"/>
  <c r="H406" i="27"/>
  <c r="I406" i="27" s="1"/>
  <c r="F503" i="32" s="1"/>
  <c r="G503" i="32" s="1"/>
  <c r="H404" i="27"/>
  <c r="I404" i="27" s="1"/>
  <c r="F355" i="32" s="1"/>
  <c r="G355" i="32" s="1"/>
  <c r="H403" i="27"/>
  <c r="I403" i="27" s="1"/>
  <c r="F402" i="32" s="1"/>
  <c r="G402" i="32" s="1"/>
  <c r="H618" i="27"/>
  <c r="I618" i="27" s="1"/>
  <c r="F109" i="32" s="1"/>
  <c r="G109" i="32" s="1"/>
  <c r="H657" i="27"/>
  <c r="I657" i="27" s="1"/>
  <c r="F317" i="32" s="1"/>
  <c r="G317" i="32" s="1"/>
  <c r="H652" i="27"/>
  <c r="I652" i="27" s="1"/>
  <c r="F465" i="32" s="1"/>
  <c r="G465" i="32" s="1"/>
  <c r="H668" i="27"/>
  <c r="I668" i="27" s="1"/>
  <c r="F265" i="32" s="1"/>
  <c r="G265" i="32" s="1"/>
  <c r="H575" i="27"/>
  <c r="I575" i="27" s="1"/>
  <c r="F105" i="32" s="1"/>
  <c r="G105" i="32" s="1"/>
  <c r="H579" i="27"/>
  <c r="I579" i="27" s="1"/>
  <c r="F135" i="32" s="1"/>
  <c r="G135" i="32" s="1"/>
  <c r="H574" i="27"/>
  <c r="H653" i="27"/>
  <c r="I653" i="27" s="1"/>
  <c r="F268" i="32" s="1"/>
  <c r="G268" i="32" s="1"/>
  <c r="H576" i="27"/>
  <c r="I576" i="27" s="1"/>
  <c r="F373" i="32" s="1"/>
  <c r="G373" i="32" s="1"/>
  <c r="H577" i="27"/>
  <c r="I577" i="27" s="1"/>
  <c r="F209" i="32" s="1"/>
  <c r="G209" i="32" s="1"/>
  <c r="H654" i="27"/>
  <c r="I654" i="27" s="1"/>
  <c r="F219" i="32" s="1"/>
  <c r="G219" i="32" s="1"/>
  <c r="H578" i="27"/>
  <c r="I578" i="27" s="1"/>
  <c r="F299" i="32" s="1"/>
  <c r="G299" i="32" s="1"/>
  <c r="H55" i="27"/>
  <c r="I55" i="27" s="1"/>
  <c r="F9" i="32" s="1"/>
  <c r="G9" i="32" s="1"/>
  <c r="H220" i="27"/>
  <c r="I220" i="27" s="1"/>
  <c r="F505" i="32" s="1"/>
  <c r="G505" i="32" s="1"/>
  <c r="H56" i="27"/>
  <c r="I56" i="27" s="1"/>
  <c r="F59" i="32" s="1"/>
  <c r="G59" i="32" s="1"/>
  <c r="H368" i="27"/>
  <c r="I368" i="27" s="1"/>
  <c r="F253" i="32" s="1"/>
  <c r="G253" i="32" s="1"/>
  <c r="H361" i="27"/>
  <c r="I361" i="27" s="1"/>
  <c r="F33" i="32" s="1"/>
  <c r="G33" i="32" s="1"/>
  <c r="H354" i="27"/>
  <c r="I354" i="27" s="1"/>
  <c r="F12" i="32" s="1"/>
  <c r="G12" i="32" s="1"/>
  <c r="H151" i="27"/>
  <c r="I151" i="27" s="1"/>
  <c r="F250" i="32" s="1"/>
  <c r="G250" i="32" s="1"/>
  <c r="H359" i="27"/>
  <c r="I359" i="27" s="1"/>
  <c r="J359" i="27" s="1"/>
  <c r="H150" i="27"/>
  <c r="I150" i="27" s="1"/>
  <c r="H358" i="27"/>
  <c r="I358" i="27" s="1"/>
  <c r="J358" i="27" s="1"/>
  <c r="H355" i="27"/>
  <c r="I355" i="27" s="1"/>
  <c r="F31" i="32" s="1"/>
  <c r="G31" i="32" s="1"/>
  <c r="H380" i="27"/>
  <c r="I380" i="27" s="1"/>
  <c r="F263" i="32" s="1"/>
  <c r="G263" i="32" s="1"/>
  <c r="H370" i="27"/>
  <c r="I370" i="27" s="1"/>
  <c r="F291" i="32" s="1"/>
  <c r="G291" i="32" s="1"/>
  <c r="H187" i="27"/>
  <c r="I187" i="27" s="1"/>
  <c r="F123" i="32" s="1"/>
  <c r="G123" i="32" s="1"/>
  <c r="H721" i="27"/>
  <c r="I721" i="27" s="1"/>
  <c r="F287" i="32" s="1"/>
  <c r="G287" i="32" s="1"/>
  <c r="H707" i="27"/>
  <c r="I707" i="27" s="1"/>
  <c r="F500" i="32" s="1"/>
  <c r="G500" i="32" s="1"/>
  <c r="H703" i="27"/>
  <c r="I703" i="27" s="1"/>
  <c r="F327" i="32" s="1"/>
  <c r="G327" i="32" s="1"/>
  <c r="H699" i="27"/>
  <c r="I699" i="27" s="1"/>
  <c r="F374" i="32" s="1"/>
  <c r="G374" i="32" s="1"/>
  <c r="H687" i="27"/>
  <c r="I687" i="27" s="1"/>
  <c r="F154" i="32" s="1"/>
  <c r="G154" i="32" s="1"/>
  <c r="H682" i="27"/>
  <c r="I682" i="27" s="1"/>
  <c r="F131" i="32" s="1"/>
  <c r="G131" i="32" s="1"/>
  <c r="H620" i="27"/>
  <c r="I620" i="27" s="1"/>
  <c r="F74" i="32" s="1"/>
  <c r="G74" i="32" s="1"/>
  <c r="H616" i="27"/>
  <c r="H638" i="27"/>
  <c r="H665" i="27"/>
  <c r="I665" i="27" s="1"/>
  <c r="J665" i="27" s="1"/>
  <c r="H661" i="27"/>
  <c r="I661" i="27" s="1"/>
  <c r="J661" i="27" s="1"/>
  <c r="H632" i="27"/>
  <c r="H601" i="27"/>
  <c r="H597" i="27"/>
  <c r="H591" i="27"/>
  <c r="I591" i="27" s="1"/>
  <c r="F481" i="32" s="1"/>
  <c r="G481" i="32" s="1"/>
  <c r="H588" i="27"/>
  <c r="I588" i="27" s="1"/>
  <c r="F55" i="32" s="1"/>
  <c r="G55" i="32" s="1"/>
  <c r="H584" i="27"/>
  <c r="I584" i="27" s="1"/>
  <c r="F310" i="32" s="1"/>
  <c r="G310" i="32" s="1"/>
  <c r="H573" i="27"/>
  <c r="H569" i="27"/>
  <c r="I569" i="27" s="1"/>
  <c r="F470" i="32" s="1"/>
  <c r="G470" i="32" s="1"/>
  <c r="H565" i="27"/>
  <c r="I565" i="27" s="1"/>
  <c r="F286" i="32" s="1"/>
  <c r="G286" i="32" s="1"/>
  <c r="H547" i="27"/>
  <c r="I547" i="27" s="1"/>
  <c r="F516" i="32" s="1"/>
  <c r="G516" i="32" s="1"/>
  <c r="H543" i="27"/>
  <c r="I543" i="27" s="1"/>
  <c r="F492" i="32" s="1"/>
  <c r="G492" i="32" s="1"/>
  <c r="H538" i="27"/>
  <c r="I538" i="27" s="1"/>
  <c r="H534" i="27"/>
  <c r="I534" i="27" s="1"/>
  <c r="F272" i="32" s="1"/>
  <c r="G272" i="32" s="1"/>
  <c r="H531" i="27"/>
  <c r="I531" i="27" s="1"/>
  <c r="F506" i="32" s="1"/>
  <c r="G506" i="32" s="1"/>
  <c r="H525" i="27"/>
  <c r="I525" i="27" s="1"/>
  <c r="F125" i="32" s="1"/>
  <c r="G125" i="32" s="1"/>
  <c r="H521" i="27"/>
  <c r="I521" i="27" s="1"/>
  <c r="H518" i="27"/>
  <c r="I518" i="27" s="1"/>
  <c r="F226" i="32" s="1"/>
  <c r="G226" i="32" s="1"/>
  <c r="H425" i="27"/>
  <c r="I425" i="27" s="1"/>
  <c r="F435" i="32" s="1"/>
  <c r="G435" i="32" s="1"/>
  <c r="H417" i="27"/>
  <c r="I417" i="27" s="1"/>
  <c r="F457" i="32" s="1"/>
  <c r="G457" i="32" s="1"/>
  <c r="H399" i="27"/>
  <c r="I399" i="27" s="1"/>
  <c r="F330" i="32" s="1"/>
  <c r="G330" i="32" s="1"/>
  <c r="H396" i="27"/>
  <c r="I396" i="27" s="1"/>
  <c r="F418" i="32" s="1"/>
  <c r="G418" i="32" s="1"/>
  <c r="H388" i="27"/>
  <c r="H384" i="27"/>
  <c r="H375" i="27"/>
  <c r="I375" i="27" s="1"/>
  <c r="J375" i="27" s="1"/>
  <c r="H366" i="27"/>
  <c r="I366" i="27" s="1"/>
  <c r="F359" i="32" s="1"/>
  <c r="G359" i="32" s="1"/>
  <c r="H351" i="27"/>
  <c r="I351" i="27" s="1"/>
  <c r="F20" i="32" s="1"/>
  <c r="G20" i="32" s="1"/>
  <c r="H344" i="27"/>
  <c r="I344" i="27" s="1"/>
  <c r="F372" i="32" s="1"/>
  <c r="G372" i="32" s="1"/>
  <c r="H340" i="27"/>
  <c r="I340" i="27" s="1"/>
  <c r="J340" i="27" s="1"/>
  <c r="H335" i="27"/>
  <c r="I335" i="27" s="1"/>
  <c r="J335" i="27" s="1"/>
  <c r="H331" i="27"/>
  <c r="I331" i="27" s="1"/>
  <c r="F273" i="32" s="1"/>
  <c r="G273" i="32" s="1"/>
  <c r="H320" i="27"/>
  <c r="I320" i="27" s="1"/>
  <c r="F218" i="32" s="1"/>
  <c r="G218" i="32" s="1"/>
  <c r="H316" i="27"/>
  <c r="I316" i="27" s="1"/>
  <c r="F222" i="32" s="1"/>
  <c r="G222" i="32" s="1"/>
  <c r="H311" i="27"/>
  <c r="I311" i="27" s="1"/>
  <c r="H305" i="27"/>
  <c r="I305" i="27" s="1"/>
  <c r="F304" i="32" s="1"/>
  <c r="G304" i="32" s="1"/>
  <c r="H301" i="27"/>
  <c r="I301" i="27" s="1"/>
  <c r="F485" i="32" s="1"/>
  <c r="G485" i="32" s="1"/>
  <c r="H296" i="27"/>
  <c r="H290" i="27"/>
  <c r="I290" i="27" s="1"/>
  <c r="F478" i="32" s="1"/>
  <c r="G478" i="32" s="1"/>
  <c r="H285" i="27"/>
  <c r="I285" i="27" s="1"/>
  <c r="F184" i="32" s="1"/>
  <c r="G184" i="32" s="1"/>
  <c r="H281" i="27"/>
  <c r="H277" i="27"/>
  <c r="I277" i="27" s="1"/>
  <c r="F335" i="32" s="1"/>
  <c r="G335" i="32" s="1"/>
  <c r="H273" i="27"/>
  <c r="I273" i="27" s="1"/>
  <c r="F266" i="32" s="1"/>
  <c r="G266" i="32" s="1"/>
  <c r="H720" i="27"/>
  <c r="I720" i="27" s="1"/>
  <c r="F278" i="32" s="1"/>
  <c r="G278" i="32" s="1"/>
  <c r="H706" i="27"/>
  <c r="I706" i="27" s="1"/>
  <c r="F443" i="32" s="1"/>
  <c r="G443" i="32" s="1"/>
  <c r="H702" i="27"/>
  <c r="I702" i="27" s="1"/>
  <c r="F519" i="32" s="1"/>
  <c r="G519" i="32" s="1"/>
  <c r="H698" i="27"/>
  <c r="I698" i="27" s="1"/>
  <c r="F502" i="32" s="1"/>
  <c r="G502" i="32" s="1"/>
  <c r="H686" i="27"/>
  <c r="I686" i="27" s="1"/>
  <c r="F346" i="32" s="1"/>
  <c r="G346" i="32" s="1"/>
  <c r="H681" i="27"/>
  <c r="I681" i="27" s="1"/>
  <c r="F118" i="32" s="1"/>
  <c r="G118" i="32" s="1"/>
  <c r="H656" i="27"/>
  <c r="I656" i="27" s="1"/>
  <c r="F391" i="32" s="1"/>
  <c r="G391" i="32" s="1"/>
  <c r="H615" i="27"/>
  <c r="H613" i="27"/>
  <c r="I613" i="27" s="1"/>
  <c r="J613" i="27" s="1"/>
  <c r="H664" i="27"/>
  <c r="I664" i="27" s="1"/>
  <c r="F93" i="32" s="1"/>
  <c r="G93" i="32" s="1"/>
  <c r="H611" i="27"/>
  <c r="I611" i="27" s="1"/>
  <c r="J611" i="27" s="1"/>
  <c r="H604" i="27"/>
  <c r="I604" i="27" s="1"/>
  <c r="F353" i="32" s="1"/>
  <c r="G353" i="32" s="1"/>
  <c r="H600" i="27"/>
  <c r="I600" i="27" s="1"/>
  <c r="F302" i="32" s="1"/>
  <c r="G302" i="32" s="1"/>
  <c r="H596" i="27"/>
  <c r="H590" i="27"/>
  <c r="I590" i="27" s="1"/>
  <c r="F448" i="32" s="1"/>
  <c r="G448" i="32" s="1"/>
  <c r="H587" i="27"/>
  <c r="I587" i="27" s="1"/>
  <c r="F61" i="32" s="1"/>
  <c r="G61" i="32" s="1"/>
  <c r="H583" i="27"/>
  <c r="I583" i="27" s="1"/>
  <c r="F90" i="32" s="1"/>
  <c r="G90" i="32" s="1"/>
  <c r="H572" i="27"/>
  <c r="I572" i="27" s="1"/>
  <c r="F300" i="32" s="1"/>
  <c r="G300" i="32" s="1"/>
  <c r="H568" i="27"/>
  <c r="I568" i="27" s="1"/>
  <c r="F458" i="32" s="1"/>
  <c r="G458" i="32" s="1"/>
  <c r="H564" i="27"/>
  <c r="I564" i="27" s="1"/>
  <c r="F147" i="32" s="1"/>
  <c r="G147" i="32" s="1"/>
  <c r="H546" i="27"/>
  <c r="I546" i="27" s="1"/>
  <c r="F468" i="32" s="1"/>
  <c r="G468" i="32" s="1"/>
  <c r="H542" i="27"/>
  <c r="I542" i="27" s="1"/>
  <c r="F252" i="32" s="1"/>
  <c r="G252" i="32" s="1"/>
  <c r="H537" i="27"/>
  <c r="I537" i="27" s="1"/>
  <c r="F384" i="32" s="1"/>
  <c r="G384" i="32" s="1"/>
  <c r="H533" i="27"/>
  <c r="I533" i="27" s="1"/>
  <c r="F257" i="32" s="1"/>
  <c r="G257" i="32" s="1"/>
  <c r="H530" i="27"/>
  <c r="I530" i="27" s="1"/>
  <c r="F404" i="32" s="1"/>
  <c r="G404" i="32" s="1"/>
  <c r="H524" i="27"/>
  <c r="I524" i="27" s="1"/>
  <c r="F95" i="32" s="1"/>
  <c r="G95" i="32" s="1"/>
  <c r="H520" i="27"/>
  <c r="I520" i="27" s="1"/>
  <c r="F354" i="32" s="1"/>
  <c r="G354" i="32" s="1"/>
  <c r="H427" i="27"/>
  <c r="I427" i="27" s="1"/>
  <c r="F477" i="32" s="1"/>
  <c r="G477" i="32" s="1"/>
  <c r="H424" i="27"/>
  <c r="I424" i="27" s="1"/>
  <c r="F469" i="32" s="1"/>
  <c r="G469" i="32" s="1"/>
  <c r="H391" i="27"/>
  <c r="I391" i="27" s="1"/>
  <c r="F30" i="32" s="1"/>
  <c r="G30" i="32" s="1"/>
  <c r="H364" i="27"/>
  <c r="I364" i="27" s="1"/>
  <c r="F371" i="32" s="1"/>
  <c r="G371" i="32" s="1"/>
  <c r="H101" i="27"/>
  <c r="I101" i="27" s="1"/>
  <c r="F289" i="32" s="1"/>
  <c r="G289" i="32" s="1"/>
  <c r="H108" i="27"/>
  <c r="I108" i="27" s="1"/>
  <c r="J108" i="27" s="1"/>
  <c r="H710" i="27"/>
  <c r="I710" i="27" s="1"/>
  <c r="F204" i="32" s="1"/>
  <c r="G204" i="32" s="1"/>
  <c r="H705" i="27"/>
  <c r="I705" i="27" s="1"/>
  <c r="F421" i="32" s="1"/>
  <c r="G421" i="32" s="1"/>
  <c r="H701" i="27"/>
  <c r="I701" i="27" s="1"/>
  <c r="F512" i="32" s="1"/>
  <c r="G512" i="32" s="1"/>
  <c r="H695" i="27"/>
  <c r="I695" i="27" s="1"/>
  <c r="F449" i="32" s="1"/>
  <c r="G449" i="32" s="1"/>
  <c r="H691" i="27"/>
  <c r="I691" i="27" s="1"/>
  <c r="F463" i="32" s="1"/>
  <c r="G463" i="32" s="1"/>
  <c r="H685" i="27"/>
  <c r="H680" i="27"/>
  <c r="I680" i="27" s="1"/>
  <c r="F170" i="32" s="1"/>
  <c r="G170" i="32" s="1"/>
  <c r="H645" i="27"/>
  <c r="I645" i="27" s="1"/>
  <c r="F43" i="32" s="1"/>
  <c r="G43" i="32" s="1"/>
  <c r="H643" i="27"/>
  <c r="I643" i="27" s="1"/>
  <c r="F229" i="32" s="1"/>
  <c r="G229" i="32" s="1"/>
  <c r="H639" i="27"/>
  <c r="I639" i="27" s="1"/>
  <c r="F99" i="32" s="1"/>
  <c r="G99" i="32" s="1"/>
  <c r="H667" i="27"/>
  <c r="I667" i="27" s="1"/>
  <c r="J667" i="27" s="1"/>
  <c r="H663" i="27"/>
  <c r="I663" i="27" s="1"/>
  <c r="J663" i="27" s="1"/>
  <c r="H634" i="27"/>
  <c r="I634" i="27" s="1"/>
  <c r="F159" i="32" s="1"/>
  <c r="G159" i="32" s="1"/>
  <c r="H610" i="27"/>
  <c r="I610" i="27" s="1"/>
  <c r="J610" i="27" s="1"/>
  <c r="H608" i="27"/>
  <c r="I608" i="27" s="1"/>
  <c r="H605" i="27"/>
  <c r="I605" i="27" s="1"/>
  <c r="F407" i="32" s="1"/>
  <c r="G407" i="32" s="1"/>
  <c r="H603" i="27"/>
  <c r="H599" i="27"/>
  <c r="I599" i="27" s="1"/>
  <c r="F75" i="32" s="1"/>
  <c r="G75" i="32" s="1"/>
  <c r="H594" i="27"/>
  <c r="H589" i="27"/>
  <c r="I589" i="27" s="1"/>
  <c r="F426" i="32" s="1"/>
  <c r="G426" i="32" s="1"/>
  <c r="H586" i="27"/>
  <c r="I586" i="27" s="1"/>
  <c r="F48" i="32" s="1"/>
  <c r="G48" i="32" s="1"/>
  <c r="H582" i="27"/>
  <c r="I582" i="27" s="1"/>
  <c r="F32" i="32" s="1"/>
  <c r="G32" i="32" s="1"/>
  <c r="H571" i="27"/>
  <c r="I571" i="27" s="1"/>
  <c r="F484" i="32" s="1"/>
  <c r="G484" i="32" s="1"/>
  <c r="H567" i="27"/>
  <c r="I567" i="27" s="1"/>
  <c r="F381" i="32" s="1"/>
  <c r="G381" i="32" s="1"/>
  <c r="H563" i="27"/>
  <c r="I563" i="27" s="1"/>
  <c r="F433" i="32" s="1"/>
  <c r="G433" i="32" s="1"/>
  <c r="H545" i="27"/>
  <c r="I545" i="27" s="1"/>
  <c r="F437" i="32" s="1"/>
  <c r="G437" i="32" s="1"/>
  <c r="H540" i="27"/>
  <c r="H536" i="27"/>
  <c r="I536" i="27" s="1"/>
  <c r="F269" i="32" s="1"/>
  <c r="G269" i="32" s="1"/>
  <c r="H532" i="27"/>
  <c r="I532" i="27" s="1"/>
  <c r="F189" i="32" s="1"/>
  <c r="G189" i="32" s="1"/>
  <c r="H529" i="27"/>
  <c r="I529" i="27" s="1"/>
  <c r="H527" i="27"/>
  <c r="H523" i="27"/>
  <c r="I523" i="27" s="1"/>
  <c r="F201" i="32" s="1"/>
  <c r="G201" i="32" s="1"/>
  <c r="H519" i="27"/>
  <c r="I519" i="27" s="1"/>
  <c r="F172" i="32" s="1"/>
  <c r="G172" i="32" s="1"/>
  <c r="H426" i="27"/>
  <c r="I426" i="27" s="1"/>
  <c r="F408" i="32" s="1"/>
  <c r="G408" i="32" s="1"/>
  <c r="H423" i="27"/>
  <c r="I423" i="27" s="1"/>
  <c r="F196" i="32" s="1"/>
  <c r="G196" i="32" s="1"/>
  <c r="H414" i="27"/>
  <c r="I414" i="27" s="1"/>
  <c r="F175" i="32" s="1"/>
  <c r="G175" i="32" s="1"/>
  <c r="H401" i="27"/>
  <c r="I401" i="27" s="1"/>
  <c r="F496" i="32" s="1"/>
  <c r="G496" i="32" s="1"/>
  <c r="H390" i="27"/>
  <c r="I390" i="27" s="1"/>
  <c r="J390" i="27" s="1"/>
  <c r="H386" i="27"/>
  <c r="I386" i="27" s="1"/>
  <c r="F215" i="32" s="1"/>
  <c r="G215" i="32" s="1"/>
  <c r="H377" i="27"/>
  <c r="I377" i="27" s="1"/>
  <c r="F88" i="32" s="1"/>
  <c r="G88" i="32" s="1"/>
  <c r="H369" i="27"/>
  <c r="I369" i="27" s="1"/>
  <c r="F66" i="32" s="1"/>
  <c r="G66" i="32" s="1"/>
  <c r="H363" i="27"/>
  <c r="I363" i="27" s="1"/>
  <c r="F276" i="32" s="1"/>
  <c r="G276" i="32" s="1"/>
  <c r="H353" i="27"/>
  <c r="I353" i="27" s="1"/>
  <c r="J353" i="27" s="1"/>
  <c r="H350" i="27"/>
  <c r="I350" i="27" s="1"/>
  <c r="J350" i="27" s="1"/>
  <c r="H342" i="27"/>
  <c r="H333" i="27"/>
  <c r="I333" i="27" s="1"/>
  <c r="J333" i="27" s="1"/>
  <c r="H329" i="27"/>
  <c r="I329" i="27" s="1"/>
  <c r="F389" i="32" s="1"/>
  <c r="G389" i="32" s="1"/>
  <c r="H318" i="27"/>
  <c r="I318" i="27" s="1"/>
  <c r="F417" i="32" s="1"/>
  <c r="G417" i="32" s="1"/>
  <c r="H314" i="27"/>
  <c r="H309" i="27"/>
  <c r="I309" i="27" s="1"/>
  <c r="H303" i="27"/>
  <c r="I303" i="27" s="1"/>
  <c r="F420" i="32" s="1"/>
  <c r="G420" i="32" s="1"/>
  <c r="H299" i="27"/>
  <c r="H292" i="27"/>
  <c r="I292" i="27" s="1"/>
  <c r="F517" i="32" s="1"/>
  <c r="G517" i="32" s="1"/>
  <c r="H288" i="27"/>
  <c r="I288" i="27" s="1"/>
  <c r="F403" i="32" s="1"/>
  <c r="G403" i="32" s="1"/>
  <c r="H283" i="27"/>
  <c r="I283" i="27" s="1"/>
  <c r="F179" i="32" s="1"/>
  <c r="G179" i="32" s="1"/>
  <c r="H279" i="27"/>
  <c r="I279" i="27" s="1"/>
  <c r="F341" i="32" s="1"/>
  <c r="G341" i="32" s="1"/>
  <c r="H275" i="27"/>
  <c r="I275" i="27" s="1"/>
  <c r="H102" i="27"/>
  <c r="I102" i="27" s="1"/>
  <c r="F337" i="32" s="1"/>
  <c r="G337" i="32" s="1"/>
  <c r="H95" i="27"/>
  <c r="I95" i="27" s="1"/>
  <c r="F284" i="32" s="1"/>
  <c r="G284" i="32" s="1"/>
  <c r="H708" i="27"/>
  <c r="I708" i="27" s="1"/>
  <c r="F198" i="32" s="1"/>
  <c r="G198" i="32" s="1"/>
  <c r="H690" i="27"/>
  <c r="I690" i="27" s="1"/>
  <c r="F415" i="32" s="1"/>
  <c r="G415" i="32" s="1"/>
  <c r="H617" i="27"/>
  <c r="I617" i="27" s="1"/>
  <c r="F358" i="32" s="1"/>
  <c r="G358" i="32" s="1"/>
  <c r="H633" i="27"/>
  <c r="I633" i="27" s="1"/>
  <c r="F260" i="32" s="1"/>
  <c r="G260" i="32" s="1"/>
  <c r="H602" i="27"/>
  <c r="H585" i="27"/>
  <c r="I585" i="27" s="1"/>
  <c r="F101" i="32" s="1"/>
  <c r="G101" i="32" s="1"/>
  <c r="H566" i="27"/>
  <c r="I566" i="27" s="1"/>
  <c r="F382" i="32" s="1"/>
  <c r="G382" i="32" s="1"/>
  <c r="H535" i="27"/>
  <c r="I535" i="27" s="1"/>
  <c r="F297" i="32" s="1"/>
  <c r="G297" i="32" s="1"/>
  <c r="H526" i="27"/>
  <c r="H397" i="27"/>
  <c r="I397" i="27" s="1"/>
  <c r="F368" i="32" s="1"/>
  <c r="G368" i="32" s="1"/>
  <c r="H385" i="27"/>
  <c r="H367" i="27"/>
  <c r="I367" i="27" s="1"/>
  <c r="F67" i="32" s="1"/>
  <c r="G67" i="32" s="1"/>
  <c r="H341" i="27"/>
  <c r="I341" i="27" s="1"/>
  <c r="J341" i="27" s="1"/>
  <c r="H332" i="27"/>
  <c r="I332" i="27" s="1"/>
  <c r="J332" i="27" s="1"/>
  <c r="H317" i="27"/>
  <c r="I317" i="27" s="1"/>
  <c r="H308" i="27"/>
  <c r="I308" i="27" s="1"/>
  <c r="F183" i="32" s="1"/>
  <c r="G183" i="32" s="1"/>
  <c r="H297" i="27"/>
  <c r="I297" i="27" s="1"/>
  <c r="F77" i="32" s="1"/>
  <c r="G77" i="32" s="1"/>
  <c r="H286" i="27"/>
  <c r="I286" i="27" s="1"/>
  <c r="F180" i="32" s="1"/>
  <c r="G180" i="32" s="1"/>
  <c r="H278" i="27"/>
  <c r="I278" i="27" s="1"/>
  <c r="F351" i="32" s="1"/>
  <c r="G351" i="32" s="1"/>
  <c r="H270" i="27"/>
  <c r="I270" i="27" s="1"/>
  <c r="F309" i="32" s="1"/>
  <c r="G309" i="32" s="1"/>
  <c r="H261" i="27"/>
  <c r="I261" i="27" s="1"/>
  <c r="F213" i="32" s="1"/>
  <c r="G213" i="32" s="1"/>
  <c r="H255" i="27"/>
  <c r="H249" i="27"/>
  <c r="I249" i="27" s="1"/>
  <c r="J249" i="27" s="1"/>
  <c r="H244" i="27"/>
  <c r="I244" i="27" s="1"/>
  <c r="H238" i="27"/>
  <c r="H234" i="27"/>
  <c r="I234" i="27" s="1"/>
  <c r="J234" i="27" s="1"/>
  <c r="H229" i="27"/>
  <c r="I229" i="27" s="1"/>
  <c r="H226" i="27"/>
  <c r="I226" i="27" s="1"/>
  <c r="J226" i="27" s="1"/>
  <c r="H218" i="27"/>
  <c r="I218" i="27" s="1"/>
  <c r="J218" i="27" s="1"/>
  <c r="H214" i="27"/>
  <c r="H210" i="27"/>
  <c r="I210" i="27" s="1"/>
  <c r="H203" i="27"/>
  <c r="H189" i="27"/>
  <c r="I189" i="27" s="1"/>
  <c r="F290" i="32" s="1"/>
  <c r="G290" i="32" s="1"/>
  <c r="H185" i="27"/>
  <c r="I185" i="27" s="1"/>
  <c r="F339" i="32" s="1"/>
  <c r="G339" i="32" s="1"/>
  <c r="H179" i="27"/>
  <c r="I179" i="27" s="1"/>
  <c r="F72" i="32" s="1"/>
  <c r="G72" i="32" s="1"/>
  <c r="H175" i="27"/>
  <c r="H168" i="27"/>
  <c r="I168" i="27" s="1"/>
  <c r="F205" i="32" s="1"/>
  <c r="G205" i="32" s="1"/>
  <c r="H164" i="27"/>
  <c r="I164" i="27" s="1"/>
  <c r="H147" i="27"/>
  <c r="I147" i="27" s="1"/>
  <c r="F149" i="32" s="1"/>
  <c r="G149" i="32" s="1"/>
  <c r="H142" i="27"/>
  <c r="I142" i="27" s="1"/>
  <c r="H137" i="27"/>
  <c r="I137" i="27" s="1"/>
  <c r="F220" i="32" s="1"/>
  <c r="G220" i="32" s="1"/>
  <c r="H130" i="27"/>
  <c r="I130" i="27" s="1"/>
  <c r="J130" i="27" s="1"/>
  <c r="H126" i="27"/>
  <c r="I126" i="27" s="1"/>
  <c r="J126" i="27" s="1"/>
  <c r="H122" i="27"/>
  <c r="I122" i="27" s="1"/>
  <c r="J122" i="27" s="1"/>
  <c r="H117" i="27"/>
  <c r="I117" i="27" s="1"/>
  <c r="J117" i="27" s="1"/>
  <c r="H114" i="27"/>
  <c r="I114" i="27" s="1"/>
  <c r="J114" i="27" s="1"/>
  <c r="H107" i="27"/>
  <c r="I107" i="27" s="1"/>
  <c r="F97" i="32" s="1"/>
  <c r="G97" i="32" s="1"/>
  <c r="H97" i="27"/>
  <c r="I97" i="27" s="1"/>
  <c r="F24" i="32" s="1"/>
  <c r="G24" i="32" s="1"/>
  <c r="H91" i="27"/>
  <c r="I91" i="27" s="1"/>
  <c r="F143" i="32" s="1"/>
  <c r="G143" i="32" s="1"/>
  <c r="H86" i="27"/>
  <c r="I86" i="27" s="1"/>
  <c r="H82" i="27"/>
  <c r="I82" i="27" s="1"/>
  <c r="H78" i="27"/>
  <c r="I78" i="27" s="1"/>
  <c r="H73" i="27"/>
  <c r="I73" i="27" s="1"/>
  <c r="F185" i="32" s="1"/>
  <c r="G185" i="32" s="1"/>
  <c r="H70" i="27"/>
  <c r="I70" i="27" s="1"/>
  <c r="F133" i="32" s="1"/>
  <c r="G133" i="32" s="1"/>
  <c r="H65" i="27"/>
  <c r="I65" i="27" s="1"/>
  <c r="F63" i="32" s="1"/>
  <c r="G63" i="32" s="1"/>
  <c r="H61" i="27"/>
  <c r="I61" i="27" s="1"/>
  <c r="F308" i="32" s="1"/>
  <c r="G308" i="32" s="1"/>
  <c r="H52" i="27"/>
  <c r="I52" i="27" s="1"/>
  <c r="F62" i="32" s="1"/>
  <c r="G62" i="32" s="1"/>
  <c r="H46" i="27"/>
  <c r="H38" i="27"/>
  <c r="I38" i="27" s="1"/>
  <c r="F412" i="32" s="1"/>
  <c r="G412" i="32" s="1"/>
  <c r="H32" i="27"/>
  <c r="I32" i="27" s="1"/>
  <c r="F25" i="32" s="1"/>
  <c r="G25" i="32" s="1"/>
  <c r="H27" i="27"/>
  <c r="I27" i="27" s="1"/>
  <c r="F258" i="32" s="1"/>
  <c r="G258" i="32" s="1"/>
  <c r="H22" i="27"/>
  <c r="I22" i="27" s="1"/>
  <c r="F70" i="32" s="1"/>
  <c r="G70" i="32" s="1"/>
  <c r="H153" i="27"/>
  <c r="I153" i="27" s="1"/>
  <c r="F51" i="32" s="1"/>
  <c r="G51" i="32" s="1"/>
  <c r="H129" i="27"/>
  <c r="I129" i="27" s="1"/>
  <c r="J129" i="27" s="1"/>
  <c r="H121" i="27"/>
  <c r="I121" i="27" s="1"/>
  <c r="J121" i="27" s="1"/>
  <c r="H113" i="27"/>
  <c r="I113" i="27" s="1"/>
  <c r="J113" i="27" s="1"/>
  <c r="H94" i="27"/>
  <c r="I94" i="27" s="1"/>
  <c r="F166" i="32" s="1"/>
  <c r="G166" i="32" s="1"/>
  <c r="H85" i="27"/>
  <c r="I85" i="27" s="1"/>
  <c r="H77" i="27"/>
  <c r="I77" i="27" s="1"/>
  <c r="J77" i="27" s="1"/>
  <c r="H69" i="27"/>
  <c r="I69" i="27" s="1"/>
  <c r="F241" i="32" s="1"/>
  <c r="G241" i="32" s="1"/>
  <c r="H704" i="27"/>
  <c r="I704" i="27" s="1"/>
  <c r="F497" i="32" s="1"/>
  <c r="G497" i="32" s="1"/>
  <c r="H683" i="27"/>
  <c r="I683" i="27" s="1"/>
  <c r="F152" i="32" s="1"/>
  <c r="G152" i="32" s="1"/>
  <c r="H614" i="27"/>
  <c r="I614" i="27" s="1"/>
  <c r="F128" i="32" s="1"/>
  <c r="G128" i="32" s="1"/>
  <c r="H609" i="27"/>
  <c r="I609" i="27" s="1"/>
  <c r="J609" i="27" s="1"/>
  <c r="H598" i="27"/>
  <c r="H522" i="27"/>
  <c r="I522" i="27" s="1"/>
  <c r="F177" i="32" s="1"/>
  <c r="G177" i="32" s="1"/>
  <c r="H395" i="27"/>
  <c r="I395" i="27" s="1"/>
  <c r="F430" i="32" s="1"/>
  <c r="G430" i="32" s="1"/>
  <c r="H378" i="27"/>
  <c r="H365" i="27"/>
  <c r="I365" i="27" s="1"/>
  <c r="F334" i="32" s="1"/>
  <c r="G334" i="32" s="1"/>
  <c r="H338" i="27"/>
  <c r="I338" i="27" s="1"/>
  <c r="H315" i="27"/>
  <c r="I315" i="27" s="1"/>
  <c r="F174" i="32" s="1"/>
  <c r="G174" i="32" s="1"/>
  <c r="H304" i="27"/>
  <c r="I304" i="27" s="1"/>
  <c r="F153" i="32" s="1"/>
  <c r="G153" i="32" s="1"/>
  <c r="H294" i="27"/>
  <c r="I294" i="27" s="1"/>
  <c r="F87" i="32" s="1"/>
  <c r="G87" i="32" s="1"/>
  <c r="H284" i="27"/>
  <c r="I284" i="27" s="1"/>
  <c r="F178" i="32" s="1"/>
  <c r="G178" i="32" s="1"/>
  <c r="H276" i="27"/>
  <c r="I276" i="27" s="1"/>
  <c r="H269" i="27"/>
  <c r="H260" i="27"/>
  <c r="H254" i="27"/>
  <c r="H248" i="27"/>
  <c r="I248" i="27" s="1"/>
  <c r="H243" i="27"/>
  <c r="I243" i="27" s="1"/>
  <c r="H237" i="27"/>
  <c r="I237" i="27" s="1"/>
  <c r="F394" i="32" s="1"/>
  <c r="G394" i="32" s="1"/>
  <c r="H233" i="27"/>
  <c r="I233" i="27" s="1"/>
  <c r="J233" i="27" s="1"/>
  <c r="H228" i="27"/>
  <c r="I228" i="27" s="1"/>
  <c r="F132" i="32" s="1"/>
  <c r="G132" i="32" s="1"/>
  <c r="H223" i="27"/>
  <c r="I223" i="27" s="1"/>
  <c r="F239" i="32" s="1"/>
  <c r="G239" i="32" s="1"/>
  <c r="H217" i="27"/>
  <c r="H212" i="27"/>
  <c r="I212" i="27" s="1"/>
  <c r="F134" i="32" s="1"/>
  <c r="G134" i="32" s="1"/>
  <c r="H209" i="27"/>
  <c r="I209" i="27" s="1"/>
  <c r="F44" i="32" s="1"/>
  <c r="G44" i="32" s="1"/>
  <c r="H202" i="27"/>
  <c r="I202" i="27" s="1"/>
  <c r="F111" i="32" s="1"/>
  <c r="G111" i="32" s="1"/>
  <c r="H195" i="27"/>
  <c r="I195" i="27" s="1"/>
  <c r="F13" i="32" s="1"/>
  <c r="G13" i="32" s="1"/>
  <c r="H184" i="27"/>
  <c r="I184" i="27" s="1"/>
  <c r="F78" i="32" s="1"/>
  <c r="G78" i="32" s="1"/>
  <c r="H178" i="27"/>
  <c r="I178" i="27" s="1"/>
  <c r="H174" i="27"/>
  <c r="H166" i="27"/>
  <c r="I166" i="27" s="1"/>
  <c r="F165" i="32" s="1"/>
  <c r="G165" i="32" s="1"/>
  <c r="H146" i="27"/>
  <c r="I146" i="27" s="1"/>
  <c r="H141" i="27"/>
  <c r="I141" i="27" s="1"/>
  <c r="H136" i="27"/>
  <c r="I136" i="27" s="1"/>
  <c r="F325" i="32" s="1"/>
  <c r="G325" i="32" s="1"/>
  <c r="H124" i="27"/>
  <c r="I124" i="27" s="1"/>
  <c r="J124" i="27" s="1"/>
  <c r="H106" i="27"/>
  <c r="H80" i="27"/>
  <c r="I80" i="27" s="1"/>
  <c r="J80" i="27" s="1"/>
  <c r="H700" i="27"/>
  <c r="I700" i="27" s="1"/>
  <c r="F425" i="32" s="1"/>
  <c r="G425" i="32" s="1"/>
  <c r="H666" i="27"/>
  <c r="I666" i="27" s="1"/>
  <c r="J666" i="27" s="1"/>
  <c r="H592" i="27"/>
  <c r="I592" i="27" s="1"/>
  <c r="F361" i="32" s="1"/>
  <c r="G361" i="32" s="1"/>
  <c r="H389" i="27"/>
  <c r="I389" i="27" s="1"/>
  <c r="J389" i="27" s="1"/>
  <c r="H356" i="27"/>
  <c r="I356" i="27" s="1"/>
  <c r="H336" i="27"/>
  <c r="I336" i="27" s="1"/>
  <c r="J336" i="27" s="1"/>
  <c r="H313" i="27"/>
  <c r="H291" i="27"/>
  <c r="H274" i="27"/>
  <c r="I274" i="27" s="1"/>
  <c r="F199" i="32" s="1"/>
  <c r="G199" i="32" s="1"/>
  <c r="H259" i="27"/>
  <c r="I259" i="27" s="1"/>
  <c r="F441" i="32" s="1"/>
  <c r="G441" i="32" s="1"/>
  <c r="H247" i="27"/>
  <c r="I247" i="27" s="1"/>
  <c r="F26" i="32" s="1"/>
  <c r="G26" i="32" s="1"/>
  <c r="H236" i="27"/>
  <c r="I236" i="27" s="1"/>
  <c r="F182" i="32" s="1"/>
  <c r="G182" i="32" s="1"/>
  <c r="H227" i="27"/>
  <c r="I227" i="27" s="1"/>
  <c r="J227" i="27" s="1"/>
  <c r="H216" i="27"/>
  <c r="I216" i="27" s="1"/>
  <c r="F129" i="32" s="1"/>
  <c r="G129" i="32" s="1"/>
  <c r="H208" i="27"/>
  <c r="I208" i="27" s="1"/>
  <c r="H193" i="27"/>
  <c r="I193" i="27" s="1"/>
  <c r="F113" i="32" s="1"/>
  <c r="G113" i="32" s="1"/>
  <c r="H183" i="27"/>
  <c r="I183" i="27" s="1"/>
  <c r="F249" i="32" s="1"/>
  <c r="G249" i="32" s="1"/>
  <c r="H177" i="27"/>
  <c r="I177" i="27" s="1"/>
  <c r="F171" i="32" s="1"/>
  <c r="G171" i="32" s="1"/>
  <c r="H165" i="27"/>
  <c r="I165" i="27" s="1"/>
  <c r="F227" i="32" s="1"/>
  <c r="G227" i="32" s="1"/>
  <c r="H145" i="27"/>
  <c r="I145" i="27" s="1"/>
  <c r="H134" i="27"/>
  <c r="I134" i="27" s="1"/>
  <c r="H116" i="27"/>
  <c r="I116" i="27" s="1"/>
  <c r="J116" i="27" s="1"/>
  <c r="H100" i="27"/>
  <c r="I100" i="27" s="1"/>
  <c r="H90" i="27"/>
  <c r="H72" i="27"/>
  <c r="I72" i="27" s="1"/>
  <c r="F42" i="32" s="1"/>
  <c r="G42" i="32" s="1"/>
  <c r="H64" i="27"/>
  <c r="I64" i="27" s="1"/>
  <c r="F100" i="32" s="1"/>
  <c r="G100" i="32" s="1"/>
  <c r="H54" i="27"/>
  <c r="I54" i="27" s="1"/>
  <c r="F261" i="32" s="1"/>
  <c r="G261" i="32" s="1"/>
  <c r="H44" i="27"/>
  <c r="I44" i="27" s="1"/>
  <c r="F464" i="32" s="1"/>
  <c r="G464" i="32" s="1"/>
  <c r="H34" i="27"/>
  <c r="I34" i="27" s="1"/>
  <c r="F429" i="32" s="1"/>
  <c r="G429" i="32" s="1"/>
  <c r="H28" i="27"/>
  <c r="I28" i="27" s="1"/>
  <c r="F366" i="32" s="1"/>
  <c r="G366" i="32" s="1"/>
  <c r="H21" i="27"/>
  <c r="I21" i="27" s="1"/>
  <c r="F81" i="32" s="1"/>
  <c r="G81" i="32" s="1"/>
  <c r="H43" i="27"/>
  <c r="I43" i="27" s="1"/>
  <c r="F79" i="32" s="1"/>
  <c r="G79" i="32" s="1"/>
  <c r="H25" i="27"/>
  <c r="H415" i="27"/>
  <c r="I415" i="27" s="1"/>
  <c r="F256" i="32" s="1"/>
  <c r="G256" i="32" s="1"/>
  <c r="H400" i="27"/>
  <c r="I400" i="27" s="1"/>
  <c r="F324" i="32" s="1"/>
  <c r="G324" i="32" s="1"/>
  <c r="H349" i="27"/>
  <c r="I349" i="27" s="1"/>
  <c r="J349" i="27" s="1"/>
  <c r="H302" i="27"/>
  <c r="I302" i="27" s="1"/>
  <c r="F454" i="32" s="1"/>
  <c r="G454" i="32" s="1"/>
  <c r="H251" i="27"/>
  <c r="I251" i="27" s="1"/>
  <c r="F338" i="32" s="1"/>
  <c r="G338" i="32" s="1"/>
  <c r="H231" i="27"/>
  <c r="I231" i="27" s="1"/>
  <c r="F127" i="32" s="1"/>
  <c r="G127" i="32" s="1"/>
  <c r="H181" i="27"/>
  <c r="I181" i="27" s="1"/>
  <c r="F89" i="32" s="1"/>
  <c r="G89" i="32" s="1"/>
  <c r="H149" i="27"/>
  <c r="I149" i="27" s="1"/>
  <c r="F164" i="32" s="1"/>
  <c r="G164" i="32" s="1"/>
  <c r="H140" i="27"/>
  <c r="I140" i="27" s="1"/>
  <c r="F36" i="32" s="1"/>
  <c r="G36" i="32" s="1"/>
  <c r="H112" i="27"/>
  <c r="I112" i="27" s="1"/>
  <c r="J112" i="27" s="1"/>
  <c r="H84" i="27"/>
  <c r="I84" i="27" s="1"/>
  <c r="H68" i="27"/>
  <c r="I68" i="27" s="1"/>
  <c r="F207" i="32" s="1"/>
  <c r="G207" i="32" s="1"/>
  <c r="H30" i="27"/>
  <c r="I30" i="27" s="1"/>
  <c r="F390" i="32" s="1"/>
  <c r="G390" i="32" s="1"/>
  <c r="H109" i="27"/>
  <c r="I109" i="27" s="1"/>
  <c r="J109" i="27" s="1"/>
  <c r="H570" i="27"/>
  <c r="I570" i="27" s="1"/>
  <c r="F356" i="32" s="1"/>
  <c r="G356" i="32" s="1"/>
  <c r="H413" i="27"/>
  <c r="I413" i="27" s="1"/>
  <c r="F194" i="32" s="1"/>
  <c r="G194" i="32" s="1"/>
  <c r="H398" i="27"/>
  <c r="I398" i="27" s="1"/>
  <c r="F301" i="32" s="1"/>
  <c r="G301" i="32" s="1"/>
  <c r="H319" i="27"/>
  <c r="I319" i="27" s="1"/>
  <c r="J319" i="27" s="1"/>
  <c r="H280" i="27"/>
  <c r="I280" i="27" s="1"/>
  <c r="F298" i="32" s="1"/>
  <c r="G298" i="32" s="1"/>
  <c r="H241" i="27"/>
  <c r="I241" i="27" s="1"/>
  <c r="H211" i="27"/>
  <c r="I211" i="27" s="1"/>
  <c r="F38" i="32" s="1"/>
  <c r="G38" i="32" s="1"/>
  <c r="H186" i="27"/>
  <c r="H148" i="27"/>
  <c r="I148" i="27" s="1"/>
  <c r="F29" i="32" s="1"/>
  <c r="G29" i="32" s="1"/>
  <c r="H119" i="27"/>
  <c r="I119" i="27" s="1"/>
  <c r="J119" i="27" s="1"/>
  <c r="H83" i="27"/>
  <c r="I83" i="27" s="1"/>
  <c r="H60" i="27"/>
  <c r="H37" i="27"/>
  <c r="I37" i="27" s="1"/>
  <c r="F280" i="32" s="1"/>
  <c r="G280" i="32" s="1"/>
  <c r="H693" i="27"/>
  <c r="I693" i="27" s="1"/>
  <c r="F283" i="32" s="1"/>
  <c r="G283" i="32" s="1"/>
  <c r="H662" i="27"/>
  <c r="I662" i="27" s="1"/>
  <c r="F140" i="32" s="1"/>
  <c r="G140" i="32" s="1"/>
  <c r="H387" i="27"/>
  <c r="I387" i="27" s="1"/>
  <c r="F181" i="32" s="1"/>
  <c r="G181" i="32" s="1"/>
  <c r="H334" i="27"/>
  <c r="I334" i="27" s="1"/>
  <c r="J334" i="27" s="1"/>
  <c r="H310" i="27"/>
  <c r="I310" i="27" s="1"/>
  <c r="F40" i="32" s="1"/>
  <c r="G40" i="32" s="1"/>
  <c r="H289" i="27"/>
  <c r="H272" i="27"/>
  <c r="I272" i="27" s="1"/>
  <c r="F357" i="32" s="1"/>
  <c r="G357" i="32" s="1"/>
  <c r="H258" i="27"/>
  <c r="H245" i="27"/>
  <c r="I245" i="27" s="1"/>
  <c r="F91" i="32" s="1"/>
  <c r="G91" i="32" s="1"/>
  <c r="H235" i="27"/>
  <c r="I235" i="27" s="1"/>
  <c r="F242" i="32" s="1"/>
  <c r="G242" i="32" s="1"/>
  <c r="H215" i="27"/>
  <c r="I215" i="27" s="1"/>
  <c r="F22" i="32" s="1"/>
  <c r="G22" i="32" s="1"/>
  <c r="H204" i="27"/>
  <c r="I204" i="27" s="1"/>
  <c r="F122" i="32" s="1"/>
  <c r="G122" i="32" s="1"/>
  <c r="H192" i="27"/>
  <c r="I192" i="27" s="1"/>
  <c r="F245" i="32" s="1"/>
  <c r="G245" i="32" s="1"/>
  <c r="H182" i="27"/>
  <c r="I182" i="27" s="1"/>
  <c r="F231" i="32" s="1"/>
  <c r="G231" i="32" s="1"/>
  <c r="H176" i="27"/>
  <c r="H143" i="27"/>
  <c r="I143" i="27" s="1"/>
  <c r="H133" i="27"/>
  <c r="I133" i="27" s="1"/>
  <c r="F311" i="32" s="1"/>
  <c r="G311" i="32" s="1"/>
  <c r="H123" i="27"/>
  <c r="I123" i="27" s="1"/>
  <c r="J123" i="27" s="1"/>
  <c r="H115" i="27"/>
  <c r="I115" i="27" s="1"/>
  <c r="F76" i="32" s="1"/>
  <c r="G76" i="32" s="1"/>
  <c r="H99" i="27"/>
  <c r="I99" i="27" s="1"/>
  <c r="H87" i="27"/>
  <c r="I87" i="27" s="1"/>
  <c r="F340" i="32" s="1"/>
  <c r="G340" i="32" s="1"/>
  <c r="H79" i="27"/>
  <c r="I79" i="27" s="1"/>
  <c r="J79" i="27" s="1"/>
  <c r="H71" i="27"/>
  <c r="I71" i="27" s="1"/>
  <c r="H63" i="27"/>
  <c r="I63" i="27" s="1"/>
  <c r="F103" i="32" s="1"/>
  <c r="G103" i="32" s="1"/>
  <c r="H51" i="27"/>
  <c r="I51" i="27" s="1"/>
  <c r="F35" i="32" s="1"/>
  <c r="G35" i="32" s="1"/>
  <c r="H33" i="27"/>
  <c r="I33" i="27" s="1"/>
  <c r="F163" i="32" s="1"/>
  <c r="G163" i="32" s="1"/>
  <c r="H679" i="27"/>
  <c r="I679" i="27" s="1"/>
  <c r="F188" i="32" s="1"/>
  <c r="G188" i="32" s="1"/>
  <c r="H544" i="27"/>
  <c r="I544" i="27" s="1"/>
  <c r="F460" i="32" s="1"/>
  <c r="G460" i="32" s="1"/>
  <c r="H321" i="27"/>
  <c r="I321" i="27" s="1"/>
  <c r="F360" i="32" s="1"/>
  <c r="G360" i="32" s="1"/>
  <c r="H268" i="27"/>
  <c r="H242" i="27"/>
  <c r="I242" i="27" s="1"/>
  <c r="F98" i="32" s="1"/>
  <c r="G98" i="32" s="1"/>
  <c r="H221" i="27"/>
  <c r="I221" i="27" s="1"/>
  <c r="F343" i="32" s="1"/>
  <c r="G343" i="32" s="1"/>
  <c r="H170" i="27"/>
  <c r="I170" i="27" s="1"/>
  <c r="F345" i="32" s="1"/>
  <c r="G345" i="32" s="1"/>
  <c r="H128" i="27"/>
  <c r="I128" i="27" s="1"/>
  <c r="J128" i="27" s="1"/>
  <c r="H93" i="27"/>
  <c r="I93" i="27" s="1"/>
  <c r="F323" i="32" s="1"/>
  <c r="G323" i="32" s="1"/>
  <c r="H76" i="27"/>
  <c r="I76" i="27" s="1"/>
  <c r="J76" i="27" s="1"/>
  <c r="H62" i="27"/>
  <c r="I62" i="27" s="1"/>
  <c r="F186" i="32" s="1"/>
  <c r="G186" i="32" s="1"/>
  <c r="H40" i="27"/>
  <c r="I40" i="27" s="1"/>
  <c r="F158" i="32" s="1"/>
  <c r="G158" i="32" s="1"/>
  <c r="H24" i="27"/>
  <c r="H343" i="27"/>
  <c r="I343" i="27" s="1"/>
  <c r="F455" i="32" s="1"/>
  <c r="G455" i="32" s="1"/>
  <c r="H267" i="27"/>
  <c r="H219" i="27"/>
  <c r="I219" i="27" s="1"/>
  <c r="H180" i="27"/>
  <c r="I180" i="27" s="1"/>
  <c r="F94" i="32" s="1"/>
  <c r="G94" i="32" s="1"/>
  <c r="H139" i="27"/>
  <c r="I139" i="27" s="1"/>
  <c r="F168" i="32" s="1"/>
  <c r="G168" i="32" s="1"/>
  <c r="H110" i="27"/>
  <c r="I110" i="27" s="1"/>
  <c r="J110" i="27" s="1"/>
  <c r="H66" i="27"/>
  <c r="I66" i="27" s="1"/>
  <c r="F191" i="32" s="1"/>
  <c r="G191" i="32" s="1"/>
  <c r="H49" i="27"/>
  <c r="I49" i="27" s="1"/>
  <c r="F236" i="32" s="1"/>
  <c r="G236" i="32" s="1"/>
  <c r="H23" i="27"/>
  <c r="I23" i="27" s="1"/>
  <c r="F96" i="32" s="1"/>
  <c r="G96" i="32" s="1"/>
  <c r="H625" i="27"/>
  <c r="I625" i="27" s="1"/>
  <c r="F378" i="32" s="1"/>
  <c r="G378" i="32" s="1"/>
  <c r="H282" i="27"/>
  <c r="H201" i="27"/>
  <c r="I201" i="27" s="1"/>
  <c r="F112" i="32" s="1"/>
  <c r="G112" i="32" s="1"/>
  <c r="H120" i="27"/>
  <c r="I120" i="27" s="1"/>
  <c r="J120" i="27" s="1"/>
  <c r="H50" i="27"/>
  <c r="I50" i="27" s="1"/>
  <c r="F137" i="32" s="1"/>
  <c r="G137" i="32" s="1"/>
  <c r="H539" i="27"/>
  <c r="I539" i="27" s="1"/>
  <c r="F444" i="32" s="1"/>
  <c r="G444" i="32" s="1"/>
  <c r="H374" i="27"/>
  <c r="I374" i="27" s="1"/>
  <c r="F514" i="32" s="1"/>
  <c r="G514" i="32" s="1"/>
  <c r="H300" i="27"/>
  <c r="I300" i="27" s="1"/>
  <c r="F240" i="32" s="1"/>
  <c r="G240" i="32" s="1"/>
  <c r="H250" i="27"/>
  <c r="I250" i="27" s="1"/>
  <c r="F431" i="32" s="1"/>
  <c r="G431" i="32" s="1"/>
  <c r="H230" i="27"/>
  <c r="I230" i="27" s="1"/>
  <c r="F136" i="32" s="1"/>
  <c r="G136" i="32" s="1"/>
  <c r="H199" i="27"/>
  <c r="H169" i="27"/>
  <c r="I169" i="27" s="1"/>
  <c r="F305" i="32" s="1"/>
  <c r="G305" i="32" s="1"/>
  <c r="H127" i="27"/>
  <c r="I127" i="27" s="1"/>
  <c r="J127" i="27" s="1"/>
  <c r="H92" i="27"/>
  <c r="I92" i="27" s="1"/>
  <c r="H75" i="27"/>
  <c r="I75" i="27" s="1"/>
  <c r="F92" i="32" s="1"/>
  <c r="G92" i="32" s="1"/>
  <c r="H29" i="27"/>
  <c r="I29" i="27" s="1"/>
  <c r="F313" i="32" s="1"/>
  <c r="G313" i="32" s="1"/>
  <c r="I674" i="27"/>
  <c r="F217" i="32" s="1"/>
  <c r="G217" i="32" s="1"/>
  <c r="H1893" i="21"/>
  <c r="G385" i="27" s="1"/>
  <c r="H675" i="27"/>
  <c r="H809" i="21"/>
  <c r="G526" i="27" s="1"/>
  <c r="H749" i="21"/>
  <c r="G573" i="27" s="1"/>
  <c r="H560" i="21"/>
  <c r="G258" i="27" s="1"/>
  <c r="G314" i="27"/>
  <c r="H673" i="27"/>
  <c r="H659" i="27"/>
  <c r="H677" i="27"/>
  <c r="H676" i="27"/>
  <c r="I676" i="27" s="1"/>
  <c r="F19" i="32" s="1"/>
  <c r="G19" i="32" s="1"/>
  <c r="H302" i="21"/>
  <c r="G313" i="27" s="1"/>
  <c r="C9" i="30"/>
  <c r="H17" i="27"/>
  <c r="H2092" i="21"/>
  <c r="G90" i="27" s="1"/>
  <c r="H2064" i="21"/>
  <c r="H1734" i="21"/>
  <c r="G342" i="27" s="1"/>
  <c r="H1477" i="21"/>
  <c r="G296" i="27" s="1"/>
  <c r="H452" i="21"/>
  <c r="G203" i="27" s="1"/>
  <c r="H574" i="21"/>
  <c r="G260" i="27" s="1"/>
  <c r="H528" i="21"/>
  <c r="G254" i="27" s="1"/>
  <c r="H2182" i="21"/>
  <c r="G299" i="27" s="1"/>
  <c r="G378" i="27"/>
  <c r="H545" i="21"/>
  <c r="G255" i="27" s="1"/>
  <c r="H659" i="21"/>
  <c r="G268" i="27" s="1"/>
  <c r="H587" i="21"/>
  <c r="G267" i="27" s="1"/>
  <c r="H1803" i="21"/>
  <c r="G685" i="27" s="1"/>
  <c r="H2166" i="21"/>
  <c r="H1709" i="21"/>
  <c r="G602" i="27" s="1"/>
  <c r="H473" i="21"/>
  <c r="G60" i="27" s="1"/>
  <c r="H1446" i="21"/>
  <c r="G217" i="27" s="1"/>
  <c r="H221" i="21"/>
  <c r="G214" i="27" s="1"/>
  <c r="H646" i="21"/>
  <c r="G291" i="27" s="1"/>
  <c r="H389" i="21"/>
  <c r="G638" i="27" s="1"/>
  <c r="H2573" i="21"/>
  <c r="G594" i="27" s="1"/>
  <c r="H2142" i="21"/>
  <c r="G46" i="27" s="1"/>
  <c r="H281" i="21"/>
  <c r="G281" i="27" s="1"/>
  <c r="H1695" i="21"/>
  <c r="G601" i="27" s="1"/>
  <c r="H57" i="37" l="1"/>
  <c r="H43" i="37"/>
  <c r="H15" i="37"/>
  <c r="H9" i="37"/>
  <c r="H41" i="37"/>
  <c r="H16" i="37"/>
  <c r="H14" i="37"/>
  <c r="H48" i="37"/>
  <c r="H26" i="37"/>
  <c r="H31" i="37"/>
  <c r="H32" i="37"/>
  <c r="H33" i="37"/>
  <c r="H24" i="37"/>
  <c r="H30" i="37"/>
  <c r="H34" i="37"/>
  <c r="H52" i="37"/>
  <c r="H56" i="37"/>
  <c r="H40" i="37"/>
  <c r="H47" i="37"/>
  <c r="H44" i="37"/>
  <c r="H53" i="37"/>
  <c r="H35" i="37"/>
  <c r="H18" i="37"/>
  <c r="H58" i="37"/>
  <c r="H27" i="37"/>
  <c r="H37" i="37"/>
  <c r="H20" i="37"/>
  <c r="H12" i="37"/>
  <c r="H22" i="37"/>
  <c r="H55" i="37"/>
  <c r="H38" i="37"/>
  <c r="H42" i="37"/>
  <c r="H36" i="37"/>
  <c r="H50" i="37"/>
  <c r="H46" i="37"/>
  <c r="H25" i="37"/>
  <c r="H29" i="37"/>
  <c r="H10" i="37"/>
  <c r="H21" i="37"/>
  <c r="H23" i="37"/>
  <c r="H51" i="37"/>
  <c r="H13" i="37"/>
  <c r="H49" i="37"/>
  <c r="H54" i="37"/>
  <c r="H17" i="37"/>
  <c r="H11" i="37"/>
  <c r="H45" i="37"/>
  <c r="H28" i="37"/>
  <c r="H39" i="37"/>
  <c r="H19" i="37"/>
  <c r="J98" i="27"/>
  <c r="J134" i="27"/>
  <c r="F385" i="32"/>
  <c r="G385" i="32" s="1"/>
  <c r="J326" i="27"/>
  <c r="F259" i="32"/>
  <c r="G259" i="32" s="1"/>
  <c r="J312" i="27"/>
  <c r="F395" i="32"/>
  <c r="G395" i="32" s="1"/>
  <c r="J323" i="27"/>
  <c r="F446" i="32"/>
  <c r="G446" i="32" s="1"/>
  <c r="J327" i="27"/>
  <c r="F442" i="32"/>
  <c r="G442" i="32" s="1"/>
  <c r="J325" i="27"/>
  <c r="F367" i="32"/>
  <c r="G367" i="32" s="1"/>
  <c r="J322" i="27"/>
  <c r="F315" i="32"/>
  <c r="G315" i="32" s="1"/>
  <c r="J324" i="27"/>
  <c r="F436" i="32"/>
  <c r="G436" i="32" s="1"/>
  <c r="J328" i="27"/>
  <c r="F243" i="32"/>
  <c r="G243" i="32" s="1"/>
  <c r="J244" i="27"/>
  <c r="F117" i="32"/>
  <c r="G117" i="32" s="1"/>
  <c r="J256" i="27"/>
  <c r="F208" i="32"/>
  <c r="G208" i="32" s="1"/>
  <c r="J716" i="27"/>
  <c r="F399" i="32"/>
  <c r="G399" i="32" s="1"/>
  <c r="F397" i="32"/>
  <c r="G397" i="32" s="1"/>
  <c r="J713" i="27"/>
  <c r="J266" i="27"/>
  <c r="F438" i="32"/>
  <c r="G438" i="32" s="1"/>
  <c r="J257" i="27"/>
  <c r="F405" i="32"/>
  <c r="G405" i="32" s="1"/>
  <c r="J263" i="27"/>
  <c r="F293" i="32"/>
  <c r="G293" i="32" s="1"/>
  <c r="J717" i="27"/>
  <c r="F400" i="32"/>
  <c r="G400" i="32" s="1"/>
  <c r="F203" i="32"/>
  <c r="G203" i="32" s="1"/>
  <c r="J714" i="27"/>
  <c r="J264" i="27"/>
  <c r="F513" i="32"/>
  <c r="G513" i="32" s="1"/>
  <c r="J711" i="27"/>
  <c r="F396" i="32"/>
  <c r="G396" i="32" s="1"/>
  <c r="J715" i="27"/>
  <c r="F398" i="32"/>
  <c r="G398" i="32" s="1"/>
  <c r="J337" i="27"/>
  <c r="F344" i="32"/>
  <c r="G344" i="32" s="1"/>
  <c r="J712" i="27"/>
  <c r="F202" i="32"/>
  <c r="G202" i="32" s="1"/>
  <c r="J265" i="27"/>
  <c r="F434" i="32"/>
  <c r="G434" i="32" s="1"/>
  <c r="J262" i="27"/>
  <c r="F409" i="32"/>
  <c r="G409" i="32" s="1"/>
  <c r="J339" i="27"/>
  <c r="F472" i="32"/>
  <c r="G472" i="32" s="1"/>
  <c r="F498" i="32"/>
  <c r="G498" i="32" s="1"/>
  <c r="F329" i="32"/>
  <c r="G329" i="32" s="1"/>
  <c r="F71" i="32"/>
  <c r="G71" i="32" s="1"/>
  <c r="J143" i="27"/>
  <c r="F49" i="32"/>
  <c r="G49" i="32" s="1"/>
  <c r="F349" i="32"/>
  <c r="G349" i="32" s="1"/>
  <c r="F473" i="32"/>
  <c r="G473" i="32" s="1"/>
  <c r="F508" i="32"/>
  <c r="G508" i="32" s="1"/>
  <c r="F228" i="32"/>
  <c r="G228" i="32" s="1"/>
  <c r="F214" i="32"/>
  <c r="G214" i="32" s="1"/>
  <c r="F507" i="32"/>
  <c r="G507" i="32" s="1"/>
  <c r="F211" i="32"/>
  <c r="G211" i="32" s="1"/>
  <c r="F200" i="32"/>
  <c r="G200" i="32" s="1"/>
  <c r="F210" i="32"/>
  <c r="G210" i="32" s="1"/>
  <c r="F312" i="32"/>
  <c r="G312" i="32" s="1"/>
  <c r="J276" i="27"/>
  <c r="F197" i="32"/>
  <c r="G197" i="32" s="1"/>
  <c r="J560" i="27"/>
  <c r="F495" i="32"/>
  <c r="G495" i="32" s="1"/>
  <c r="J548" i="27"/>
  <c r="F461" i="32"/>
  <c r="G461" i="32" s="1"/>
  <c r="J559" i="27"/>
  <c r="F466" i="32"/>
  <c r="G466" i="32" s="1"/>
  <c r="J549" i="27"/>
  <c r="F332" i="32"/>
  <c r="G332" i="32" s="1"/>
  <c r="F45" i="32"/>
  <c r="G45" i="32" s="1"/>
  <c r="F474" i="32"/>
  <c r="G474" i="32" s="1"/>
  <c r="F279" i="32"/>
  <c r="G279" i="32" s="1"/>
  <c r="F124" i="32"/>
  <c r="G124" i="32" s="1"/>
  <c r="F68" i="32"/>
  <c r="G68" i="32" s="1"/>
  <c r="F476" i="32"/>
  <c r="G476" i="32" s="1"/>
  <c r="F110" i="32"/>
  <c r="G110" i="32" s="1"/>
  <c r="F126" i="32"/>
  <c r="G126" i="32" s="1"/>
  <c r="F58" i="32"/>
  <c r="G58" i="32" s="1"/>
  <c r="F64" i="32"/>
  <c r="G64" i="32" s="1"/>
  <c r="F509" i="32"/>
  <c r="G509" i="32" s="1"/>
  <c r="F41" i="32"/>
  <c r="G41" i="32" s="1"/>
  <c r="F439" i="32"/>
  <c r="G439" i="32" s="1"/>
  <c r="F53" i="32"/>
  <c r="G53" i="32" s="1"/>
  <c r="F456" i="32"/>
  <c r="G456" i="32" s="1"/>
  <c r="F148" i="32"/>
  <c r="G148" i="32" s="1"/>
  <c r="F195" i="32"/>
  <c r="G195" i="32" s="1"/>
  <c r="F173" i="32"/>
  <c r="G173" i="32" s="1"/>
  <c r="J561" i="27"/>
  <c r="F510" i="32"/>
  <c r="G510" i="32" s="1"/>
  <c r="J557" i="27"/>
  <c r="F235" i="32"/>
  <c r="G235" i="32" s="1"/>
  <c r="J372" i="27"/>
  <c r="F423" i="32"/>
  <c r="G423" i="32" s="1"/>
  <c r="J402" i="27"/>
  <c r="F515" i="32"/>
  <c r="G515" i="32" s="1"/>
  <c r="F193" i="32"/>
  <c r="G193" i="32" s="1"/>
  <c r="F190" i="32"/>
  <c r="G190" i="32" s="1"/>
  <c r="F424" i="32"/>
  <c r="G424" i="32" s="1"/>
  <c r="F295" i="32"/>
  <c r="G295" i="32" s="1"/>
  <c r="F416" i="32"/>
  <c r="G416" i="32" s="1"/>
  <c r="F326" i="32"/>
  <c r="G326" i="32" s="1"/>
  <c r="F379" i="32"/>
  <c r="G379" i="32" s="1"/>
  <c r="F462" i="32"/>
  <c r="G462" i="32" s="1"/>
  <c r="F142" i="32"/>
  <c r="G142" i="32" s="1"/>
  <c r="F141" i="32"/>
  <c r="G141" i="32" s="1"/>
  <c r="J210" i="27"/>
  <c r="F150" i="32"/>
  <c r="G150" i="32" s="1"/>
  <c r="F292" i="32"/>
  <c r="G292" i="32" s="1"/>
  <c r="F365" i="32"/>
  <c r="G365" i="32" s="1"/>
  <c r="F69" i="32"/>
  <c r="G69" i="32" s="1"/>
  <c r="F160" i="32"/>
  <c r="G160" i="32" s="1"/>
  <c r="F248" i="32"/>
  <c r="G248" i="32" s="1"/>
  <c r="F320" i="32"/>
  <c r="G320" i="32" s="1"/>
  <c r="F255" i="32"/>
  <c r="G255" i="32" s="1"/>
  <c r="F314" i="32"/>
  <c r="G314" i="32" s="1"/>
  <c r="F254" i="32"/>
  <c r="G254" i="32" s="1"/>
  <c r="F369" i="32"/>
  <c r="G369" i="32" s="1"/>
  <c r="F486" i="32"/>
  <c r="G486" i="32" s="1"/>
  <c r="F130" i="32"/>
  <c r="G130" i="32" s="1"/>
  <c r="F285" i="32"/>
  <c r="G285" i="32" s="1"/>
  <c r="F267" i="32"/>
  <c r="G267" i="32" s="1"/>
  <c r="J553" i="27"/>
  <c r="F275" i="32"/>
  <c r="G275" i="32" s="1"/>
  <c r="F274" i="32"/>
  <c r="G274" i="32" s="1"/>
  <c r="J552" i="27"/>
  <c r="F247" i="32"/>
  <c r="G247" i="32" s="1"/>
  <c r="F80" i="32"/>
  <c r="G80" i="32" s="1"/>
  <c r="F187" i="32"/>
  <c r="G187" i="32" s="1"/>
  <c r="J241" i="27"/>
  <c r="F225" i="32"/>
  <c r="G225" i="32" s="1"/>
  <c r="J243" i="27"/>
  <c r="F82" i="32"/>
  <c r="G82" i="32" s="1"/>
  <c r="F306" i="32"/>
  <c r="G306" i="32" s="1"/>
  <c r="F331" i="32"/>
  <c r="G331" i="32" s="1"/>
  <c r="J164" i="27"/>
  <c r="F23" i="32"/>
  <c r="G23" i="32" s="1"/>
  <c r="J512" i="27"/>
  <c r="F139" i="32"/>
  <c r="G139" i="32" s="1"/>
  <c r="J551" i="27"/>
  <c r="F364" i="32"/>
  <c r="G364" i="32" s="1"/>
  <c r="J550" i="27"/>
  <c r="F411" i="32"/>
  <c r="G411" i="32" s="1"/>
  <c r="J428" i="27"/>
  <c r="F413" i="32"/>
  <c r="G413" i="32" s="1"/>
  <c r="J271" i="27"/>
  <c r="F321" i="32"/>
  <c r="G321" i="32" s="1"/>
  <c r="J345" i="27"/>
  <c r="J558" i="27"/>
  <c r="F270" i="32"/>
  <c r="G270" i="32" s="1"/>
  <c r="J635" i="27"/>
  <c r="F216" i="32"/>
  <c r="G216" i="32" s="1"/>
  <c r="J580" i="27"/>
  <c r="F489" i="32"/>
  <c r="G489" i="32" s="1"/>
  <c r="J239" i="27"/>
  <c r="J232" i="27"/>
  <c r="J229" i="27"/>
  <c r="J144" i="27"/>
  <c r="J171" i="27"/>
  <c r="J196" i="27"/>
  <c r="J197" i="27"/>
  <c r="J379" i="27"/>
  <c r="J306" i="27"/>
  <c r="H8" i="37"/>
  <c r="I8" i="37" s="1"/>
  <c r="J8" i="37" s="1"/>
  <c r="D70" i="16"/>
  <c r="C69" i="16"/>
  <c r="J158" i="27"/>
  <c r="J157" i="27" s="1"/>
  <c r="J154" i="27" s="1"/>
  <c r="C67" i="16" s="1"/>
  <c r="J555" i="27"/>
  <c r="J556" i="27"/>
  <c r="J483" i="27"/>
  <c r="J442" i="27"/>
  <c r="J188" i="27"/>
  <c r="J482" i="27"/>
  <c r="J411" i="27"/>
  <c r="J200" i="27"/>
  <c r="J407" i="27"/>
  <c r="J410" i="27"/>
  <c r="J409" i="27"/>
  <c r="J408" i="27"/>
  <c r="J481" i="27"/>
  <c r="J436" i="27"/>
  <c r="J496" i="27"/>
  <c r="J78" i="27"/>
  <c r="I616" i="27"/>
  <c r="F116" i="32" s="1"/>
  <c r="G116" i="32" s="1"/>
  <c r="J330" i="27"/>
  <c r="J460" i="27"/>
  <c r="J23" i="27"/>
  <c r="J343" i="27"/>
  <c r="J33" i="27"/>
  <c r="J387" i="27"/>
  <c r="J413" i="27"/>
  <c r="J140" i="27"/>
  <c r="J415" i="27"/>
  <c r="J44" i="27"/>
  <c r="J177" i="27"/>
  <c r="J259" i="27"/>
  <c r="J284" i="27"/>
  <c r="J395" i="27"/>
  <c r="J278" i="27"/>
  <c r="J329" i="27"/>
  <c r="J536" i="27"/>
  <c r="J571" i="27"/>
  <c r="J680" i="27"/>
  <c r="J701" i="27"/>
  <c r="J533" i="27"/>
  <c r="J720" i="27"/>
  <c r="J305" i="27"/>
  <c r="J584" i="27"/>
  <c r="J707" i="27"/>
  <c r="J577" i="27"/>
  <c r="J468" i="27"/>
  <c r="J448" i="27"/>
  <c r="J486" i="27"/>
  <c r="J441" i="27"/>
  <c r="J451" i="27"/>
  <c r="J469" i="27"/>
  <c r="J473" i="27"/>
  <c r="J494" i="27"/>
  <c r="J420" i="27"/>
  <c r="J201" i="27"/>
  <c r="J93" i="27"/>
  <c r="J570" i="27"/>
  <c r="J149" i="27"/>
  <c r="J302" i="27"/>
  <c r="J21" i="27"/>
  <c r="J183" i="27"/>
  <c r="J274" i="27"/>
  <c r="J356" i="27"/>
  <c r="J195" i="27"/>
  <c r="J338" i="27"/>
  <c r="J614" i="27"/>
  <c r="J70" i="27"/>
  <c r="J86" i="27"/>
  <c r="J286" i="27"/>
  <c r="J397" i="27"/>
  <c r="J566" i="27"/>
  <c r="J617" i="27"/>
  <c r="J288" i="27"/>
  <c r="J309" i="27"/>
  <c r="J423" i="27"/>
  <c r="J582" i="27"/>
  <c r="J599" i="27"/>
  <c r="J705" i="27"/>
  <c r="J520" i="27"/>
  <c r="J537" i="27"/>
  <c r="J572" i="27"/>
  <c r="J656" i="27"/>
  <c r="J698" i="27"/>
  <c r="J273" i="27"/>
  <c r="J290" i="27"/>
  <c r="J311" i="27"/>
  <c r="J366" i="27"/>
  <c r="J396" i="27"/>
  <c r="J518" i="27"/>
  <c r="J565" i="27"/>
  <c r="J588" i="27"/>
  <c r="J721" i="27"/>
  <c r="J575" i="27"/>
  <c r="J618" i="27"/>
  <c r="J404" i="27"/>
  <c r="J433" i="27"/>
  <c r="J453" i="27"/>
  <c r="J474" i="27"/>
  <c r="J495" i="27"/>
  <c r="J450" i="27"/>
  <c r="J471" i="27"/>
  <c r="J509" i="27"/>
  <c r="J445" i="27"/>
  <c r="J458" i="27"/>
  <c r="J472" i="27"/>
  <c r="J497" i="27"/>
  <c r="J464" i="27"/>
  <c r="J477" i="27"/>
  <c r="J499" i="27"/>
  <c r="J498" i="27" s="1"/>
  <c r="J627" i="27"/>
  <c r="J628" i="27"/>
  <c r="J29" i="27"/>
  <c r="J139" i="27"/>
  <c r="J321" i="27"/>
  <c r="J30" i="27"/>
  <c r="J251" i="27"/>
  <c r="J216" i="27"/>
  <c r="J166" i="27"/>
  <c r="J69" i="27"/>
  <c r="J38" i="27"/>
  <c r="J65" i="27"/>
  <c r="J82" i="27"/>
  <c r="J147" i="27"/>
  <c r="J317" i="27"/>
  <c r="J633" i="27"/>
  <c r="J377" i="27"/>
  <c r="J414" i="27"/>
  <c r="J608" i="27"/>
  <c r="J607" i="27" s="1"/>
  <c r="J427" i="27"/>
  <c r="J568" i="27"/>
  <c r="J285" i="27"/>
  <c r="J331" i="27"/>
  <c r="J351" i="27"/>
  <c r="J425" i="27"/>
  <c r="J531" i="27"/>
  <c r="J687" i="27"/>
  <c r="J405" i="27"/>
  <c r="J491" i="27"/>
  <c r="J511" i="27"/>
  <c r="J465" i="27"/>
  <c r="J505" i="27"/>
  <c r="J510" i="27"/>
  <c r="J459" i="27"/>
  <c r="J623" i="27"/>
  <c r="J676" i="27"/>
  <c r="J75" i="27"/>
  <c r="J374" i="27"/>
  <c r="J49" i="27"/>
  <c r="J180" i="27"/>
  <c r="J221" i="27"/>
  <c r="J544" i="27"/>
  <c r="J51" i="27"/>
  <c r="J87" i="27"/>
  <c r="J133" i="27"/>
  <c r="J182" i="27"/>
  <c r="J235" i="27"/>
  <c r="J37" i="27"/>
  <c r="J148" i="27"/>
  <c r="J68" i="27"/>
  <c r="J136" i="27"/>
  <c r="J237" i="27"/>
  <c r="J294" i="27"/>
  <c r="J522" i="27"/>
  <c r="J22" i="27"/>
  <c r="J92" i="27"/>
  <c r="J230" i="27"/>
  <c r="J539" i="27"/>
  <c r="J66" i="27"/>
  <c r="J219" i="27"/>
  <c r="J242" i="27"/>
  <c r="J679" i="27"/>
  <c r="J63" i="27"/>
  <c r="J99" i="27"/>
  <c r="J245" i="27"/>
  <c r="J310" i="27"/>
  <c r="J662" i="27"/>
  <c r="J84" i="27"/>
  <c r="J181" i="27"/>
  <c r="J28" i="27"/>
  <c r="J64" i="27"/>
  <c r="J100" i="27"/>
  <c r="J145" i="27"/>
  <c r="J193" i="27"/>
  <c r="J236" i="27"/>
  <c r="J700" i="27"/>
  <c r="J141" i="27"/>
  <c r="J178" i="27"/>
  <c r="J202" i="27"/>
  <c r="J223" i="27"/>
  <c r="J304" i="27"/>
  <c r="J365" i="27"/>
  <c r="J85" i="27"/>
  <c r="J27" i="27"/>
  <c r="J52" i="27"/>
  <c r="J73" i="27"/>
  <c r="J91" i="27"/>
  <c r="J137" i="27"/>
  <c r="J168" i="27"/>
  <c r="J189" i="27"/>
  <c r="J261" i="27"/>
  <c r="J297" i="27"/>
  <c r="J585" i="27"/>
  <c r="J690" i="27"/>
  <c r="J292" i="27"/>
  <c r="J363" i="27"/>
  <c r="J426" i="27"/>
  <c r="J529" i="27"/>
  <c r="J545" i="27"/>
  <c r="J563" i="27"/>
  <c r="J586" i="27"/>
  <c r="J634" i="27"/>
  <c r="J691" i="27"/>
  <c r="J710" i="27"/>
  <c r="J524" i="27"/>
  <c r="J583" i="27"/>
  <c r="J600" i="27"/>
  <c r="J664" i="27"/>
  <c r="J681" i="27"/>
  <c r="J702" i="27"/>
  <c r="J277" i="27"/>
  <c r="J316" i="27"/>
  <c r="J399" i="27"/>
  <c r="J521" i="27"/>
  <c r="J538" i="27"/>
  <c r="J569" i="27"/>
  <c r="J620" i="27"/>
  <c r="J619" i="27" s="1"/>
  <c r="J699" i="27"/>
  <c r="J151" i="27"/>
  <c r="J56" i="27"/>
  <c r="E38" i="16" s="1"/>
  <c r="J578" i="27"/>
  <c r="J653" i="27"/>
  <c r="J406" i="27"/>
  <c r="J456" i="27"/>
  <c r="J480" i="27"/>
  <c r="J454" i="27"/>
  <c r="J446" i="27"/>
  <c r="J432" i="27"/>
  <c r="J452" i="27"/>
  <c r="J467" i="27"/>
  <c r="J479" i="27"/>
  <c r="J418" i="27"/>
  <c r="J215" i="27"/>
  <c r="J674" i="27"/>
  <c r="J250" i="27"/>
  <c r="J50" i="27"/>
  <c r="J625" i="27"/>
  <c r="J62" i="27"/>
  <c r="J170" i="27"/>
  <c r="J115" i="27"/>
  <c r="J111" i="27" s="1"/>
  <c r="J204" i="27"/>
  <c r="J693" i="27"/>
  <c r="J83" i="27"/>
  <c r="J211" i="27"/>
  <c r="J398" i="27"/>
  <c r="J231" i="27"/>
  <c r="J400" i="27"/>
  <c r="J43" i="27"/>
  <c r="J34" i="27"/>
  <c r="J72" i="27"/>
  <c r="J165" i="27"/>
  <c r="J247" i="27"/>
  <c r="J146" i="27"/>
  <c r="J184" i="27"/>
  <c r="J209" i="27"/>
  <c r="J228" i="27"/>
  <c r="J248" i="27"/>
  <c r="J315" i="27"/>
  <c r="J704" i="27"/>
  <c r="J94" i="27"/>
  <c r="J153" i="27"/>
  <c r="J32" i="27"/>
  <c r="J97" i="27"/>
  <c r="J142" i="27"/>
  <c r="J270" i="27"/>
  <c r="J308" i="27"/>
  <c r="J708" i="27"/>
  <c r="J318" i="27"/>
  <c r="J369" i="27"/>
  <c r="J401" i="27"/>
  <c r="J519" i="27"/>
  <c r="J567" i="27"/>
  <c r="J605" i="27"/>
  <c r="J645" i="27"/>
  <c r="J644" i="27" s="1"/>
  <c r="J695" i="27"/>
  <c r="J424" i="27"/>
  <c r="J530" i="27"/>
  <c r="J546" i="27"/>
  <c r="J564" i="27"/>
  <c r="J587" i="27"/>
  <c r="J604" i="27"/>
  <c r="J686" i="27"/>
  <c r="J706" i="27"/>
  <c r="J301" i="27"/>
  <c r="J344" i="27"/>
  <c r="J417" i="27"/>
  <c r="J543" i="27"/>
  <c r="J682" i="27"/>
  <c r="J703" i="27"/>
  <c r="J654" i="27"/>
  <c r="J403" i="27"/>
  <c r="J447" i="27"/>
  <c r="J504" i="27"/>
  <c r="J457" i="27"/>
  <c r="J478" i="27"/>
  <c r="J435" i="27"/>
  <c r="J449" i="27"/>
  <c r="J466" i="27"/>
  <c r="J455" i="27"/>
  <c r="J470" i="27"/>
  <c r="J508" i="27"/>
  <c r="J421" i="27"/>
  <c r="J624" i="27"/>
  <c r="J71" i="27"/>
  <c r="I641" i="27"/>
  <c r="J641" i="27" s="1"/>
  <c r="I615" i="27"/>
  <c r="F447" i="32" s="1"/>
  <c r="G447" i="32" s="1"/>
  <c r="J320" i="27"/>
  <c r="G476" i="27"/>
  <c r="I476" i="27" s="1"/>
  <c r="F237" i="32" s="1"/>
  <c r="G237" i="32" s="1"/>
  <c r="G506" i="27"/>
  <c r="I506" i="27" s="1"/>
  <c r="J506" i="27" s="1"/>
  <c r="I640" i="27"/>
  <c r="J640" i="27" s="1"/>
  <c r="G289" i="27"/>
  <c r="I289" i="27" s="1"/>
  <c r="J289" i="27" s="1"/>
  <c r="G282" i="27"/>
  <c r="I282" i="27" s="1"/>
  <c r="F238" i="32" s="1"/>
  <c r="G238" i="32" s="1"/>
  <c r="I650" i="27"/>
  <c r="J650" i="27" s="1"/>
  <c r="J212" i="27"/>
  <c r="J419" i="27"/>
  <c r="I574" i="27"/>
  <c r="F28" i="32" s="1"/>
  <c r="G28" i="32" s="1"/>
  <c r="J429" i="27"/>
  <c r="J360" i="27"/>
  <c r="J54" i="27"/>
  <c r="J367" i="27"/>
  <c r="J354" i="27"/>
  <c r="I388" i="27"/>
  <c r="F46" i="32" s="1"/>
  <c r="G46" i="32" s="1"/>
  <c r="J179" i="27"/>
  <c r="I596" i="27"/>
  <c r="F102" i="32" s="1"/>
  <c r="G102" i="32" s="1"/>
  <c r="I342" i="27"/>
  <c r="F352" i="32" s="1"/>
  <c r="G352" i="32" s="1"/>
  <c r="I299" i="27"/>
  <c r="F262" i="32" s="1"/>
  <c r="G262" i="32" s="1"/>
  <c r="J579" i="27"/>
  <c r="J657" i="27"/>
  <c r="J576" i="27"/>
  <c r="J668" i="27"/>
  <c r="J652" i="27"/>
  <c r="I638" i="27"/>
  <c r="F108" i="32" s="1"/>
  <c r="G108" i="32" s="1"/>
  <c r="J547" i="27"/>
  <c r="J355" i="27"/>
  <c r="J150" i="27"/>
  <c r="J361" i="27"/>
  <c r="J220" i="27"/>
  <c r="J380" i="27"/>
  <c r="J368" i="27"/>
  <c r="J55" i="27"/>
  <c r="I603" i="27"/>
  <c r="F393" i="32" s="1"/>
  <c r="G393" i="32" s="1"/>
  <c r="I25" i="27"/>
  <c r="F73" i="32" s="1"/>
  <c r="G73" i="32" s="1"/>
  <c r="I90" i="27"/>
  <c r="F37" i="32" s="1"/>
  <c r="G37" i="32" s="1"/>
  <c r="I203" i="27"/>
  <c r="F60" i="32" s="1"/>
  <c r="G60" i="32" s="1"/>
  <c r="I267" i="27"/>
  <c r="F307" i="32" s="1"/>
  <c r="G307" i="32" s="1"/>
  <c r="I378" i="27"/>
  <c r="F15" i="32" s="1"/>
  <c r="G15" i="32" s="1"/>
  <c r="I254" i="27"/>
  <c r="F119" i="32" s="1"/>
  <c r="G119" i="32" s="1"/>
  <c r="I296" i="27"/>
  <c r="F18" i="32" s="1"/>
  <c r="G18" i="32" s="1"/>
  <c r="I598" i="27"/>
  <c r="F401" i="32" s="1"/>
  <c r="G401" i="32" s="1"/>
  <c r="I540" i="27"/>
  <c r="F383" i="32" s="1"/>
  <c r="G383" i="32" s="1"/>
  <c r="I594" i="27"/>
  <c r="F16" i="32" s="1"/>
  <c r="G16" i="32" s="1"/>
  <c r="I217" i="27"/>
  <c r="F144" i="32" s="1"/>
  <c r="G144" i="32" s="1"/>
  <c r="I255" i="27"/>
  <c r="F85" i="32" s="1"/>
  <c r="G85" i="32" s="1"/>
  <c r="I106" i="27"/>
  <c r="F56" i="32" s="1"/>
  <c r="G56" i="32" s="1"/>
  <c r="I260" i="27"/>
  <c r="F350" i="32" s="1"/>
  <c r="G350" i="32" s="1"/>
  <c r="J208" i="27"/>
  <c r="I526" i="27"/>
  <c r="F244" i="32" s="1"/>
  <c r="G244" i="32" s="1"/>
  <c r="I291" i="27"/>
  <c r="F282" i="32" s="1"/>
  <c r="G282" i="32" s="1"/>
  <c r="I214" i="27"/>
  <c r="F223" i="32" s="1"/>
  <c r="G223" i="32" s="1"/>
  <c r="I199" i="27"/>
  <c r="F21" i="32" s="1"/>
  <c r="G21" i="32" s="1"/>
  <c r="I258" i="27"/>
  <c r="F246" i="32" s="1"/>
  <c r="G246" i="32" s="1"/>
  <c r="I176" i="27"/>
  <c r="F107" i="32" s="1"/>
  <c r="G107" i="32" s="1"/>
  <c r="I384" i="27"/>
  <c r="F17" i="32" s="1"/>
  <c r="G17" i="32" s="1"/>
  <c r="I269" i="27"/>
  <c r="F347" i="32" s="1"/>
  <c r="G347" i="32" s="1"/>
  <c r="I313" i="27"/>
  <c r="F156" i="32" s="1"/>
  <c r="G156" i="32" s="1"/>
  <c r="I573" i="27"/>
  <c r="F34" i="32" s="1"/>
  <c r="G34" i="32" s="1"/>
  <c r="I46" i="27"/>
  <c r="F440" i="32" s="1"/>
  <c r="G440" i="32" s="1"/>
  <c r="I685" i="27"/>
  <c r="F212" i="32" s="1"/>
  <c r="G212" i="32" s="1"/>
  <c r="I238" i="27"/>
  <c r="F39" i="32" s="1"/>
  <c r="G39" i="32" s="1"/>
  <c r="I24" i="27"/>
  <c r="F277" i="32" s="1"/>
  <c r="G277" i="32" s="1"/>
  <c r="I186" i="27"/>
  <c r="F206" i="32" s="1"/>
  <c r="G206" i="32" s="1"/>
  <c r="I314" i="27"/>
  <c r="F151" i="32" s="1"/>
  <c r="G151" i="32" s="1"/>
  <c r="I385" i="27"/>
  <c r="F50" i="32" s="1"/>
  <c r="G50" i="32" s="1"/>
  <c r="I597" i="27"/>
  <c r="F375" i="32" s="1"/>
  <c r="G375" i="32" s="1"/>
  <c r="I60" i="27"/>
  <c r="F14" i="32" s="1"/>
  <c r="G14" i="32" s="1"/>
  <c r="J187" i="27"/>
  <c r="I268" i="27"/>
  <c r="F115" i="32" s="1"/>
  <c r="G115" i="32" s="1"/>
  <c r="I174" i="27"/>
  <c r="F84" i="32" s="1"/>
  <c r="G84" i="32" s="1"/>
  <c r="J370" i="27"/>
  <c r="J643" i="27"/>
  <c r="J169" i="27"/>
  <c r="J300" i="27"/>
  <c r="J185" i="27"/>
  <c r="J283" i="27"/>
  <c r="J303" i="27"/>
  <c r="J589" i="27"/>
  <c r="J525" i="27"/>
  <c r="J534" i="27"/>
  <c r="J683" i="27"/>
  <c r="J272" i="27"/>
  <c r="J280" i="27"/>
  <c r="J61" i="27"/>
  <c r="J386" i="27"/>
  <c r="J542" i="27"/>
  <c r="J590" i="27"/>
  <c r="J40" i="27"/>
  <c r="J39" i="27" s="1"/>
  <c r="I26" i="16" s="1"/>
  <c r="J592" i="27"/>
  <c r="J279" i="27"/>
  <c r="J192" i="27"/>
  <c r="J107" i="27"/>
  <c r="J535" i="27"/>
  <c r="J275" i="27"/>
  <c r="J523" i="27"/>
  <c r="J639" i="27"/>
  <c r="J591" i="27"/>
  <c r="J532" i="27"/>
  <c r="J364" i="27"/>
  <c r="J95" i="27"/>
  <c r="J391" i="27"/>
  <c r="J102" i="27"/>
  <c r="J101" i="27"/>
  <c r="I673" i="27"/>
  <c r="F47" i="32" s="1"/>
  <c r="G47" i="32" s="1"/>
  <c r="I677" i="27"/>
  <c r="F410" i="32" s="1"/>
  <c r="G410" i="32" s="1"/>
  <c r="I675" i="27"/>
  <c r="F232" i="32" s="1"/>
  <c r="G232" i="32" s="1"/>
  <c r="I659" i="27"/>
  <c r="F27" i="32" s="1"/>
  <c r="G27" i="32" s="1"/>
  <c r="J125" i="27"/>
  <c r="I17" i="27"/>
  <c r="F8" i="32" s="1"/>
  <c r="G8" i="32" s="1"/>
  <c r="J118" i="27"/>
  <c r="I602" i="27"/>
  <c r="F288" i="32" s="1"/>
  <c r="G288" i="32" s="1"/>
  <c r="I601" i="27"/>
  <c r="F336" i="32" s="1"/>
  <c r="G336" i="32" s="1"/>
  <c r="J709" i="27" l="1"/>
  <c r="C171" i="16" s="1"/>
  <c r="F171" i="16" s="1"/>
  <c r="J167" i="27"/>
  <c r="J362" i="27"/>
  <c r="J194" i="27"/>
  <c r="K69" i="16"/>
  <c r="G69" i="16"/>
  <c r="E69" i="16"/>
  <c r="H69" i="16"/>
  <c r="J69" i="16"/>
  <c r="L69" i="16"/>
  <c r="I69" i="16"/>
  <c r="M69" i="16"/>
  <c r="F69" i="16"/>
  <c r="G67" i="16"/>
  <c r="M67" i="16"/>
  <c r="H67" i="16"/>
  <c r="K67" i="16"/>
  <c r="L67" i="16"/>
  <c r="F67" i="16"/>
  <c r="E67" i="16"/>
  <c r="I67" i="16"/>
  <c r="D68" i="16"/>
  <c r="N70" i="16"/>
  <c r="D69" i="16"/>
  <c r="J72" i="16"/>
  <c r="C71" i="16"/>
  <c r="J434" i="27"/>
  <c r="J616" i="27"/>
  <c r="J541" i="27"/>
  <c r="J503" i="27"/>
  <c r="J394" i="27"/>
  <c r="J431" i="27"/>
  <c r="J422" i="27"/>
  <c r="J660" i="27"/>
  <c r="F150" i="16" s="1"/>
  <c r="N150" i="16" s="1"/>
  <c r="J438" i="27"/>
  <c r="J507" i="27"/>
  <c r="G122" i="16" s="1"/>
  <c r="J461" i="27"/>
  <c r="J485" i="27"/>
  <c r="J615" i="27"/>
  <c r="J282" i="27"/>
  <c r="J238" i="27"/>
  <c r="J225" i="27" s="1"/>
  <c r="J526" i="27"/>
  <c r="J267" i="27"/>
  <c r="J601" i="27"/>
  <c r="J673" i="27"/>
  <c r="J60" i="27"/>
  <c r="J314" i="27"/>
  <c r="J685" i="27"/>
  <c r="J269" i="27"/>
  <c r="J199" i="27"/>
  <c r="J217" i="27"/>
  <c r="J296" i="27"/>
  <c r="J203" i="27"/>
  <c r="J299" i="27"/>
  <c r="J298" i="27" s="1"/>
  <c r="J388" i="27"/>
  <c r="J476" i="27"/>
  <c r="J475" i="27" s="1"/>
  <c r="J677" i="27"/>
  <c r="J385" i="27"/>
  <c r="J258" i="27"/>
  <c r="J598" i="27"/>
  <c r="J602" i="27"/>
  <c r="J659" i="27"/>
  <c r="J658" i="27" s="1"/>
  <c r="K148" i="16" s="1"/>
  <c r="J174" i="27"/>
  <c r="J597" i="27"/>
  <c r="J186" i="27"/>
  <c r="J46" i="27"/>
  <c r="J45" i="27" s="1"/>
  <c r="C31" i="16" s="1"/>
  <c r="J384" i="27"/>
  <c r="J214" i="27"/>
  <c r="J260" i="27"/>
  <c r="J594" i="27"/>
  <c r="J593" i="27" s="1"/>
  <c r="D138" i="16" s="1"/>
  <c r="D126" i="16" s="1"/>
  <c r="D124" i="16" s="1"/>
  <c r="J254" i="27"/>
  <c r="J90" i="27"/>
  <c r="J89" i="27" s="1"/>
  <c r="J342" i="27"/>
  <c r="J313" i="27"/>
  <c r="J255" i="27"/>
  <c r="J603" i="27"/>
  <c r="J675" i="27"/>
  <c r="J268" i="27"/>
  <c r="J24" i="27"/>
  <c r="J573" i="27"/>
  <c r="J176" i="27"/>
  <c r="J291" i="27"/>
  <c r="J106" i="27"/>
  <c r="J105" i="27" s="1"/>
  <c r="J104" i="27" s="1"/>
  <c r="D60" i="16" s="1"/>
  <c r="N60" i="16" s="1"/>
  <c r="J540" i="27"/>
  <c r="J378" i="27"/>
  <c r="J376" i="27" s="1"/>
  <c r="J25" i="27"/>
  <c r="J138" i="27"/>
  <c r="J638" i="27"/>
  <c r="J637" i="27" s="1"/>
  <c r="J596" i="27"/>
  <c r="J574" i="27"/>
  <c r="J649" i="27"/>
  <c r="J655" i="27"/>
  <c r="J357" i="27"/>
  <c r="D38" i="16"/>
  <c r="J416" i="27"/>
  <c r="J96" i="27"/>
  <c r="I281" i="27"/>
  <c r="F176" i="32" s="1"/>
  <c r="G176" i="32" s="1"/>
  <c r="I175" i="27"/>
  <c r="F294" i="32" s="1"/>
  <c r="G294" i="32" s="1"/>
  <c r="J373" i="27"/>
  <c r="C105" i="16" s="1"/>
  <c r="F105" i="16" s="1"/>
  <c r="J152" i="27"/>
  <c r="J17" i="27"/>
  <c r="J132" i="27"/>
  <c r="J348" i="27"/>
  <c r="J352" i="27"/>
  <c r="J697" i="27"/>
  <c r="C169" i="16" s="1"/>
  <c r="H169" i="16" s="1"/>
  <c r="J222" i="27"/>
  <c r="J694" i="27"/>
  <c r="M166" i="16" s="1"/>
  <c r="D20" i="16"/>
  <c r="J692" i="27"/>
  <c r="C163" i="16" s="1"/>
  <c r="I163" i="16" s="1"/>
  <c r="M20" i="16"/>
  <c r="M14" i="16" s="1"/>
  <c r="J293" i="27"/>
  <c r="L94" i="16" s="1"/>
  <c r="N94" i="16" s="1"/>
  <c r="E20" i="16"/>
  <c r="E14" i="16" s="1"/>
  <c r="J240" i="27"/>
  <c r="J191" i="27"/>
  <c r="L26" i="16"/>
  <c r="H26" i="16"/>
  <c r="F26" i="16"/>
  <c r="D26" i="16"/>
  <c r="G26" i="16"/>
  <c r="K26" i="16"/>
  <c r="E26" i="16"/>
  <c r="J26" i="16"/>
  <c r="C25" i="16"/>
  <c r="M26" i="16"/>
  <c r="M172" i="16" l="1"/>
  <c r="N172" i="16" s="1"/>
  <c r="P172" i="16" s="1"/>
  <c r="J307" i="27"/>
  <c r="M100" i="16" s="1"/>
  <c r="J562" i="27"/>
  <c r="C133" i="16" s="1"/>
  <c r="G133" i="16" s="1"/>
  <c r="J437" i="27"/>
  <c r="I71" i="16"/>
  <c r="E71" i="16"/>
  <c r="L71" i="16"/>
  <c r="K71" i="16"/>
  <c r="D71" i="16"/>
  <c r="F71" i="16"/>
  <c r="H71" i="16"/>
  <c r="M71" i="16"/>
  <c r="G71" i="16"/>
  <c r="J68" i="16"/>
  <c r="J67" i="16" s="1"/>
  <c r="N72" i="16"/>
  <c r="J71" i="16"/>
  <c r="D67" i="16"/>
  <c r="N68" i="16"/>
  <c r="N69" i="16"/>
  <c r="J430" i="27"/>
  <c r="K116" i="16" s="1"/>
  <c r="C149" i="16"/>
  <c r="D149" i="16" s="1"/>
  <c r="J612" i="27"/>
  <c r="J484" i="27"/>
  <c r="J120" i="16" s="1"/>
  <c r="L148" i="16"/>
  <c r="K122" i="16"/>
  <c r="J383" i="27"/>
  <c r="F110" i="16" s="1"/>
  <c r="F102" i="16" s="1"/>
  <c r="F74" i="16" s="1"/>
  <c r="C147" i="16"/>
  <c r="I122" i="16"/>
  <c r="F122" i="16"/>
  <c r="C121" i="16"/>
  <c r="G121" i="16" s="1"/>
  <c r="J122" i="16"/>
  <c r="H122" i="16"/>
  <c r="J672" i="27"/>
  <c r="J281" i="27"/>
  <c r="J253" i="27" s="1"/>
  <c r="J175" i="27"/>
  <c r="J646" i="27"/>
  <c r="C145" i="16" s="1"/>
  <c r="J347" i="27"/>
  <c r="K106" i="16"/>
  <c r="N106" i="16" s="1"/>
  <c r="P106" i="16" s="1"/>
  <c r="C63" i="16"/>
  <c r="F63" i="16" s="1"/>
  <c r="J412" i="27"/>
  <c r="J135" i="27"/>
  <c r="J74" i="27"/>
  <c r="C47" i="16" s="1"/>
  <c r="J54" i="16"/>
  <c r="J52" i="16" s="1"/>
  <c r="J163" i="27"/>
  <c r="J162" i="27" s="1"/>
  <c r="J48" i="27"/>
  <c r="D36" i="16" s="1"/>
  <c r="J689" i="27"/>
  <c r="M162" i="16" s="1"/>
  <c r="N162" i="16" s="1"/>
  <c r="C165" i="16"/>
  <c r="M165" i="16" s="1"/>
  <c r="J287" i="27"/>
  <c r="J59" i="27"/>
  <c r="C43" i="16" s="1"/>
  <c r="I43" i="16" s="1"/>
  <c r="J207" i="27"/>
  <c r="N138" i="16"/>
  <c r="J719" i="27"/>
  <c r="I176" i="16" s="1"/>
  <c r="E34" i="16"/>
  <c r="J678" i="27"/>
  <c r="C55" i="16"/>
  <c r="M55" i="16" s="1"/>
  <c r="C65" i="16"/>
  <c r="M164" i="16"/>
  <c r="N164" i="16" s="1"/>
  <c r="P164" i="16" s="1"/>
  <c r="C93" i="16"/>
  <c r="K93" i="16" s="1"/>
  <c r="J198" i="27"/>
  <c r="J84" i="16" s="1"/>
  <c r="N84" i="16" s="1"/>
  <c r="C97" i="16"/>
  <c r="G97" i="16" s="1"/>
  <c r="J528" i="27"/>
  <c r="K130" i="16" s="1"/>
  <c r="N130" i="16" s="1"/>
  <c r="J53" i="27"/>
  <c r="J16" i="27"/>
  <c r="J684" i="27"/>
  <c r="C157" i="16" s="1"/>
  <c r="I157" i="16" s="1"/>
  <c r="J42" i="27"/>
  <c r="J41" i="27" s="1"/>
  <c r="C27" i="16" s="1"/>
  <c r="J246" i="27"/>
  <c r="K90" i="16" s="1"/>
  <c r="L108" i="16"/>
  <c r="N108" i="16" s="1"/>
  <c r="J81" i="27"/>
  <c r="F50" i="16" s="1"/>
  <c r="J26" i="27"/>
  <c r="D18" i="16" s="1"/>
  <c r="J581" i="27"/>
  <c r="K136" i="16" s="1"/>
  <c r="N20" i="16"/>
  <c r="K132" i="16"/>
  <c r="J295" i="27"/>
  <c r="C95" i="16" s="1"/>
  <c r="G95" i="16" s="1"/>
  <c r="E32" i="16"/>
  <c r="N32" i="16" s="1"/>
  <c r="P32" i="16" s="1"/>
  <c r="C137" i="16"/>
  <c r="K137" i="16" s="1"/>
  <c r="J36" i="27"/>
  <c r="J35" i="27" s="1"/>
  <c r="C21" i="16" s="1"/>
  <c r="J213" i="27"/>
  <c r="J20" i="27"/>
  <c r="D16" i="16" s="1"/>
  <c r="N16" i="16" s="1"/>
  <c r="J224" i="27"/>
  <c r="I88" i="16" s="1"/>
  <c r="J67" i="27"/>
  <c r="C45" i="16" s="1"/>
  <c r="J31" i="27"/>
  <c r="C19" i="16" s="1"/>
  <c r="D19" i="16" s="1"/>
  <c r="H82" i="16"/>
  <c r="L105" i="16"/>
  <c r="M105" i="16"/>
  <c r="M170" i="16"/>
  <c r="M169" i="16" s="1"/>
  <c r="L170" i="16"/>
  <c r="L168" i="16" s="1"/>
  <c r="J696" i="27"/>
  <c r="C167" i="16" s="1"/>
  <c r="E167" i="16" s="1"/>
  <c r="E169" i="16"/>
  <c r="G105" i="16"/>
  <c r="D105" i="16"/>
  <c r="H105" i="16"/>
  <c r="G169" i="16"/>
  <c r="I105" i="16"/>
  <c r="E105" i="16"/>
  <c r="F169" i="16"/>
  <c r="D169" i="16"/>
  <c r="J169" i="16"/>
  <c r="J105" i="16"/>
  <c r="K169" i="16"/>
  <c r="I169" i="16"/>
  <c r="E171" i="16"/>
  <c r="G171" i="16"/>
  <c r="L171" i="16"/>
  <c r="D163" i="16"/>
  <c r="J163" i="16"/>
  <c r="G163" i="16"/>
  <c r="K163" i="16"/>
  <c r="L163" i="16"/>
  <c r="E163" i="16"/>
  <c r="F163" i="16"/>
  <c r="H163" i="16"/>
  <c r="K171" i="16"/>
  <c r="D171" i="16"/>
  <c r="I171" i="16"/>
  <c r="J171" i="16"/>
  <c r="H171" i="16"/>
  <c r="N166" i="16"/>
  <c r="M154" i="16"/>
  <c r="M152" i="16" s="1"/>
  <c r="C59" i="16"/>
  <c r="E59" i="16" s="1"/>
  <c r="K25" i="16"/>
  <c r="M22" i="16"/>
  <c r="M25" i="16"/>
  <c r="J22" i="16"/>
  <c r="J25" i="16"/>
  <c r="E22" i="16"/>
  <c r="E25" i="16"/>
  <c r="F22" i="16"/>
  <c r="F25" i="16"/>
  <c r="H22" i="16"/>
  <c r="H25" i="16"/>
  <c r="G22" i="16"/>
  <c r="G25" i="16"/>
  <c r="D22" i="16"/>
  <c r="D25" i="16"/>
  <c r="N26" i="16"/>
  <c r="P26" i="16" s="1"/>
  <c r="L22" i="16"/>
  <c r="L12" i="16" s="1"/>
  <c r="L25" i="16"/>
  <c r="I22" i="16"/>
  <c r="I25" i="16"/>
  <c r="G31" i="16"/>
  <c r="L31" i="16"/>
  <c r="K31" i="16"/>
  <c r="J31" i="16"/>
  <c r="I31" i="16"/>
  <c r="H31" i="16"/>
  <c r="F31" i="16"/>
  <c r="D31" i="16"/>
  <c r="M31" i="16"/>
  <c r="M171" i="16" l="1"/>
  <c r="J173" i="27"/>
  <c r="J172" i="27" s="1"/>
  <c r="J116" i="16"/>
  <c r="J40" i="16"/>
  <c r="N67" i="16"/>
  <c r="C115" i="16"/>
  <c r="E115" i="16" s="1"/>
  <c r="I116" i="16"/>
  <c r="H116" i="16"/>
  <c r="F116" i="16"/>
  <c r="G116" i="16"/>
  <c r="G115" i="16" s="1"/>
  <c r="N71" i="16"/>
  <c r="F149" i="16"/>
  <c r="E149" i="16"/>
  <c r="L149" i="16"/>
  <c r="M149" i="16"/>
  <c r="J149" i="16"/>
  <c r="G149" i="16"/>
  <c r="K149" i="16"/>
  <c r="I149" i="16"/>
  <c r="H149" i="16"/>
  <c r="P150" i="16"/>
  <c r="F120" i="16"/>
  <c r="C119" i="16"/>
  <c r="K120" i="16"/>
  <c r="I120" i="16"/>
  <c r="G120" i="16"/>
  <c r="H120" i="16"/>
  <c r="K121" i="16"/>
  <c r="F121" i="16"/>
  <c r="J671" i="27"/>
  <c r="L156" i="16" s="1"/>
  <c r="H121" i="16"/>
  <c r="I121" i="16"/>
  <c r="N122" i="16"/>
  <c r="J121" i="16"/>
  <c r="L146" i="16"/>
  <c r="J393" i="27"/>
  <c r="N36" i="16"/>
  <c r="D34" i="16"/>
  <c r="N34" i="16" s="1"/>
  <c r="J47" i="27"/>
  <c r="C33" i="16" s="1"/>
  <c r="J33" i="16" s="1"/>
  <c r="C37" i="16"/>
  <c r="G37" i="16" s="1"/>
  <c r="K105" i="16"/>
  <c r="N105" i="16" s="1"/>
  <c r="F48" i="16"/>
  <c r="N48" i="16" s="1"/>
  <c r="P48" i="16" s="1"/>
  <c r="J131" i="27"/>
  <c r="E62" i="16" s="1"/>
  <c r="C29" i="16"/>
  <c r="M29" i="16" s="1"/>
  <c r="C49" i="16"/>
  <c r="J49" i="16" s="1"/>
  <c r="E93" i="16"/>
  <c r="C35" i="16"/>
  <c r="F35" i="16" s="1"/>
  <c r="N25" i="16"/>
  <c r="C17" i="16"/>
  <c r="K17" i="16" s="1"/>
  <c r="H165" i="16"/>
  <c r="P166" i="16"/>
  <c r="I165" i="16"/>
  <c r="K165" i="16"/>
  <c r="N38" i="16"/>
  <c r="E165" i="16"/>
  <c r="G93" i="16"/>
  <c r="M93" i="16"/>
  <c r="J206" i="27"/>
  <c r="G176" i="16"/>
  <c r="G174" i="16" s="1"/>
  <c r="J176" i="16"/>
  <c r="J174" i="16" s="1"/>
  <c r="F176" i="16"/>
  <c r="F174" i="16" s="1"/>
  <c r="D165" i="16"/>
  <c r="G165" i="16"/>
  <c r="J165" i="16"/>
  <c r="L165" i="16"/>
  <c r="F165" i="16"/>
  <c r="C161" i="16"/>
  <c r="J688" i="27"/>
  <c r="C159" i="16" s="1"/>
  <c r="D159" i="16" s="1"/>
  <c r="H137" i="16"/>
  <c r="J252" i="27"/>
  <c r="L92" i="16" s="1"/>
  <c r="E64" i="16"/>
  <c r="E63" i="16" s="1"/>
  <c r="E43" i="16"/>
  <c r="K43" i="16"/>
  <c r="H43" i="16"/>
  <c r="G43" i="16"/>
  <c r="L43" i="16"/>
  <c r="D43" i="16"/>
  <c r="F44" i="16"/>
  <c r="N44" i="16" s="1"/>
  <c r="P44" i="16" s="1"/>
  <c r="J43" i="16"/>
  <c r="M43" i="16"/>
  <c r="L176" i="16"/>
  <c r="L174" i="16" s="1"/>
  <c r="K176" i="16"/>
  <c r="K174" i="16" s="1"/>
  <c r="J718" i="27"/>
  <c r="H176" i="16"/>
  <c r="H174" i="16" s="1"/>
  <c r="C175" i="16"/>
  <c r="D175" i="16" s="1"/>
  <c r="M176" i="16"/>
  <c r="M174" i="16" s="1"/>
  <c r="H54" i="16"/>
  <c r="H52" i="16" s="1"/>
  <c r="C135" i="16"/>
  <c r="E135" i="16" s="1"/>
  <c r="L158" i="16"/>
  <c r="L157" i="16" s="1"/>
  <c r="G56" i="16"/>
  <c r="G40" i="16" s="1"/>
  <c r="F56" i="16"/>
  <c r="F55" i="16" s="1"/>
  <c r="H56" i="16"/>
  <c r="H55" i="16" s="1"/>
  <c r="K158" i="16"/>
  <c r="M163" i="16"/>
  <c r="N163" i="16" s="1"/>
  <c r="J58" i="27"/>
  <c r="C89" i="16"/>
  <c r="I89" i="16" s="1"/>
  <c r="F46" i="16"/>
  <c r="F45" i="16" s="1"/>
  <c r="J595" i="27"/>
  <c r="C139" i="16" s="1"/>
  <c r="J139" i="16" s="1"/>
  <c r="E66" i="16"/>
  <c r="N66" i="16" s="1"/>
  <c r="P66" i="16" s="1"/>
  <c r="M160" i="16"/>
  <c r="N160" i="16" s="1"/>
  <c r="L93" i="16"/>
  <c r="C107" i="16"/>
  <c r="I107" i="16" s="1"/>
  <c r="M98" i="16"/>
  <c r="N98" i="16" s="1"/>
  <c r="P98" i="16" s="1"/>
  <c r="C83" i="16"/>
  <c r="E83" i="16" s="1"/>
  <c r="C53" i="16"/>
  <c r="K53" i="16" s="1"/>
  <c r="I93" i="16"/>
  <c r="J88" i="27"/>
  <c r="C51" i="16" s="1"/>
  <c r="L51" i="16" s="1"/>
  <c r="C129" i="16"/>
  <c r="J129" i="16" s="1"/>
  <c r="P94" i="16"/>
  <c r="D93" i="16"/>
  <c r="M63" i="16"/>
  <c r="K63" i="16"/>
  <c r="J63" i="16"/>
  <c r="I63" i="16"/>
  <c r="H63" i="16"/>
  <c r="H93" i="16"/>
  <c r="F93" i="16"/>
  <c r="J93" i="16"/>
  <c r="D64" i="16"/>
  <c r="D63" i="16" s="1"/>
  <c r="K24" i="16"/>
  <c r="N24" i="16" s="1"/>
  <c r="L100" i="16"/>
  <c r="N100" i="16" s="1"/>
  <c r="J132" i="16"/>
  <c r="N132" i="16" s="1"/>
  <c r="L19" i="16"/>
  <c r="C99" i="16"/>
  <c r="G99" i="16" s="1"/>
  <c r="H88" i="16"/>
  <c r="M19" i="16"/>
  <c r="G19" i="16"/>
  <c r="E31" i="16"/>
  <c r="N31" i="16" s="1"/>
  <c r="I19" i="16"/>
  <c r="G88" i="16"/>
  <c r="C87" i="16"/>
  <c r="L87" i="16" s="1"/>
  <c r="F19" i="16"/>
  <c r="L96" i="16"/>
  <c r="N96" i="16" s="1"/>
  <c r="P96" i="16" s="1"/>
  <c r="P20" i="16"/>
  <c r="H19" i="16"/>
  <c r="C131" i="16"/>
  <c r="I131" i="16" s="1"/>
  <c r="K19" i="16"/>
  <c r="D15" i="2"/>
  <c r="C15" i="16"/>
  <c r="H15" i="16" s="1"/>
  <c r="G137" i="16"/>
  <c r="C109" i="16"/>
  <c r="K109" i="16" s="1"/>
  <c r="E30" i="16"/>
  <c r="E28" i="16" s="1"/>
  <c r="E27" i="16" s="1"/>
  <c r="E19" i="16"/>
  <c r="J19" i="16"/>
  <c r="J136" i="16"/>
  <c r="N136" i="16" s="1"/>
  <c r="J90" i="16"/>
  <c r="E137" i="16"/>
  <c r="C9" i="16"/>
  <c r="J19" i="27"/>
  <c r="C13" i="16" s="1"/>
  <c r="F13" i="16" s="1"/>
  <c r="P138" i="16"/>
  <c r="L63" i="16"/>
  <c r="G63" i="16"/>
  <c r="J137" i="16"/>
  <c r="L137" i="16"/>
  <c r="M88" i="16"/>
  <c r="J88" i="16"/>
  <c r="K88" i="16"/>
  <c r="K76" i="16" s="1"/>
  <c r="L134" i="16"/>
  <c r="L133" i="16" s="1"/>
  <c r="K134" i="16"/>
  <c r="N110" i="16"/>
  <c r="C23" i="16"/>
  <c r="F23" i="16" s="1"/>
  <c r="E21" i="16"/>
  <c r="I137" i="16"/>
  <c r="F137" i="16"/>
  <c r="D137" i="16"/>
  <c r="M137" i="16"/>
  <c r="L169" i="16"/>
  <c r="N169" i="16" s="1"/>
  <c r="M168" i="16"/>
  <c r="M167" i="16" s="1"/>
  <c r="I167" i="16"/>
  <c r="J167" i="16"/>
  <c r="D31" i="2"/>
  <c r="K167" i="16"/>
  <c r="H167" i="16"/>
  <c r="L167" i="16"/>
  <c r="N170" i="16"/>
  <c r="P170" i="16" s="1"/>
  <c r="F167" i="16"/>
  <c r="G167" i="16"/>
  <c r="D167" i="16"/>
  <c r="F157" i="16"/>
  <c r="D157" i="16"/>
  <c r="G157" i="16"/>
  <c r="M157" i="16"/>
  <c r="J55" i="16"/>
  <c r="E157" i="16"/>
  <c r="J157" i="16"/>
  <c r="K97" i="16"/>
  <c r="H97" i="16"/>
  <c r="H157" i="16"/>
  <c r="F95" i="16"/>
  <c r="I78" i="16"/>
  <c r="H78" i="16"/>
  <c r="M95" i="16"/>
  <c r="D97" i="16"/>
  <c r="E133" i="16"/>
  <c r="J95" i="16"/>
  <c r="F133" i="16"/>
  <c r="H95" i="16"/>
  <c r="J97" i="16"/>
  <c r="J133" i="16"/>
  <c r="E95" i="16"/>
  <c r="I95" i="16"/>
  <c r="D133" i="16"/>
  <c r="F97" i="16"/>
  <c r="K95" i="16"/>
  <c r="I133" i="16"/>
  <c r="D95" i="16"/>
  <c r="E97" i="16"/>
  <c r="L97" i="16"/>
  <c r="I97" i="16"/>
  <c r="H133" i="16"/>
  <c r="M133" i="16"/>
  <c r="N171" i="16"/>
  <c r="E55" i="16"/>
  <c r="L55" i="16"/>
  <c r="I55" i="16"/>
  <c r="D55" i="16"/>
  <c r="K55" i="16"/>
  <c r="C77" i="16"/>
  <c r="G78" i="16"/>
  <c r="L102" i="16"/>
  <c r="I82" i="16"/>
  <c r="D59" i="16"/>
  <c r="M59" i="16"/>
  <c r="H59" i="16"/>
  <c r="I59" i="16"/>
  <c r="G59" i="16"/>
  <c r="J59" i="16"/>
  <c r="P60" i="16"/>
  <c r="F59" i="16"/>
  <c r="K59" i="16"/>
  <c r="L59" i="16"/>
  <c r="I174" i="16"/>
  <c r="M21" i="16"/>
  <c r="M12" i="16"/>
  <c r="L21" i="16"/>
  <c r="D21" i="16"/>
  <c r="M47" i="16"/>
  <c r="K47" i="16"/>
  <c r="I47" i="16"/>
  <c r="J47" i="16"/>
  <c r="H47" i="16"/>
  <c r="G47" i="16"/>
  <c r="E47" i="16"/>
  <c r="D47" i="16"/>
  <c r="L47" i="16"/>
  <c r="N18" i="16"/>
  <c r="D14" i="16"/>
  <c r="G45" i="16"/>
  <c r="K45" i="16"/>
  <c r="D45" i="16"/>
  <c r="L45" i="16"/>
  <c r="E45" i="16"/>
  <c r="J45" i="16"/>
  <c r="M45" i="16"/>
  <c r="I45" i="16"/>
  <c r="H45" i="16"/>
  <c r="K65" i="16"/>
  <c r="I65" i="16"/>
  <c r="M65" i="16"/>
  <c r="H65" i="16"/>
  <c r="F65" i="16"/>
  <c r="L65" i="16"/>
  <c r="J65" i="16"/>
  <c r="D65" i="16"/>
  <c r="G65" i="16"/>
  <c r="G12" i="16"/>
  <c r="G21" i="16"/>
  <c r="J12" i="16"/>
  <c r="J21" i="16"/>
  <c r="I21" i="16"/>
  <c r="I12" i="16"/>
  <c r="H12" i="16"/>
  <c r="H21" i="16"/>
  <c r="F12" i="16"/>
  <c r="F21" i="16"/>
  <c r="N50" i="16"/>
  <c r="L112" i="16"/>
  <c r="C81" i="16"/>
  <c r="G27" i="16"/>
  <c r="F27" i="16"/>
  <c r="D27" i="16"/>
  <c r="M27" i="16"/>
  <c r="K27" i="16"/>
  <c r="L27" i="16"/>
  <c r="J27" i="16"/>
  <c r="I27" i="16"/>
  <c r="H27" i="16"/>
  <c r="H80" i="16" l="1"/>
  <c r="I80" i="16"/>
  <c r="C79" i="16"/>
  <c r="F79" i="16" s="1"/>
  <c r="M115" i="16"/>
  <c r="I115" i="16"/>
  <c r="F115" i="16"/>
  <c r="J115" i="16"/>
  <c r="L115" i="16"/>
  <c r="D115" i="16"/>
  <c r="H115" i="16"/>
  <c r="N52" i="16"/>
  <c r="P52" i="16" s="1"/>
  <c r="H40" i="16"/>
  <c r="C41" i="16"/>
  <c r="H41" i="16" s="1"/>
  <c r="N149" i="16"/>
  <c r="N158" i="16"/>
  <c r="P158" i="16" s="1"/>
  <c r="M10" i="16"/>
  <c r="M9" i="16" s="1"/>
  <c r="I10" i="16"/>
  <c r="I9" i="16" s="1"/>
  <c r="E10" i="16"/>
  <c r="E9" i="16" s="1"/>
  <c r="F10" i="16"/>
  <c r="F9" i="16" s="1"/>
  <c r="L10" i="16"/>
  <c r="L9" i="16" s="1"/>
  <c r="H10" i="16"/>
  <c r="H9" i="16" s="1"/>
  <c r="D10" i="16"/>
  <c r="D9" i="16" s="1"/>
  <c r="K10" i="16"/>
  <c r="K9" i="16" s="1"/>
  <c r="G10" i="16"/>
  <c r="G9" i="16" s="1"/>
  <c r="J10" i="16"/>
  <c r="J9" i="16" s="1"/>
  <c r="J670" i="27"/>
  <c r="J669" i="27" s="1"/>
  <c r="K156" i="16"/>
  <c r="K154" i="16" s="1"/>
  <c r="K152" i="16" s="1"/>
  <c r="C155" i="16"/>
  <c r="F155" i="16" s="1"/>
  <c r="N121" i="16"/>
  <c r="J114" i="16"/>
  <c r="F114" i="16"/>
  <c r="F112" i="16" s="1"/>
  <c r="I114" i="16"/>
  <c r="C113" i="16"/>
  <c r="L113" i="16" s="1"/>
  <c r="H114" i="16"/>
  <c r="K114" i="16"/>
  <c r="K112" i="16" s="1"/>
  <c r="G114" i="16"/>
  <c r="G112" i="16" s="1"/>
  <c r="J37" i="16"/>
  <c r="E37" i="16"/>
  <c r="D37" i="16"/>
  <c r="H37" i="16"/>
  <c r="K37" i="16"/>
  <c r="M37" i="16"/>
  <c r="P38" i="16"/>
  <c r="I37" i="16"/>
  <c r="F37" i="16"/>
  <c r="L37" i="16"/>
  <c r="F47" i="16"/>
  <c r="N47" i="16" s="1"/>
  <c r="G29" i="16"/>
  <c r="J103" i="27"/>
  <c r="C57" i="16" s="1"/>
  <c r="H57" i="16" s="1"/>
  <c r="K29" i="16"/>
  <c r="I175" i="16"/>
  <c r="D62" i="16"/>
  <c r="N62" i="16" s="1"/>
  <c r="C61" i="16"/>
  <c r="J61" i="16" s="1"/>
  <c r="H29" i="16"/>
  <c r="F29" i="16"/>
  <c r="I29" i="16"/>
  <c r="D29" i="16"/>
  <c r="J29" i="16"/>
  <c r="L29" i="16"/>
  <c r="F17" i="16"/>
  <c r="D17" i="16"/>
  <c r="I17" i="16"/>
  <c r="G17" i="16"/>
  <c r="G49" i="16"/>
  <c r="I119" i="16"/>
  <c r="H49" i="16"/>
  <c r="L33" i="16"/>
  <c r="K49" i="16"/>
  <c r="P50" i="16"/>
  <c r="I33" i="16"/>
  <c r="G33" i="16"/>
  <c r="L49" i="16"/>
  <c r="F49" i="16"/>
  <c r="E33" i="16"/>
  <c r="D49" i="16"/>
  <c r="M49" i="16"/>
  <c r="D33" i="16"/>
  <c r="I49" i="16"/>
  <c r="E49" i="16"/>
  <c r="M35" i="16"/>
  <c r="L35" i="16"/>
  <c r="H33" i="16"/>
  <c r="M33" i="16"/>
  <c r="P34" i="16"/>
  <c r="P36" i="16"/>
  <c r="E35" i="16"/>
  <c r="K33" i="16"/>
  <c r="F33" i="16"/>
  <c r="C91" i="16"/>
  <c r="J91" i="16" s="1"/>
  <c r="M92" i="16"/>
  <c r="N92" i="16" s="1"/>
  <c r="I35" i="16"/>
  <c r="H35" i="16"/>
  <c r="J35" i="16"/>
  <c r="K35" i="16"/>
  <c r="G35" i="16"/>
  <c r="G161" i="16"/>
  <c r="H161" i="16"/>
  <c r="L161" i="16"/>
  <c r="D35" i="16"/>
  <c r="C173" i="16"/>
  <c r="L173" i="16" s="1"/>
  <c r="D33" i="2"/>
  <c r="E119" i="16"/>
  <c r="L119" i="16"/>
  <c r="M119" i="16"/>
  <c r="H86" i="16"/>
  <c r="H76" i="16" s="1"/>
  <c r="H74" i="16" s="1"/>
  <c r="J86" i="16"/>
  <c r="J76" i="16" s="1"/>
  <c r="F119" i="16"/>
  <c r="M161" i="16"/>
  <c r="F161" i="16"/>
  <c r="G55" i="16"/>
  <c r="N55" i="16" s="1"/>
  <c r="K159" i="16"/>
  <c r="J17" i="16"/>
  <c r="E159" i="16"/>
  <c r="H175" i="16"/>
  <c r="H17" i="16"/>
  <c r="P18" i="16"/>
  <c r="E17" i="16"/>
  <c r="P162" i="16"/>
  <c r="J161" i="16"/>
  <c r="L17" i="16"/>
  <c r="I161" i="16"/>
  <c r="E161" i="16"/>
  <c r="M17" i="16"/>
  <c r="J205" i="27"/>
  <c r="J161" i="27" s="1"/>
  <c r="C75" i="16" s="1"/>
  <c r="M86" i="16"/>
  <c r="J119" i="16"/>
  <c r="D119" i="16"/>
  <c r="N120" i="16"/>
  <c r="P120" i="16" s="1"/>
  <c r="I159" i="16"/>
  <c r="P160" i="16"/>
  <c r="G159" i="16"/>
  <c r="J159" i="16"/>
  <c r="F159" i="16"/>
  <c r="N116" i="16"/>
  <c r="P116" i="16" s="1"/>
  <c r="D29" i="2"/>
  <c r="L159" i="16"/>
  <c r="H159" i="16"/>
  <c r="G131" i="16"/>
  <c r="C85" i="16"/>
  <c r="K161" i="16"/>
  <c r="D161" i="16"/>
  <c r="E65" i="16"/>
  <c r="N65" i="16" s="1"/>
  <c r="I86" i="16"/>
  <c r="H119" i="16"/>
  <c r="F83" i="16"/>
  <c r="G175" i="16"/>
  <c r="N165" i="16"/>
  <c r="L154" i="16"/>
  <c r="L152" i="16" s="1"/>
  <c r="H135" i="16"/>
  <c r="E131" i="16"/>
  <c r="G109" i="16"/>
  <c r="L83" i="16"/>
  <c r="L175" i="16"/>
  <c r="N64" i="16"/>
  <c r="P64" i="16" s="1"/>
  <c r="M53" i="16"/>
  <c r="D53" i="16"/>
  <c r="H53" i="16"/>
  <c r="J53" i="16"/>
  <c r="E53" i="16"/>
  <c r="I53" i="16"/>
  <c r="G53" i="16"/>
  <c r="N54" i="16"/>
  <c r="P54" i="16" s="1"/>
  <c r="L53" i="16"/>
  <c r="N46" i="16"/>
  <c r="P46" i="16" s="1"/>
  <c r="F43" i="16"/>
  <c r="N43" i="16" s="1"/>
  <c r="F42" i="16"/>
  <c r="E29" i="16"/>
  <c r="J175" i="16"/>
  <c r="M175" i="16"/>
  <c r="D135" i="16"/>
  <c r="F175" i="16"/>
  <c r="K175" i="16"/>
  <c r="F135" i="16"/>
  <c r="M135" i="16"/>
  <c r="L135" i="16"/>
  <c r="P136" i="16"/>
  <c r="N176" i="16"/>
  <c r="P176" i="16" s="1"/>
  <c r="E175" i="16"/>
  <c r="K135" i="16"/>
  <c r="I135" i="16"/>
  <c r="G135" i="16"/>
  <c r="G119" i="16"/>
  <c r="N56" i="16"/>
  <c r="P56" i="16" s="1"/>
  <c r="G83" i="16"/>
  <c r="H83" i="16"/>
  <c r="I83" i="16"/>
  <c r="D83" i="16"/>
  <c r="M83" i="16"/>
  <c r="P84" i="16"/>
  <c r="K83" i="16"/>
  <c r="J83" i="16"/>
  <c r="H89" i="16"/>
  <c r="J89" i="16"/>
  <c r="K129" i="16"/>
  <c r="D129" i="16"/>
  <c r="F89" i="16"/>
  <c r="P130" i="16"/>
  <c r="H129" i="16"/>
  <c r="M89" i="16"/>
  <c r="E89" i="16"/>
  <c r="I129" i="16"/>
  <c r="G89" i="16"/>
  <c r="M129" i="16"/>
  <c r="K89" i="16"/>
  <c r="D89" i="16"/>
  <c r="L129" i="16"/>
  <c r="F51" i="16"/>
  <c r="I51" i="16"/>
  <c r="K51" i="16"/>
  <c r="G51" i="16"/>
  <c r="J51" i="16"/>
  <c r="M51" i="16"/>
  <c r="D51" i="16"/>
  <c r="E51" i="16"/>
  <c r="J135" i="16"/>
  <c r="L89" i="16"/>
  <c r="G129" i="16"/>
  <c r="E129" i="16"/>
  <c r="M140" i="16"/>
  <c r="M124" i="16" s="1"/>
  <c r="H131" i="16"/>
  <c r="K22" i="16"/>
  <c r="K21" i="16" s="1"/>
  <c r="N21" i="16" s="1"/>
  <c r="F53" i="16"/>
  <c r="D131" i="16"/>
  <c r="E58" i="16"/>
  <c r="E40" i="16" s="1"/>
  <c r="N63" i="16"/>
  <c r="P132" i="16"/>
  <c r="K99" i="16"/>
  <c r="M159" i="16"/>
  <c r="E13" i="16"/>
  <c r="F129" i="16"/>
  <c r="L107" i="16"/>
  <c r="P108" i="16"/>
  <c r="D107" i="16"/>
  <c r="H107" i="16"/>
  <c r="M13" i="16"/>
  <c r="E99" i="16"/>
  <c r="J13" i="16"/>
  <c r="J99" i="16"/>
  <c r="G107" i="16"/>
  <c r="K13" i="16"/>
  <c r="I99" i="16"/>
  <c r="M107" i="16"/>
  <c r="E12" i="16"/>
  <c r="H13" i="16"/>
  <c r="F99" i="16"/>
  <c r="N28" i="16"/>
  <c r="P28" i="16" s="1"/>
  <c r="L13" i="16"/>
  <c r="K107" i="16"/>
  <c r="G13" i="16"/>
  <c r="D99" i="16"/>
  <c r="M99" i="16"/>
  <c r="I109" i="16"/>
  <c r="P110" i="16"/>
  <c r="M109" i="16"/>
  <c r="D109" i="16"/>
  <c r="E107" i="16"/>
  <c r="H109" i="16"/>
  <c r="F109" i="16"/>
  <c r="E109" i="16"/>
  <c r="L109" i="16"/>
  <c r="F107" i="16"/>
  <c r="J109" i="16"/>
  <c r="J107" i="16"/>
  <c r="N93" i="16"/>
  <c r="M97" i="16"/>
  <c r="N97" i="16" s="1"/>
  <c r="H99" i="16"/>
  <c r="L23" i="16"/>
  <c r="P100" i="16"/>
  <c r="H87" i="16"/>
  <c r="F15" i="16"/>
  <c r="M15" i="16"/>
  <c r="K15" i="16"/>
  <c r="L99" i="16"/>
  <c r="L95" i="16"/>
  <c r="N95" i="16" s="1"/>
  <c r="D15" i="16"/>
  <c r="M23" i="16"/>
  <c r="M87" i="16"/>
  <c r="N90" i="16"/>
  <c r="P90" i="16" s="1"/>
  <c r="E23" i="16"/>
  <c r="F87" i="16"/>
  <c r="I23" i="16"/>
  <c r="E87" i="16"/>
  <c r="K23" i="16"/>
  <c r="D87" i="16"/>
  <c r="J23" i="16"/>
  <c r="D23" i="16"/>
  <c r="G87" i="16"/>
  <c r="P24" i="16"/>
  <c r="J131" i="16"/>
  <c r="H23" i="16"/>
  <c r="G23" i="16"/>
  <c r="M131" i="16"/>
  <c r="K131" i="16"/>
  <c r="L131" i="16"/>
  <c r="F131" i="16"/>
  <c r="N19" i="16"/>
  <c r="N88" i="16"/>
  <c r="P88" i="16" s="1"/>
  <c r="N134" i="16"/>
  <c r="P134" i="16" s="1"/>
  <c r="G15" i="16"/>
  <c r="E15" i="16"/>
  <c r="I15" i="16"/>
  <c r="J15" i="16"/>
  <c r="N30" i="16"/>
  <c r="P30" i="16" s="1"/>
  <c r="J18" i="27"/>
  <c r="C11" i="16" s="1"/>
  <c r="I11" i="16" s="1"/>
  <c r="L15" i="16"/>
  <c r="P16" i="16"/>
  <c r="I13" i="16"/>
  <c r="K133" i="16"/>
  <c r="N133" i="16" s="1"/>
  <c r="N137" i="16"/>
  <c r="N168" i="16"/>
  <c r="P168" i="16" s="1"/>
  <c r="N167" i="16"/>
  <c r="N157" i="16"/>
  <c r="I139" i="16"/>
  <c r="L139" i="16"/>
  <c r="H139" i="16"/>
  <c r="D139" i="16"/>
  <c r="K139" i="16"/>
  <c r="G139" i="16"/>
  <c r="F139" i="16"/>
  <c r="E139" i="16"/>
  <c r="N82" i="16"/>
  <c r="P82" i="16" s="1"/>
  <c r="J81" i="16"/>
  <c r="G77" i="16"/>
  <c r="G76" i="16"/>
  <c r="G74" i="16" s="1"/>
  <c r="N78" i="16"/>
  <c r="P78" i="16" s="1"/>
  <c r="K77" i="16"/>
  <c r="H77" i="16"/>
  <c r="E77" i="16"/>
  <c r="L77" i="16"/>
  <c r="M77" i="16"/>
  <c r="F77" i="16"/>
  <c r="D77" i="16"/>
  <c r="J77" i="16"/>
  <c r="L76" i="16"/>
  <c r="L74" i="16" s="1"/>
  <c r="N59" i="16"/>
  <c r="H51" i="16"/>
  <c r="N174" i="16"/>
  <c r="N45" i="16"/>
  <c r="N14" i="16"/>
  <c r="P14" i="16" s="1"/>
  <c r="D12" i="16"/>
  <c r="D13" i="16"/>
  <c r="N27" i="16"/>
  <c r="I81" i="16"/>
  <c r="L81" i="16"/>
  <c r="D81" i="16"/>
  <c r="M81" i="16"/>
  <c r="K81" i="16"/>
  <c r="E81" i="16"/>
  <c r="G81" i="16"/>
  <c r="F81" i="16"/>
  <c r="H81" i="16"/>
  <c r="M79" i="16" l="1"/>
  <c r="G79" i="16"/>
  <c r="H79" i="16"/>
  <c r="N80" i="16"/>
  <c r="P80" i="16" s="1"/>
  <c r="I76" i="16"/>
  <c r="I75" i="16" s="1"/>
  <c r="D79" i="16"/>
  <c r="E79" i="16"/>
  <c r="K79" i="16"/>
  <c r="I79" i="16"/>
  <c r="J79" i="16"/>
  <c r="L79" i="16"/>
  <c r="N115" i="16"/>
  <c r="G41" i="16"/>
  <c r="D41" i="16"/>
  <c r="E41" i="16"/>
  <c r="K41" i="16"/>
  <c r="I41" i="16"/>
  <c r="J41" i="16"/>
  <c r="L41" i="16"/>
  <c r="M41" i="16"/>
  <c r="N42" i="16"/>
  <c r="P42" i="16" s="1"/>
  <c r="F40" i="16"/>
  <c r="J57" i="27"/>
  <c r="C39" i="16" s="1"/>
  <c r="I39" i="16" s="1"/>
  <c r="D155" i="16"/>
  <c r="C153" i="16"/>
  <c r="K153" i="16" s="1"/>
  <c r="N10" i="16"/>
  <c r="P10" i="16" s="1"/>
  <c r="K155" i="16"/>
  <c r="M155" i="16"/>
  <c r="N156" i="16"/>
  <c r="P156" i="16" s="1"/>
  <c r="H155" i="16"/>
  <c r="E155" i="16"/>
  <c r="L155" i="16"/>
  <c r="G155" i="16"/>
  <c r="I155" i="16"/>
  <c r="J155" i="16"/>
  <c r="H113" i="16"/>
  <c r="F113" i="16"/>
  <c r="E113" i="16"/>
  <c r="D113" i="16"/>
  <c r="M113" i="16"/>
  <c r="J113" i="16"/>
  <c r="N114" i="16"/>
  <c r="P114" i="16" s="1"/>
  <c r="G113" i="16"/>
  <c r="I113" i="16"/>
  <c r="K57" i="16"/>
  <c r="E57" i="16"/>
  <c r="N37" i="16"/>
  <c r="M173" i="16"/>
  <c r="F173" i="16"/>
  <c r="M57" i="16"/>
  <c r="G57" i="16"/>
  <c r="J57" i="16"/>
  <c r="F57" i="16"/>
  <c r="L57" i="16"/>
  <c r="I57" i="16"/>
  <c r="M85" i="16"/>
  <c r="H61" i="16"/>
  <c r="I61" i="16"/>
  <c r="D58" i="16"/>
  <c r="P62" i="16"/>
  <c r="G61" i="16"/>
  <c r="D61" i="16"/>
  <c r="E61" i="16"/>
  <c r="K61" i="16"/>
  <c r="F61" i="16"/>
  <c r="L61" i="16"/>
  <c r="M61" i="16"/>
  <c r="N29" i="16"/>
  <c r="I173" i="16"/>
  <c r="E91" i="16"/>
  <c r="K91" i="16"/>
  <c r="D91" i="16"/>
  <c r="F91" i="16"/>
  <c r="P92" i="16"/>
  <c r="H91" i="16"/>
  <c r="G91" i="16"/>
  <c r="I91" i="16"/>
  <c r="L91" i="16"/>
  <c r="N33" i="16"/>
  <c r="N49" i="16"/>
  <c r="P174" i="16"/>
  <c r="N119" i="16"/>
  <c r="E173" i="16"/>
  <c r="G173" i="16"/>
  <c r="D173" i="16"/>
  <c r="H173" i="16"/>
  <c r="M91" i="16"/>
  <c r="M76" i="16"/>
  <c r="M74" i="16" s="1"/>
  <c r="M177" i="16" s="1"/>
  <c r="N17" i="16"/>
  <c r="N154" i="16"/>
  <c r="N152" i="16"/>
  <c r="N35" i="16"/>
  <c r="J173" i="16"/>
  <c r="K173" i="16"/>
  <c r="N161" i="16"/>
  <c r="H85" i="16"/>
  <c r="E85" i="16"/>
  <c r="F85" i="16"/>
  <c r="L85" i="16"/>
  <c r="M139" i="16"/>
  <c r="N139" i="16" s="1"/>
  <c r="D85" i="16"/>
  <c r="N159" i="16"/>
  <c r="N86" i="16"/>
  <c r="P86" i="16" s="1"/>
  <c r="I85" i="16"/>
  <c r="J85" i="16"/>
  <c r="K85" i="16"/>
  <c r="G85" i="16"/>
  <c r="N175" i="16"/>
  <c r="N135" i="16"/>
  <c r="E177" i="16"/>
  <c r="N53" i="16"/>
  <c r="F41" i="16"/>
  <c r="N9" i="16"/>
  <c r="N83" i="16"/>
  <c r="N89" i="16"/>
  <c r="N140" i="16"/>
  <c r="P140" i="16" s="1"/>
  <c r="N129" i="16"/>
  <c r="K12" i="16"/>
  <c r="N12" i="16" s="1"/>
  <c r="P12" i="16" s="1"/>
  <c r="N51" i="16"/>
  <c r="N22" i="16"/>
  <c r="P22" i="16" s="1"/>
  <c r="N99" i="16"/>
  <c r="N109" i="16"/>
  <c r="N107" i="16"/>
  <c r="N87" i="16"/>
  <c r="N131" i="16"/>
  <c r="N23" i="16"/>
  <c r="N13" i="16"/>
  <c r="E11" i="16"/>
  <c r="D11" i="16"/>
  <c r="M11" i="16"/>
  <c r="H11" i="16"/>
  <c r="G11" i="16"/>
  <c r="L11" i="16"/>
  <c r="N15" i="16"/>
  <c r="D17" i="2"/>
  <c r="J11" i="16"/>
  <c r="F11" i="16"/>
  <c r="N77" i="16"/>
  <c r="D27" i="2"/>
  <c r="C151" i="16"/>
  <c r="E75" i="16"/>
  <c r="F75" i="16"/>
  <c r="H75" i="16"/>
  <c r="L75" i="16"/>
  <c r="D75" i="16"/>
  <c r="J75" i="16"/>
  <c r="K75" i="16"/>
  <c r="G75" i="16"/>
  <c r="N81" i="16"/>
  <c r="N79" i="16" l="1"/>
  <c r="E153" i="16"/>
  <c r="F153" i="16"/>
  <c r="I153" i="16"/>
  <c r="J153" i="16"/>
  <c r="N41" i="16"/>
  <c r="D40" i="16"/>
  <c r="D177" i="16" s="1"/>
  <c r="D178" i="16" s="1"/>
  <c r="E178" i="16" s="1"/>
  <c r="M153" i="16"/>
  <c r="L153" i="16"/>
  <c r="H153" i="16"/>
  <c r="D153" i="16"/>
  <c r="G153" i="16"/>
  <c r="P154" i="16"/>
  <c r="N155" i="16"/>
  <c r="N113" i="16"/>
  <c r="G39" i="16"/>
  <c r="M39" i="16"/>
  <c r="F39" i="16"/>
  <c r="J39" i="16"/>
  <c r="H39" i="16"/>
  <c r="K39" i="16"/>
  <c r="D19" i="2"/>
  <c r="L39" i="16"/>
  <c r="N58" i="16"/>
  <c r="P58" i="16" s="1"/>
  <c r="D57" i="16"/>
  <c r="N57" i="16" s="1"/>
  <c r="N61" i="16"/>
  <c r="N91" i="16"/>
  <c r="N173" i="16"/>
  <c r="M75" i="16"/>
  <c r="N75" i="16" s="1"/>
  <c r="N76" i="16"/>
  <c r="P76" i="16" s="1"/>
  <c r="N85" i="16"/>
  <c r="K11" i="16"/>
  <c r="N11" i="16" s="1"/>
  <c r="E39" i="16"/>
  <c r="G151" i="16"/>
  <c r="F151" i="16"/>
  <c r="P152" i="16"/>
  <c r="J151" i="16"/>
  <c r="H151" i="16"/>
  <c r="E151" i="16"/>
  <c r="D151" i="16"/>
  <c r="K151" i="16"/>
  <c r="L151" i="16"/>
  <c r="M151" i="16"/>
  <c r="I151" i="16"/>
  <c r="N40" i="16" l="1"/>
  <c r="P40" i="16" s="1"/>
  <c r="D39" i="16"/>
  <c r="N39" i="16" s="1"/>
  <c r="N153" i="16"/>
  <c r="N151" i="16"/>
  <c r="H357" i="21"/>
  <c r="G632" i="27" l="1"/>
  <c r="G527" i="27"/>
  <c r="I527" i="27" l="1"/>
  <c r="F138" i="32" s="1"/>
  <c r="G138" i="32" s="1"/>
  <c r="I632" i="27"/>
  <c r="J632" i="27" s="1"/>
  <c r="J622" i="27" s="1"/>
  <c r="H138" i="32" l="1"/>
  <c r="H38" i="32"/>
  <c r="H282" i="32"/>
  <c r="H160" i="32"/>
  <c r="H476" i="32"/>
  <c r="H203" i="32"/>
  <c r="H226" i="32"/>
  <c r="H134" i="32"/>
  <c r="H387" i="32"/>
  <c r="H432" i="32"/>
  <c r="H90" i="32"/>
  <c r="H464" i="32"/>
  <c r="H366" i="32"/>
  <c r="H299" i="32"/>
  <c r="H180" i="32"/>
  <c r="H319" i="32"/>
  <c r="H410" i="32"/>
  <c r="H156" i="32"/>
  <c r="H401" i="32"/>
  <c r="H321" i="32"/>
  <c r="H225" i="32"/>
  <c r="H69" i="32"/>
  <c r="H439" i="32"/>
  <c r="H210" i="32"/>
  <c r="H409" i="32"/>
  <c r="H400" i="32"/>
  <c r="H315" i="32"/>
  <c r="H169" i="32"/>
  <c r="H503" i="32"/>
  <c r="H502" i="32"/>
  <c r="H260" i="32"/>
  <c r="H261" i="32"/>
  <c r="H19" i="32"/>
  <c r="H330" i="32"/>
  <c r="H390" i="32"/>
  <c r="H475" i="32"/>
  <c r="H310" i="32"/>
  <c r="H43" i="32"/>
  <c r="H143" i="32"/>
  <c r="H29" i="32"/>
  <c r="H335" i="32"/>
  <c r="H370" i="32"/>
  <c r="H322" i="32"/>
  <c r="H492" i="32"/>
  <c r="H159" i="32"/>
  <c r="H153" i="32"/>
  <c r="H245" i="32"/>
  <c r="H450" i="32"/>
  <c r="H394" i="32"/>
  <c r="H56" i="32"/>
  <c r="H216" i="32"/>
  <c r="H295" i="32"/>
  <c r="H474" i="32"/>
  <c r="H316" i="32"/>
  <c r="H266" i="32"/>
  <c r="H227" i="32"/>
  <c r="H291" i="32"/>
  <c r="H388" i="32"/>
  <c r="H449" i="32"/>
  <c r="H298" i="32"/>
  <c r="H444" i="32"/>
  <c r="H131" i="32"/>
  <c r="H241" i="32"/>
  <c r="H86" i="32"/>
  <c r="H151" i="32"/>
  <c r="H144" i="32"/>
  <c r="H102" i="32"/>
  <c r="H489" i="32"/>
  <c r="H369" i="32"/>
  <c r="H326" i="32"/>
  <c r="H148" i="32"/>
  <c r="H332" i="32"/>
  <c r="H228" i="32"/>
  <c r="H348" i="32"/>
  <c r="H104" i="32"/>
  <c r="H359" i="32"/>
  <c r="H420" i="32"/>
  <c r="H361" i="32"/>
  <c r="H112" i="32"/>
  <c r="H109" i="32"/>
  <c r="H171" i="32"/>
  <c r="H224" i="32"/>
  <c r="H31" i="32"/>
  <c r="H404" i="32"/>
  <c r="H290" i="32"/>
  <c r="H89" i="32"/>
  <c r="H33" i="32"/>
  <c r="H301" i="32"/>
  <c r="H145" i="32"/>
  <c r="H263" i="32"/>
  <c r="H204" i="32"/>
  <c r="H133" i="32"/>
  <c r="H283" i="32"/>
  <c r="H427" i="32"/>
  <c r="H97" i="32"/>
  <c r="H107" i="32"/>
  <c r="H288" i="32"/>
  <c r="H440" i="32"/>
  <c r="H16" i="32"/>
  <c r="H364" i="32"/>
  <c r="H274" i="32"/>
  <c r="H292" i="32"/>
  <c r="H456" i="32"/>
  <c r="H211" i="32"/>
  <c r="H344" i="32"/>
  <c r="H399" i="32"/>
  <c r="H446" i="32"/>
  <c r="H459" i="32"/>
  <c r="H123" i="32"/>
  <c r="H289" i="32"/>
  <c r="H308" i="32"/>
  <c r="H22" i="32"/>
  <c r="H11" i="32"/>
  <c r="H276" i="32"/>
  <c r="H157" i="32"/>
  <c r="H488" i="32"/>
  <c r="H304" i="32"/>
  <c r="H175" i="32"/>
  <c r="H174" i="32"/>
  <c r="H305" i="32"/>
  <c r="H149" i="32"/>
  <c r="H54" i="32"/>
  <c r="H333" i="32"/>
  <c r="H443" i="32"/>
  <c r="H66" i="32"/>
  <c r="H249" i="32"/>
  <c r="H186" i="32"/>
  <c r="H391" i="32"/>
  <c r="H275" i="32"/>
  <c r="H435" i="32"/>
  <c r="H32" i="32"/>
  <c r="H189" i="32"/>
  <c r="H39" i="32"/>
  <c r="H352" i="32"/>
  <c r="H255" i="32"/>
  <c r="H45" i="32"/>
  <c r="H513" i="32"/>
  <c r="H385" i="32"/>
  <c r="H418" i="32"/>
  <c r="H78" i="32"/>
  <c r="H165" i="32"/>
  <c r="H250" i="32"/>
  <c r="H213" i="32"/>
  <c r="H105" i="32"/>
  <c r="H490" i="32"/>
  <c r="H30" i="32"/>
  <c r="H194" i="32"/>
  <c r="H382" i="32"/>
  <c r="H116" i="32"/>
  <c r="H64" i="32"/>
  <c r="H374" i="32"/>
  <c r="H494" i="32"/>
  <c r="H184" i="32"/>
  <c r="H51" i="32"/>
  <c r="H517" i="32"/>
  <c r="H47" i="32"/>
  <c r="H108" i="32"/>
  <c r="H267" i="32"/>
  <c r="H510" i="32"/>
  <c r="H200" i="32"/>
  <c r="H479" i="32"/>
  <c r="H484" i="32"/>
  <c r="H98" i="32"/>
  <c r="H63" i="32"/>
  <c r="H465" i="32"/>
  <c r="H341" i="32"/>
  <c r="H281" i="32"/>
  <c r="H106" i="32"/>
  <c r="H300" i="32"/>
  <c r="H454" i="32"/>
  <c r="H75" i="32"/>
  <c r="H314" i="32"/>
  <c r="H350" i="32"/>
  <c r="H187" i="32"/>
  <c r="H193" i="32"/>
  <c r="H434" i="32"/>
  <c r="H367" i="32"/>
  <c r="H135" i="32"/>
  <c r="H67" i="32"/>
  <c r="H460" i="32"/>
  <c r="H158" i="32"/>
  <c r="H506" i="32"/>
  <c r="H62" i="32"/>
  <c r="H371" i="32"/>
  <c r="H501" i="32"/>
  <c r="H433" i="32"/>
  <c r="H340" i="32"/>
  <c r="H36" i="32"/>
  <c r="H191" i="32"/>
  <c r="H383" i="32"/>
  <c r="H462" i="32"/>
  <c r="H466" i="32"/>
  <c r="H251" i="32"/>
  <c r="H147" i="32"/>
  <c r="H127" i="32"/>
  <c r="H354" i="32"/>
  <c r="H376" i="32"/>
  <c r="H381" i="32"/>
  <c r="H343" i="32"/>
  <c r="H328" i="32"/>
  <c r="H372" i="32"/>
  <c r="H325" i="32"/>
  <c r="H327" i="32"/>
  <c r="H115" i="32"/>
  <c r="H246" i="32"/>
  <c r="H307" i="32"/>
  <c r="H411" i="32"/>
  <c r="H247" i="32"/>
  <c r="H379" i="32"/>
  <c r="H58" i="32"/>
  <c r="H214" i="32"/>
  <c r="H202" i="32"/>
  <c r="H405" i="32"/>
  <c r="H442" i="32"/>
  <c r="H52" i="32"/>
  <c r="H505" i="32"/>
  <c r="H257" i="32"/>
  <c r="H309" i="32"/>
  <c r="H181" i="32"/>
  <c r="H240" i="32"/>
  <c r="H99" i="32"/>
  <c r="H380" i="32"/>
  <c r="H487" i="32"/>
  <c r="H20" i="32"/>
  <c r="H269" i="32"/>
  <c r="H128" i="32"/>
  <c r="H455" i="32"/>
  <c r="H337" i="32"/>
  <c r="H121" i="32"/>
  <c r="H453" i="32"/>
  <c r="H218" i="32"/>
  <c r="H172" i="32"/>
  <c r="H425" i="32"/>
  <c r="H360" i="32"/>
  <c r="H481" i="32"/>
  <c r="H231" i="32"/>
  <c r="H73" i="32"/>
  <c r="H80" i="32"/>
  <c r="H515" i="32"/>
  <c r="H495" i="32"/>
  <c r="H192" i="32"/>
  <c r="H512" i="32"/>
  <c r="H76" i="32"/>
  <c r="H358" i="32"/>
  <c r="H120" i="32"/>
  <c r="H88" i="32"/>
  <c r="H57" i="32"/>
  <c r="H167" i="32"/>
  <c r="H118" i="32"/>
  <c r="H42" i="32"/>
  <c r="H458" i="32"/>
  <c r="H212" i="32"/>
  <c r="H18" i="32"/>
  <c r="H28" i="32"/>
  <c r="H270" i="32"/>
  <c r="H320" i="32"/>
  <c r="H190" i="32"/>
  <c r="H41" i="32"/>
  <c r="H461" i="32"/>
  <c r="H49" i="32"/>
  <c r="H511" i="32"/>
  <c r="H317" i="32"/>
  <c r="H353" i="32"/>
  <c r="H297" i="32"/>
  <c r="H81" i="32"/>
  <c r="H122" i="32"/>
  <c r="H519" i="32"/>
  <c r="H140" i="32"/>
  <c r="H363" i="32"/>
  <c r="H516" i="32"/>
  <c r="H407" i="32"/>
  <c r="H185" i="32"/>
  <c r="H280" i="32"/>
  <c r="H384" i="32"/>
  <c r="H10" i="32"/>
  <c r="H230" i="32"/>
  <c r="H125" i="32"/>
  <c r="H48" i="32"/>
  <c r="H239" i="32"/>
  <c r="H311" i="32"/>
  <c r="H471" i="32"/>
  <c r="H129" i="32"/>
  <c r="H15" i="32"/>
  <c r="H27" i="32"/>
  <c r="H17" i="32"/>
  <c r="H119" i="32"/>
  <c r="H23" i="32"/>
  <c r="H285" i="32"/>
  <c r="H142" i="32"/>
  <c r="H509" i="32"/>
  <c r="H508" i="32"/>
  <c r="H396" i="32"/>
  <c r="H117" i="32"/>
  <c r="H259" i="32"/>
  <c r="H114" i="32"/>
  <c r="H272" i="32"/>
  <c r="H196" i="32"/>
  <c r="H178" i="32"/>
  <c r="H323" i="32"/>
  <c r="H499" i="32"/>
  <c r="H166" i="32"/>
  <c r="H233" i="32"/>
  <c r="H219" i="32"/>
  <c r="H302" i="32"/>
  <c r="H198" i="32"/>
  <c r="H113" i="32"/>
  <c r="H386" i="32"/>
  <c r="H441" i="32"/>
  <c r="H483" i="32"/>
  <c r="H268" i="32"/>
  <c r="H252" i="32"/>
  <c r="H368" i="32"/>
  <c r="H164" i="32"/>
  <c r="H217" i="32"/>
  <c r="H408" i="32"/>
  <c r="H232" i="32"/>
  <c r="H46" i="32"/>
  <c r="H235" i="32"/>
  <c r="H312" i="32"/>
  <c r="H419" i="32"/>
  <c r="H215" i="32"/>
  <c r="H94" i="32"/>
  <c r="H334" i="32"/>
  <c r="H59" i="32"/>
  <c r="H77" i="32"/>
  <c r="H221" i="32"/>
  <c r="H422" i="32"/>
  <c r="H95" i="32"/>
  <c r="H207" i="32"/>
  <c r="H403" i="32"/>
  <c r="H50" i="32"/>
  <c r="H244" i="32"/>
  <c r="H393" i="32"/>
  <c r="H139" i="32"/>
  <c r="H486" i="32"/>
  <c r="H424" i="32"/>
  <c r="H68" i="32"/>
  <c r="H349" i="32"/>
  <c r="H398" i="32"/>
  <c r="H208" i="32"/>
  <c r="H395" i="32"/>
  <c r="H406" i="32"/>
  <c r="H55" i="32"/>
  <c r="H170" i="32"/>
  <c r="H152" i="32"/>
  <c r="H188" i="32"/>
  <c r="H296" i="32"/>
  <c r="H72" i="32"/>
  <c r="H377" i="32"/>
  <c r="H355" i="32"/>
  <c r="H278" i="32"/>
  <c r="H417" i="32"/>
  <c r="H44" i="32"/>
  <c r="H518" i="32"/>
  <c r="H87" i="32"/>
  <c r="H451" i="32"/>
  <c r="H402" i="32"/>
  <c r="H93" i="32"/>
  <c r="H415" i="32"/>
  <c r="H429" i="32"/>
  <c r="H137" i="32"/>
  <c r="H421" i="32"/>
  <c r="H84" i="32"/>
  <c r="H447" i="32"/>
  <c r="H130" i="32"/>
  <c r="H173" i="32"/>
  <c r="H507" i="32"/>
  <c r="H491" i="32"/>
  <c r="H284" i="32"/>
  <c r="H92" i="32"/>
  <c r="H256" i="32"/>
  <c r="H154" i="32"/>
  <c r="H220" i="32"/>
  <c r="H470" i="32"/>
  <c r="H504" i="32"/>
  <c r="H229" i="32"/>
  <c r="H91" i="32"/>
  <c r="H336" i="32"/>
  <c r="H347" i="32"/>
  <c r="H60" i="32"/>
  <c r="H238" i="32"/>
  <c r="H306" i="32"/>
  <c r="H365" i="32"/>
  <c r="H423" i="32"/>
  <c r="H126" i="32"/>
  <c r="H197" i="32"/>
  <c r="H498" i="32"/>
  <c r="H155" i="32"/>
  <c r="H12" i="32"/>
  <c r="H477" i="32"/>
  <c r="H24" i="32"/>
  <c r="H357" i="32"/>
  <c r="H313" i="32"/>
  <c r="H437" i="32"/>
  <c r="H445" i="32"/>
  <c r="H264" i="32"/>
  <c r="H273" i="32"/>
  <c r="H201" i="32"/>
  <c r="H430" i="32"/>
  <c r="H96" i="32"/>
  <c r="H351" i="32"/>
  <c r="H482" i="32"/>
  <c r="H234" i="32"/>
  <c r="H485" i="32"/>
  <c r="H496" i="32"/>
  <c r="H199" i="32"/>
  <c r="H345" i="32"/>
  <c r="H222" i="32"/>
  <c r="H163" i="32"/>
  <c r="H262" i="32"/>
  <c r="H14" i="32"/>
  <c r="H223" i="32"/>
  <c r="H37" i="32"/>
  <c r="H82" i="32"/>
  <c r="H254" i="32"/>
  <c r="H416" i="32"/>
  <c r="H110" i="32"/>
  <c r="H472" i="32"/>
  <c r="H293" i="32"/>
  <c r="H436" i="32"/>
  <c r="H480" i="32"/>
  <c r="H271" i="32"/>
  <c r="H478" i="32"/>
  <c r="H179" i="32"/>
  <c r="H26" i="32"/>
  <c r="H514" i="32"/>
  <c r="H9" i="32"/>
  <c r="H100" i="32"/>
  <c r="H161" i="32"/>
  <c r="H287" i="32"/>
  <c r="H469" i="32"/>
  <c r="H205" i="32"/>
  <c r="H356" i="32"/>
  <c r="H74" i="32"/>
  <c r="H242" i="32"/>
  <c r="H467" i="32"/>
  <c r="H500" i="32"/>
  <c r="H463" i="32"/>
  <c r="H70" i="32"/>
  <c r="H40" i="32"/>
  <c r="H303" i="32"/>
  <c r="H412" i="32"/>
  <c r="H277" i="32"/>
  <c r="H53" i="32"/>
  <c r="H473" i="32"/>
  <c r="H209" i="32"/>
  <c r="H183" i="32"/>
  <c r="H168" i="32"/>
  <c r="H136" i="32"/>
  <c r="H258" i="32"/>
  <c r="H162" i="32"/>
  <c r="H35" i="32"/>
  <c r="H497" i="32"/>
  <c r="H85" i="32"/>
  <c r="H331" i="32"/>
  <c r="H195" i="32"/>
  <c r="H329" i="32"/>
  <c r="H243" i="32"/>
  <c r="H414" i="32"/>
  <c r="H389" i="32"/>
  <c r="H236" i="32"/>
  <c r="H318" i="32"/>
  <c r="H452" i="32"/>
  <c r="H468" i="32"/>
  <c r="H79" i="32"/>
  <c r="H338" i="32"/>
  <c r="H253" i="32"/>
  <c r="H339" i="32"/>
  <c r="H146" i="32"/>
  <c r="H34" i="32"/>
  <c r="H150" i="32"/>
  <c r="H71" i="32"/>
  <c r="H25" i="32"/>
  <c r="H342" i="32"/>
  <c r="H132" i="32"/>
  <c r="H362" i="32"/>
  <c r="H378" i="32"/>
  <c r="H21" i="32"/>
  <c r="H237" i="32"/>
  <c r="H141" i="32"/>
  <c r="H124" i="32"/>
  <c r="H397" i="32"/>
  <c r="H286" i="32"/>
  <c r="H177" i="32"/>
  <c r="H392" i="32"/>
  <c r="H493" i="32"/>
  <c r="H346" i="32"/>
  <c r="H182" i="32"/>
  <c r="H13" i="32"/>
  <c r="H265" i="32"/>
  <c r="H101" i="32"/>
  <c r="H431" i="32"/>
  <c r="H375" i="32"/>
  <c r="H206" i="32"/>
  <c r="H413" i="32"/>
  <c r="H248" i="32"/>
  <c r="H279" i="32"/>
  <c r="H438" i="32"/>
  <c r="H428" i="32"/>
  <c r="H61" i="32"/>
  <c r="H324" i="32"/>
  <c r="H448" i="32"/>
  <c r="H83" i="32"/>
  <c r="H426" i="32"/>
  <c r="H103" i="32"/>
  <c r="H65" i="32"/>
  <c r="H457" i="32"/>
  <c r="H111" i="32"/>
  <c r="H373" i="32"/>
  <c r="H294" i="32"/>
  <c r="H176" i="32"/>
  <c r="H8" i="32"/>
  <c r="I8" i="32" s="1"/>
  <c r="J8" i="32" s="1"/>
  <c r="J527" i="27"/>
  <c r="J517" i="27" s="1"/>
  <c r="K128" i="16" s="1"/>
  <c r="J621" i="27"/>
  <c r="I9" i="32" l="1"/>
  <c r="J9" i="32" s="1"/>
  <c r="H128" i="16"/>
  <c r="H126" i="16" s="1"/>
  <c r="H124" i="16" s="1"/>
  <c r="G128" i="16"/>
  <c r="G126" i="16" s="1"/>
  <c r="F128" i="16"/>
  <c r="J128" i="16"/>
  <c r="J126" i="16" s="1"/>
  <c r="J124" i="16" s="1"/>
  <c r="J516" i="27"/>
  <c r="C125" i="16" s="1"/>
  <c r="L128" i="16"/>
  <c r="L126" i="16" s="1"/>
  <c r="C127" i="16"/>
  <c r="I128" i="16"/>
  <c r="I144" i="16"/>
  <c r="G144" i="16"/>
  <c r="C143" i="16"/>
  <c r="K144" i="16"/>
  <c r="K126" i="16"/>
  <c r="I10" i="32" l="1"/>
  <c r="H127" i="16"/>
  <c r="E127" i="16"/>
  <c r="F127" i="16"/>
  <c r="J127" i="16"/>
  <c r="M127" i="16"/>
  <c r="K127" i="16"/>
  <c r="G127" i="16"/>
  <c r="F126" i="16"/>
  <c r="F124" i="16" s="1"/>
  <c r="D127" i="16"/>
  <c r="I127" i="16"/>
  <c r="L127" i="16"/>
  <c r="I126" i="16"/>
  <c r="N128" i="16"/>
  <c r="P128" i="16" s="1"/>
  <c r="K147" i="16"/>
  <c r="N148" i="16"/>
  <c r="P148" i="16" s="1"/>
  <c r="L147" i="16"/>
  <c r="I147" i="16"/>
  <c r="M147" i="16"/>
  <c r="D147" i="16"/>
  <c r="E147" i="16"/>
  <c r="H147" i="16"/>
  <c r="F147" i="16"/>
  <c r="J147" i="16"/>
  <c r="G147" i="16"/>
  <c r="L125" i="16"/>
  <c r="G125" i="16"/>
  <c r="K125" i="16"/>
  <c r="M125" i="16"/>
  <c r="D125" i="16"/>
  <c r="E125" i="16"/>
  <c r="H125" i="16"/>
  <c r="J125" i="16"/>
  <c r="J10" i="32" l="1"/>
  <c r="I11" i="32"/>
  <c r="N126" i="16"/>
  <c r="P126" i="16" s="1"/>
  <c r="F125" i="16"/>
  <c r="N127" i="16"/>
  <c r="I125" i="16"/>
  <c r="J606" i="27"/>
  <c r="N146" i="16"/>
  <c r="P146" i="16" s="1"/>
  <c r="L145" i="16"/>
  <c r="G145" i="16"/>
  <c r="J145" i="16"/>
  <c r="F145" i="16"/>
  <c r="D145" i="16"/>
  <c r="K145" i="16"/>
  <c r="E145" i="16"/>
  <c r="M145" i="16"/>
  <c r="H145" i="16"/>
  <c r="I145" i="16"/>
  <c r="N147" i="16"/>
  <c r="F177" i="16"/>
  <c r="F178" i="16" s="1"/>
  <c r="J11" i="32" l="1"/>
  <c r="I12" i="32"/>
  <c r="N125" i="16"/>
  <c r="J515" i="27"/>
  <c r="K142" i="16"/>
  <c r="K124" i="16" s="1"/>
  <c r="I142" i="16"/>
  <c r="I124" i="16" s="1"/>
  <c r="G142" i="16"/>
  <c r="G124" i="16" s="1"/>
  <c r="L142" i="16"/>
  <c r="L124" i="16" s="1"/>
  <c r="L177" i="16" s="1"/>
  <c r="N145" i="16"/>
  <c r="C141" i="16"/>
  <c r="G143" i="16"/>
  <c r="N144" i="16"/>
  <c r="P144" i="16" s="1"/>
  <c r="F143" i="16"/>
  <c r="H143" i="16"/>
  <c r="L143" i="16"/>
  <c r="D143" i="16"/>
  <c r="M143" i="16"/>
  <c r="J143" i="16"/>
  <c r="E143" i="16"/>
  <c r="K143" i="16"/>
  <c r="I143" i="16"/>
  <c r="J12" i="32" l="1"/>
  <c r="I13" i="32"/>
  <c r="I141" i="16"/>
  <c r="G141" i="16"/>
  <c r="N142" i="16"/>
  <c r="P142" i="16" s="1"/>
  <c r="D25" i="2"/>
  <c r="C123" i="16"/>
  <c r="K123" i="16" s="1"/>
  <c r="K141" i="16"/>
  <c r="N143" i="16"/>
  <c r="D141" i="16"/>
  <c r="F141" i="16"/>
  <c r="J141" i="16"/>
  <c r="M141" i="16"/>
  <c r="E141" i="16"/>
  <c r="H141" i="16"/>
  <c r="L141" i="16"/>
  <c r="I14" i="32" l="1"/>
  <c r="J13" i="32"/>
  <c r="M123" i="16"/>
  <c r="F123" i="16"/>
  <c r="J123" i="16"/>
  <c r="D123" i="16"/>
  <c r="L123" i="16"/>
  <c r="E123" i="16"/>
  <c r="H123" i="16"/>
  <c r="G123" i="16"/>
  <c r="N124" i="16"/>
  <c r="P124" i="16" s="1"/>
  <c r="G177" i="16"/>
  <c r="G178" i="16" s="1"/>
  <c r="N141" i="16"/>
  <c r="I123" i="16"/>
  <c r="K104" i="16"/>
  <c r="K102" i="16" s="1"/>
  <c r="C103" i="16"/>
  <c r="J346" i="27"/>
  <c r="I104" i="16"/>
  <c r="J104" i="16"/>
  <c r="I15" i="32" l="1"/>
  <c r="J14" i="32"/>
  <c r="N123" i="16"/>
  <c r="E103" i="16"/>
  <c r="F103" i="16"/>
  <c r="D103" i="16"/>
  <c r="L103" i="16"/>
  <c r="M103" i="16"/>
  <c r="H103" i="16"/>
  <c r="G103" i="16"/>
  <c r="J102" i="16"/>
  <c r="J103" i="16"/>
  <c r="K74" i="16"/>
  <c r="I102" i="16"/>
  <c r="N104" i="16"/>
  <c r="P104" i="16" s="1"/>
  <c r="C101" i="16"/>
  <c r="K101" i="16" s="1"/>
  <c r="J160" i="27"/>
  <c r="I16" i="32" l="1"/>
  <c r="J15" i="32"/>
  <c r="D21" i="2"/>
  <c r="C73" i="16"/>
  <c r="K73" i="16" s="1"/>
  <c r="N103" i="16"/>
  <c r="J101" i="16"/>
  <c r="J74" i="16"/>
  <c r="H101" i="16"/>
  <c r="D101" i="16"/>
  <c r="F101" i="16"/>
  <c r="G101" i="16"/>
  <c r="E101" i="16"/>
  <c r="L101" i="16"/>
  <c r="M101" i="16"/>
  <c r="I101" i="16"/>
  <c r="N102" i="16"/>
  <c r="P102" i="16" s="1"/>
  <c r="I74" i="16"/>
  <c r="K177" i="16"/>
  <c r="I17" i="32" l="1"/>
  <c r="J16" i="32"/>
  <c r="N101" i="16"/>
  <c r="N74" i="16"/>
  <c r="I73" i="16"/>
  <c r="J73" i="16"/>
  <c r="G73" i="16"/>
  <c r="M73" i="16"/>
  <c r="F73" i="16"/>
  <c r="L73" i="16"/>
  <c r="E73" i="16"/>
  <c r="H73" i="16"/>
  <c r="D73" i="16"/>
  <c r="I18" i="32" l="1"/>
  <c r="J17" i="32"/>
  <c r="N73" i="16"/>
  <c r="P74" i="16"/>
  <c r="I19" i="32" l="1"/>
  <c r="J18" i="32"/>
  <c r="H118" i="16"/>
  <c r="J118" i="16"/>
  <c r="I118" i="16"/>
  <c r="C117" i="16"/>
  <c r="J392" i="27"/>
  <c r="I20" i="32" l="1"/>
  <c r="J19" i="32"/>
  <c r="K117" i="16"/>
  <c r="E117" i="16"/>
  <c r="D117" i="16"/>
  <c r="M117" i="16"/>
  <c r="F117" i="16"/>
  <c r="L117" i="16"/>
  <c r="G117" i="16"/>
  <c r="I117" i="16"/>
  <c r="I112" i="16"/>
  <c r="J117" i="16"/>
  <c r="J112" i="16"/>
  <c r="C111" i="16"/>
  <c r="D23" i="2"/>
  <c r="J722" i="27"/>
  <c r="E32" i="1" s="1"/>
  <c r="N118" i="16"/>
  <c r="P118" i="16" s="1"/>
  <c r="H117" i="16"/>
  <c r="H112" i="16"/>
  <c r="I21" i="32" l="1"/>
  <c r="J20" i="32"/>
  <c r="J111" i="16"/>
  <c r="J177" i="16"/>
  <c r="I111" i="16"/>
  <c r="I177" i="16"/>
  <c r="N117" i="16"/>
  <c r="H111" i="16"/>
  <c r="N112" i="16"/>
  <c r="H177" i="16"/>
  <c r="H178" i="16" s="1"/>
  <c r="D35" i="2"/>
  <c r="E23" i="2" s="1"/>
  <c r="E111" i="16"/>
  <c r="M111" i="16"/>
  <c r="L111" i="16"/>
  <c r="D111" i="16"/>
  <c r="F111" i="16"/>
  <c r="K111" i="16"/>
  <c r="G111" i="16"/>
  <c r="C177" i="16"/>
  <c r="J21" i="32" l="1"/>
  <c r="I22" i="32"/>
  <c r="P112" i="16"/>
  <c r="N177" i="16"/>
  <c r="I178" i="16"/>
  <c r="J178" i="16" s="1"/>
  <c r="K178" i="16" s="1"/>
  <c r="L178" i="16" s="1"/>
  <c r="M178" i="16" s="1"/>
  <c r="P179" i="16" s="1"/>
  <c r="N111" i="16"/>
  <c r="E21" i="2"/>
  <c r="E25" i="2"/>
  <c r="E15" i="2"/>
  <c r="E31" i="2"/>
  <c r="E17" i="2"/>
  <c r="E27" i="2"/>
  <c r="E29" i="2"/>
  <c r="E33" i="2"/>
  <c r="E19" i="2"/>
  <c r="I23" i="32" l="1"/>
  <c r="J22" i="32"/>
  <c r="E35" i="2"/>
  <c r="P178" i="16"/>
  <c r="P180" i="16"/>
  <c r="I24" i="32" l="1"/>
  <c r="J23" i="32"/>
  <c r="I9" i="38"/>
  <c r="I25" i="32" l="1"/>
  <c r="J24" i="32"/>
  <c r="I9" i="37"/>
  <c r="J25" i="32" l="1"/>
  <c r="I26" i="32"/>
  <c r="J9" i="37"/>
  <c r="I10" i="37"/>
  <c r="I27" i="32" l="1"/>
  <c r="J26" i="32"/>
  <c r="J10" i="37"/>
  <c r="I11" i="37"/>
  <c r="I28" i="32" l="1"/>
  <c r="J27" i="32"/>
  <c r="I12" i="37"/>
  <c r="J11" i="37"/>
  <c r="I29" i="32" l="1"/>
  <c r="J28" i="32"/>
  <c r="I13" i="37"/>
  <c r="J12" i="37"/>
  <c r="I30" i="32" l="1"/>
  <c r="J29" i="32"/>
  <c r="I14" i="37"/>
  <c r="J13" i="37"/>
  <c r="I31" i="32" l="1"/>
  <c r="J30" i="32"/>
  <c r="I15" i="37"/>
  <c r="J14" i="37"/>
  <c r="I32" i="32" l="1"/>
  <c r="J31" i="32"/>
  <c r="I16" i="37"/>
  <c r="J15" i="37"/>
  <c r="I33" i="32" l="1"/>
  <c r="J32" i="32"/>
  <c r="I17" i="37"/>
  <c r="J16" i="37"/>
  <c r="I34" i="32" l="1"/>
  <c r="J33" i="32"/>
  <c r="I18" i="37"/>
  <c r="J17" i="37"/>
  <c r="I35" i="32" l="1"/>
  <c r="J34" i="32"/>
  <c r="I19" i="37"/>
  <c r="J18" i="37"/>
  <c r="I36" i="32" l="1"/>
  <c r="J35" i="32"/>
  <c r="I20" i="37"/>
  <c r="J19" i="37"/>
  <c r="I37" i="32" l="1"/>
  <c r="J36" i="32"/>
  <c r="I21" i="37"/>
  <c r="J20" i="37"/>
  <c r="I38" i="32" l="1"/>
  <c r="J37" i="32"/>
  <c r="I22" i="37"/>
  <c r="J21" i="37"/>
  <c r="I39" i="32" l="1"/>
  <c r="J38" i="32"/>
  <c r="I23" i="37"/>
  <c r="J22" i="37"/>
  <c r="I40" i="32" l="1"/>
  <c r="J39" i="32"/>
  <c r="I24" i="37"/>
  <c r="J23" i="37"/>
  <c r="I41" i="32" l="1"/>
  <c r="J40" i="32"/>
  <c r="I25" i="37"/>
  <c r="J24" i="37"/>
  <c r="I42" i="32" l="1"/>
  <c r="J41" i="32"/>
  <c r="I26" i="37"/>
  <c r="J25" i="37"/>
  <c r="I43" i="32" l="1"/>
  <c r="J42" i="32"/>
  <c r="I27" i="37"/>
  <c r="J26" i="37"/>
  <c r="I44" i="32" l="1"/>
  <c r="J43" i="32"/>
  <c r="I28" i="37"/>
  <c r="J27" i="37"/>
  <c r="I45" i="32" l="1"/>
  <c r="J44" i="32"/>
  <c r="I29" i="37"/>
  <c r="J28" i="37"/>
  <c r="I46" i="32" l="1"/>
  <c r="J45" i="32"/>
  <c r="I30" i="37"/>
  <c r="J29" i="37"/>
  <c r="I47" i="32" l="1"/>
  <c r="J46" i="32"/>
  <c r="I31" i="37"/>
  <c r="J30" i="37"/>
  <c r="I48" i="32" l="1"/>
  <c r="J47" i="32"/>
  <c r="I32" i="37"/>
  <c r="J31" i="37"/>
  <c r="I49" i="32" l="1"/>
  <c r="J48" i="32"/>
  <c r="I33" i="37"/>
  <c r="J32" i="37"/>
  <c r="I50" i="32" l="1"/>
  <c r="J49" i="32"/>
  <c r="I34" i="37"/>
  <c r="J33" i="37"/>
  <c r="I51" i="32" l="1"/>
  <c r="J50" i="32"/>
  <c r="I35" i="37"/>
  <c r="J34" i="37"/>
  <c r="I52" i="32" l="1"/>
  <c r="J51" i="32"/>
  <c r="I36" i="37"/>
  <c r="J35" i="37"/>
  <c r="I53" i="32" l="1"/>
  <c r="J52" i="32"/>
  <c r="I37" i="37"/>
  <c r="J36" i="37"/>
  <c r="I54" i="32" l="1"/>
  <c r="J53" i="32"/>
  <c r="I38" i="37"/>
  <c r="J37" i="37"/>
  <c r="I55" i="32" l="1"/>
  <c r="J54" i="32"/>
  <c r="I39" i="37"/>
  <c r="J38" i="37"/>
  <c r="I56" i="32" l="1"/>
  <c r="J55" i="32"/>
  <c r="I40" i="37"/>
  <c r="J39" i="37"/>
  <c r="I57" i="32" l="1"/>
  <c r="J56" i="32"/>
  <c r="I41" i="37"/>
  <c r="J40" i="37"/>
  <c r="I58" i="32" l="1"/>
  <c r="J57" i="32"/>
  <c r="I42" i="37"/>
  <c r="J41" i="37"/>
  <c r="I59" i="32" l="1"/>
  <c r="J58" i="32"/>
  <c r="I43" i="37"/>
  <c r="J42" i="37"/>
  <c r="I60" i="32" l="1"/>
  <c r="J59" i="32"/>
  <c r="I44" i="37"/>
  <c r="J43" i="37"/>
  <c r="I61" i="32" l="1"/>
  <c r="J60" i="32"/>
  <c r="I45" i="37"/>
  <c r="J44" i="37"/>
  <c r="I62" i="32" l="1"/>
  <c r="J61" i="32"/>
  <c r="I46" i="37"/>
  <c r="J45" i="37"/>
  <c r="I63" i="32" l="1"/>
  <c r="J62" i="32"/>
  <c r="I47" i="37"/>
  <c r="J46" i="37"/>
  <c r="I64" i="32" l="1"/>
  <c r="J63" i="32"/>
  <c r="I48" i="37"/>
  <c r="J47" i="37"/>
  <c r="I65" i="32" l="1"/>
  <c r="J64" i="32"/>
  <c r="I49" i="37"/>
  <c r="J48" i="37"/>
  <c r="I66" i="32" l="1"/>
  <c r="J65" i="32"/>
  <c r="I50" i="37"/>
  <c r="J49" i="37"/>
  <c r="I67" i="32" l="1"/>
  <c r="J66" i="32"/>
  <c r="I51" i="37"/>
  <c r="J50" i="37"/>
  <c r="I68" i="32" l="1"/>
  <c r="J67" i="32"/>
  <c r="I52" i="37"/>
  <c r="J51" i="37"/>
  <c r="I69" i="32" l="1"/>
  <c r="J68" i="32"/>
  <c r="I53" i="37"/>
  <c r="J52" i="37"/>
  <c r="I70" i="32" l="1"/>
  <c r="J69" i="32"/>
  <c r="I54" i="37"/>
  <c r="J53" i="37"/>
  <c r="I71" i="32" l="1"/>
  <c r="J70" i="32"/>
  <c r="I55" i="37"/>
  <c r="J54" i="37"/>
  <c r="I72" i="32" l="1"/>
  <c r="J71" i="32"/>
  <c r="I56" i="37"/>
  <c r="J55" i="37"/>
  <c r="I73" i="32" l="1"/>
  <c r="J72" i="32"/>
  <c r="I57" i="37"/>
  <c r="J56" i="37"/>
  <c r="I74" i="32" l="1"/>
  <c r="J73" i="32"/>
  <c r="I58" i="37"/>
  <c r="J58" i="37" s="1"/>
  <c r="J57" i="37"/>
  <c r="I75" i="32" l="1"/>
  <c r="J74" i="32"/>
  <c r="I76" i="32" l="1"/>
  <c r="J75" i="32"/>
  <c r="I77" i="32" l="1"/>
  <c r="J76" i="32"/>
  <c r="I78" i="32" l="1"/>
  <c r="J77" i="32"/>
  <c r="J78" i="32" l="1"/>
  <c r="I79" i="32"/>
  <c r="J79" i="32" l="1"/>
  <c r="I80" i="32"/>
  <c r="J80" i="32" l="1"/>
  <c r="I81" i="32"/>
  <c r="J81" i="32" l="1"/>
  <c r="I82" i="32"/>
  <c r="J82" i="32" l="1"/>
  <c r="I83" i="32"/>
  <c r="I84" i="32" l="1"/>
  <c r="J83" i="32"/>
  <c r="J84" i="32" l="1"/>
  <c r="I85" i="32"/>
  <c r="J85" i="32" l="1"/>
  <c r="I86" i="32"/>
  <c r="J86" i="32" l="1"/>
  <c r="I87" i="32"/>
  <c r="J87" i="32" l="1"/>
  <c r="I88" i="32"/>
  <c r="J88" i="32" l="1"/>
  <c r="I89" i="32"/>
  <c r="I90" i="32" l="1"/>
  <c r="J89" i="32"/>
  <c r="I91" i="32" l="1"/>
  <c r="J90" i="32"/>
  <c r="J91" i="32" l="1"/>
  <c r="I92" i="32"/>
  <c r="J92" i="32" l="1"/>
  <c r="I93" i="32"/>
  <c r="I94" i="32" l="1"/>
  <c r="J93" i="32"/>
  <c r="I95" i="32" l="1"/>
  <c r="J94" i="32"/>
  <c r="J95" i="32" l="1"/>
  <c r="I96" i="32"/>
  <c r="J96" i="32" l="1"/>
  <c r="I97" i="32"/>
  <c r="I98" i="32" l="1"/>
  <c r="J97" i="32"/>
  <c r="I99" i="32" l="1"/>
  <c r="J98" i="32"/>
  <c r="J99" i="32" l="1"/>
  <c r="I100" i="32"/>
  <c r="J100" i="32" l="1"/>
  <c r="I101" i="32"/>
  <c r="I102" i="32" l="1"/>
  <c r="J101" i="32"/>
  <c r="I103" i="32" l="1"/>
  <c r="J102" i="32"/>
  <c r="J103" i="32" l="1"/>
  <c r="I104" i="32"/>
  <c r="J104" i="32" l="1"/>
  <c r="I105" i="32"/>
  <c r="J105" i="32" l="1"/>
  <c r="I106" i="32"/>
  <c r="I107" i="32" l="1"/>
  <c r="J106" i="32"/>
  <c r="J107" i="32" l="1"/>
  <c r="I108" i="32"/>
  <c r="J108" i="32" l="1"/>
  <c r="I109" i="32"/>
  <c r="J109" i="32" l="1"/>
  <c r="I110" i="32"/>
  <c r="J110" i="32" l="1"/>
  <c r="I111" i="32"/>
  <c r="J111" i="32" l="1"/>
  <c r="I112" i="32"/>
  <c r="I113" i="32" l="1"/>
  <c r="J112" i="32"/>
  <c r="I114" i="32" l="1"/>
  <c r="J113" i="32"/>
  <c r="I115" i="32" l="1"/>
  <c r="J114" i="32"/>
  <c r="I116" i="32" l="1"/>
  <c r="J115" i="32"/>
  <c r="I117" i="32" l="1"/>
  <c r="J116" i="32"/>
  <c r="I118" i="32" l="1"/>
  <c r="J117" i="32"/>
  <c r="I119" i="32" l="1"/>
  <c r="J118" i="32"/>
  <c r="I120" i="32" l="1"/>
  <c r="J119" i="32"/>
  <c r="J120" i="32" l="1"/>
  <c r="I121" i="32"/>
  <c r="J121" i="32" l="1"/>
  <c r="I122" i="32"/>
  <c r="I123" i="32" l="1"/>
  <c r="J122" i="32"/>
  <c r="I124" i="32" l="1"/>
  <c r="J123" i="32"/>
  <c r="J124" i="32" l="1"/>
  <c r="I125" i="32"/>
  <c r="J125" i="32" l="1"/>
  <c r="I126" i="32"/>
  <c r="J126" i="32" l="1"/>
  <c r="I127" i="32"/>
  <c r="I128" i="32" l="1"/>
  <c r="J127" i="32"/>
  <c r="I129" i="32" l="1"/>
  <c r="J128" i="32"/>
  <c r="J129" i="32" l="1"/>
  <c r="I130" i="32"/>
  <c r="I131" i="32" l="1"/>
  <c r="J130" i="32"/>
  <c r="J131" i="32" l="1"/>
  <c r="I132" i="32"/>
  <c r="I133" i="32" l="1"/>
  <c r="J132" i="32"/>
  <c r="I134" i="32" l="1"/>
  <c r="J133" i="32"/>
  <c r="J134" i="32" l="1"/>
  <c r="I135" i="32"/>
  <c r="J135" i="32" l="1"/>
  <c r="I136" i="32"/>
  <c r="I137" i="32" l="1"/>
  <c r="J136" i="32"/>
  <c r="J137" i="32" l="1"/>
  <c r="I138" i="32"/>
  <c r="J138" i="32" l="1"/>
  <c r="I139" i="32"/>
  <c r="I140" i="32" l="1"/>
  <c r="J139" i="32"/>
  <c r="I141" i="32" l="1"/>
  <c r="J140" i="32"/>
  <c r="J141" i="32" l="1"/>
  <c r="I142" i="32"/>
  <c r="J142" i="32" l="1"/>
  <c r="I143" i="32"/>
  <c r="I144" i="32" l="1"/>
  <c r="J143" i="32"/>
  <c r="I145" i="32" l="1"/>
  <c r="J144" i="32"/>
  <c r="J145" i="32" l="1"/>
  <c r="I146" i="32"/>
  <c r="J146" i="32" l="1"/>
  <c r="I147" i="32"/>
  <c r="J147" i="32" l="1"/>
  <c r="I148" i="32"/>
  <c r="I149" i="32" l="1"/>
  <c r="J148" i="32"/>
  <c r="J149" i="32" l="1"/>
  <c r="I150" i="32"/>
  <c r="J150" i="32" l="1"/>
  <c r="I151" i="32"/>
  <c r="I152" i="32" l="1"/>
  <c r="J151" i="32"/>
  <c r="I153" i="32" l="1"/>
  <c r="J152" i="32"/>
  <c r="I154" i="32" l="1"/>
  <c r="J153" i="32"/>
  <c r="I155" i="32" l="1"/>
  <c r="J154" i="32"/>
  <c r="I156" i="32" l="1"/>
  <c r="J155" i="32"/>
  <c r="J156" i="32" l="1"/>
  <c r="I157" i="32"/>
  <c r="I158" i="32" l="1"/>
  <c r="J157" i="32"/>
  <c r="I159" i="32" l="1"/>
  <c r="J158" i="32"/>
  <c r="J159" i="32" l="1"/>
  <c r="I160" i="32"/>
  <c r="J160" i="32" l="1"/>
  <c r="I161" i="32"/>
  <c r="I162" i="32" l="1"/>
  <c r="J161" i="32"/>
  <c r="J162" i="32" l="1"/>
  <c r="I163" i="32"/>
  <c r="J163" i="32" l="1"/>
  <c r="I164" i="32"/>
  <c r="J164" i="32" l="1"/>
  <c r="I165" i="32"/>
  <c r="I166" i="32" l="1"/>
  <c r="J165" i="32"/>
  <c r="I167" i="32" l="1"/>
  <c r="J166" i="32"/>
  <c r="J167" i="32" l="1"/>
  <c r="I168" i="32"/>
  <c r="J168" i="32" l="1"/>
  <c r="I169" i="32"/>
  <c r="J169" i="32" l="1"/>
  <c r="I170" i="32"/>
  <c r="I171" i="32" l="1"/>
  <c r="J170" i="32"/>
  <c r="J171" i="32" l="1"/>
  <c r="I172" i="32"/>
  <c r="J172" i="32" l="1"/>
  <c r="I173" i="32"/>
  <c r="J173" i="32" l="1"/>
  <c r="I174" i="32"/>
  <c r="J174" i="32" l="1"/>
  <c r="I175" i="32"/>
  <c r="I176" i="32" l="1"/>
  <c r="J175" i="32"/>
  <c r="J176" i="32" l="1"/>
  <c r="I177" i="32"/>
  <c r="I178" i="32" l="1"/>
  <c r="J177" i="32"/>
  <c r="I179" i="32" l="1"/>
  <c r="J178" i="32"/>
  <c r="J179" i="32" l="1"/>
  <c r="I180" i="32"/>
  <c r="J180" i="32" l="1"/>
  <c r="I181" i="32"/>
  <c r="J181" i="32" l="1"/>
  <c r="I182" i="32"/>
  <c r="I183" i="32" l="1"/>
  <c r="J182" i="32"/>
  <c r="I184" i="32" l="1"/>
  <c r="J183" i="32"/>
  <c r="J184" i="32" l="1"/>
  <c r="I185" i="32"/>
  <c r="J185" i="32" l="1"/>
  <c r="I186" i="32"/>
  <c r="I187" i="32" l="1"/>
  <c r="J186" i="32"/>
  <c r="I188" i="32" l="1"/>
  <c r="J187" i="32"/>
  <c r="J188" i="32" l="1"/>
  <c r="I189" i="32"/>
  <c r="J189" i="32" l="1"/>
  <c r="I190" i="32"/>
  <c r="J190" i="32" l="1"/>
  <c r="I191" i="32"/>
  <c r="I192" i="32" l="1"/>
  <c r="J191" i="32"/>
  <c r="I193" i="32" l="1"/>
  <c r="J192" i="32"/>
  <c r="J193" i="32" l="1"/>
  <c r="I194" i="32"/>
  <c r="J194" i="32" l="1"/>
  <c r="I195" i="32"/>
  <c r="I196" i="32" l="1"/>
  <c r="J195" i="32"/>
  <c r="I197" i="32" l="1"/>
  <c r="J196" i="32"/>
  <c r="J197" i="32" l="1"/>
  <c r="I198" i="32"/>
  <c r="J198" i="32" l="1"/>
  <c r="I199" i="32"/>
  <c r="I200" i="32" l="1"/>
  <c r="J199" i="32"/>
  <c r="J200" i="32" l="1"/>
  <c r="I201" i="32"/>
  <c r="J201" i="32" l="1"/>
  <c r="I202" i="32"/>
  <c r="J202" i="32" l="1"/>
  <c r="I203" i="32"/>
  <c r="J203" i="32" l="1"/>
  <c r="I204" i="32"/>
  <c r="I205" i="32" l="1"/>
  <c r="J204" i="32"/>
  <c r="J205" i="32" l="1"/>
  <c r="I206" i="32"/>
  <c r="J206" i="32" l="1"/>
  <c r="I207" i="32"/>
  <c r="I208" i="32" l="1"/>
  <c r="J207" i="32"/>
  <c r="J208" i="32" l="1"/>
  <c r="I209" i="32"/>
  <c r="J209" i="32" l="1"/>
  <c r="I210" i="32"/>
  <c r="I211" i="32" l="1"/>
  <c r="J210" i="32"/>
  <c r="I212" i="32" l="1"/>
  <c r="J211" i="32"/>
  <c r="J212" i="32" l="1"/>
  <c r="I213" i="32"/>
  <c r="I214" i="32" l="1"/>
  <c r="J213" i="32"/>
  <c r="I215" i="32" l="1"/>
  <c r="J214" i="32"/>
  <c r="J215" i="32" l="1"/>
  <c r="I216" i="32"/>
  <c r="J216" i="32" l="1"/>
  <c r="I217" i="32"/>
  <c r="I218" i="32" l="1"/>
  <c r="J217" i="32"/>
  <c r="J218" i="32" l="1"/>
  <c r="I219" i="32"/>
  <c r="I220" i="32" l="1"/>
  <c r="J219" i="32"/>
  <c r="J220" i="32" l="1"/>
  <c r="I221" i="32"/>
  <c r="I222" i="32" l="1"/>
  <c r="J221" i="32"/>
  <c r="J222" i="32" l="1"/>
  <c r="I223" i="32"/>
  <c r="I224" i="32" l="1"/>
  <c r="J223" i="32"/>
  <c r="I225" i="32" l="1"/>
  <c r="J224" i="32"/>
  <c r="I226" i="32" l="1"/>
  <c r="J225" i="32"/>
  <c r="I227" i="32" l="1"/>
  <c r="J226" i="32"/>
  <c r="I228" i="32" l="1"/>
  <c r="J227" i="32"/>
  <c r="J228" i="32" l="1"/>
  <c r="I229" i="32"/>
  <c r="J229" i="32" l="1"/>
  <c r="I230" i="32"/>
  <c r="I231" i="32" l="1"/>
  <c r="J230" i="32"/>
  <c r="I232" i="32" l="1"/>
  <c r="J231" i="32"/>
  <c r="J232" i="32" l="1"/>
  <c r="I233" i="32"/>
  <c r="I234" i="32" l="1"/>
  <c r="J233" i="32"/>
  <c r="J234" i="32" l="1"/>
  <c r="I235" i="32"/>
  <c r="J235" i="32" l="1"/>
  <c r="I236" i="32"/>
  <c r="J236" i="32" l="1"/>
  <c r="I237" i="32"/>
  <c r="J237" i="32" l="1"/>
  <c r="I238" i="32"/>
  <c r="J238" i="32" l="1"/>
  <c r="I239" i="32"/>
  <c r="I240" i="32" l="1"/>
  <c r="J239" i="32"/>
  <c r="I241" i="32" l="1"/>
  <c r="J240" i="32"/>
  <c r="J241" i="32" l="1"/>
  <c r="I242" i="32"/>
  <c r="J242" i="32" l="1"/>
  <c r="I243" i="32"/>
  <c r="I244" i="32" l="1"/>
  <c r="J243" i="32"/>
  <c r="I245" i="32" l="1"/>
  <c r="J244" i="32"/>
  <c r="J245" i="32" l="1"/>
  <c r="I246" i="32"/>
  <c r="J246" i="32" l="1"/>
  <c r="I247" i="32"/>
  <c r="I248" i="32" l="1"/>
  <c r="J247" i="32"/>
  <c r="I249" i="32" l="1"/>
  <c r="J248" i="32"/>
  <c r="J249" i="32" l="1"/>
  <c r="I250" i="32"/>
  <c r="J250" i="32" l="1"/>
  <c r="I251" i="32"/>
  <c r="I252" i="32" l="1"/>
  <c r="J251" i="32"/>
  <c r="I253" i="32" l="1"/>
  <c r="J252" i="32"/>
  <c r="J253" i="32" l="1"/>
  <c r="I254" i="32"/>
  <c r="J254" i="32" l="1"/>
  <c r="I255" i="32"/>
  <c r="I256" i="32" l="1"/>
  <c r="J255" i="32"/>
  <c r="I257" i="32" l="1"/>
  <c r="J256" i="32"/>
  <c r="J257" i="32" l="1"/>
  <c r="I258" i="32"/>
  <c r="J258" i="32" l="1"/>
  <c r="I259" i="32"/>
  <c r="I260" i="32" l="1"/>
  <c r="J259" i="32"/>
  <c r="I261" i="32" l="1"/>
  <c r="J260" i="32"/>
  <c r="J261" i="32" l="1"/>
  <c r="I262" i="32"/>
  <c r="J262" i="32" l="1"/>
  <c r="I263" i="32"/>
  <c r="I264" i="32" l="1"/>
  <c r="J263" i="32"/>
  <c r="I265" i="32" l="1"/>
  <c r="J264" i="32"/>
  <c r="J265" i="32" l="1"/>
  <c r="I266" i="32"/>
  <c r="J266" i="32" l="1"/>
  <c r="I267" i="32"/>
  <c r="I268" i="32" l="1"/>
  <c r="J267" i="32"/>
  <c r="I269" i="32" l="1"/>
  <c r="J268" i="32"/>
  <c r="J269" i="32" l="1"/>
  <c r="I270" i="32"/>
  <c r="J270" i="32" l="1"/>
  <c r="I271" i="32"/>
  <c r="I272" i="32" l="1"/>
  <c r="J271" i="32"/>
  <c r="I273" i="32" l="1"/>
  <c r="J272" i="32"/>
  <c r="J273" i="32" l="1"/>
  <c r="I274" i="32"/>
  <c r="I275" i="32" l="1"/>
  <c r="J274" i="32"/>
  <c r="I276" i="32" l="1"/>
  <c r="J275" i="32"/>
  <c r="J276" i="32" l="1"/>
  <c r="I277" i="32"/>
  <c r="I278" i="32" l="1"/>
  <c r="J277" i="32"/>
  <c r="I279" i="32" l="1"/>
  <c r="J278" i="32"/>
  <c r="J279" i="32" l="1"/>
  <c r="I280" i="32"/>
  <c r="I281" i="32" l="1"/>
  <c r="J280" i="32"/>
  <c r="J281" i="32" l="1"/>
  <c r="I282" i="32"/>
  <c r="I283" i="32" l="1"/>
  <c r="J282" i="32"/>
  <c r="J283" i="32" l="1"/>
  <c r="I284" i="32"/>
  <c r="J284" i="32" l="1"/>
  <c r="I285" i="32"/>
  <c r="I286" i="32" l="1"/>
  <c r="J285" i="32"/>
  <c r="J286" i="32" l="1"/>
  <c r="I287" i="32"/>
  <c r="J287" i="32" l="1"/>
  <c r="I288" i="32"/>
  <c r="I289" i="32" l="1"/>
  <c r="J288" i="32"/>
  <c r="I290" i="32" l="1"/>
  <c r="J289" i="32"/>
  <c r="J290" i="32" l="1"/>
  <c r="I291" i="32"/>
  <c r="J291" i="32" l="1"/>
  <c r="I292" i="32"/>
  <c r="J292" i="32" l="1"/>
  <c r="I293" i="32"/>
  <c r="I294" i="32" l="1"/>
  <c r="J293" i="32"/>
  <c r="J294" i="32" l="1"/>
  <c r="I295" i="32"/>
  <c r="J295" i="32" l="1"/>
  <c r="I296" i="32"/>
  <c r="I297" i="32" l="1"/>
  <c r="J296" i="32"/>
  <c r="J297" i="32" l="1"/>
  <c r="I298" i="32"/>
  <c r="J298" i="32" l="1"/>
  <c r="I299" i="32"/>
  <c r="I300" i="32" l="1"/>
  <c r="J299" i="32"/>
  <c r="I301" i="32" l="1"/>
  <c r="J300" i="32"/>
  <c r="J301" i="32" l="1"/>
  <c r="I302" i="32"/>
  <c r="J302" i="32" l="1"/>
  <c r="I303" i="32"/>
  <c r="J303" i="32" l="1"/>
  <c r="I304" i="32"/>
  <c r="I305" i="32" l="1"/>
  <c r="J304" i="32"/>
  <c r="I306" i="32" l="1"/>
  <c r="J305" i="32"/>
  <c r="J306" i="32" l="1"/>
  <c r="I307" i="32"/>
  <c r="J307" i="32" l="1"/>
  <c r="I308" i="32"/>
  <c r="J308" i="32" l="1"/>
  <c r="I309" i="32"/>
  <c r="J309" i="32" l="1"/>
  <c r="I310" i="32"/>
  <c r="J310" i="32" l="1"/>
  <c r="I311" i="32"/>
  <c r="J311" i="32" l="1"/>
  <c r="I312" i="32"/>
  <c r="J312" i="32" l="1"/>
  <c r="I313" i="32"/>
  <c r="I314" i="32" l="1"/>
  <c r="J313" i="32"/>
  <c r="J314" i="32" l="1"/>
  <c r="I315" i="32"/>
  <c r="I316" i="32" l="1"/>
  <c r="J315" i="32"/>
  <c r="I317" i="32" l="1"/>
  <c r="J316" i="32"/>
  <c r="J317" i="32" l="1"/>
  <c r="I318" i="32"/>
  <c r="J318" i="32" l="1"/>
  <c r="I319" i="32"/>
  <c r="I320" i="32" l="1"/>
  <c r="J319" i="32"/>
  <c r="J320" i="32" l="1"/>
  <c r="I321" i="32"/>
  <c r="J321" i="32" l="1"/>
  <c r="I322" i="32"/>
  <c r="J322" i="32" l="1"/>
  <c r="I323" i="32"/>
  <c r="I324" i="32" l="1"/>
  <c r="J323" i="32"/>
  <c r="I325" i="32" l="1"/>
  <c r="J324" i="32"/>
  <c r="I326" i="32" l="1"/>
  <c r="J325" i="32"/>
  <c r="I327" i="32" l="1"/>
  <c r="J326" i="32"/>
  <c r="J327" i="32" l="1"/>
  <c r="I328" i="32"/>
  <c r="J328" i="32" l="1"/>
  <c r="I329" i="32"/>
  <c r="J329" i="32" l="1"/>
  <c r="I330" i="32"/>
  <c r="J330" i="32" l="1"/>
  <c r="I331" i="32"/>
  <c r="I332" i="32" l="1"/>
  <c r="J331" i="32"/>
  <c r="I333" i="32" l="1"/>
  <c r="J332" i="32"/>
  <c r="I334" i="32" l="1"/>
  <c r="J333" i="32"/>
  <c r="J334" i="32" l="1"/>
  <c r="I335" i="32"/>
  <c r="J335" i="32" l="1"/>
  <c r="I336" i="32"/>
  <c r="J336" i="32" l="1"/>
  <c r="I337" i="32"/>
  <c r="I338" i="32" l="1"/>
  <c r="J337" i="32"/>
  <c r="J338" i="32" l="1"/>
  <c r="I339" i="32"/>
  <c r="I340" i="32" l="1"/>
  <c r="J339" i="32"/>
  <c r="J340" i="32" l="1"/>
  <c r="I341" i="32"/>
  <c r="J341" i="32" l="1"/>
  <c r="I342" i="32"/>
  <c r="I343" i="32" l="1"/>
  <c r="J342" i="32"/>
  <c r="I344" i="32" l="1"/>
  <c r="J343" i="32"/>
  <c r="I345" i="32" l="1"/>
  <c r="J344" i="32"/>
  <c r="I346" i="32" l="1"/>
  <c r="J345" i="32"/>
  <c r="J346" i="32" l="1"/>
  <c r="I347" i="32"/>
  <c r="J347" i="32" l="1"/>
  <c r="I348" i="32"/>
  <c r="J348" i="32" l="1"/>
  <c r="I349" i="32"/>
  <c r="I350" i="32" l="1"/>
  <c r="J349" i="32"/>
  <c r="J350" i="32" l="1"/>
  <c r="I351" i="32"/>
  <c r="J351" i="32" l="1"/>
  <c r="I352" i="32"/>
  <c r="I353" i="32" l="1"/>
  <c r="J352" i="32"/>
  <c r="I354" i="32" l="1"/>
  <c r="J353" i="32"/>
  <c r="J354" i="32" l="1"/>
  <c r="I355" i="32"/>
  <c r="J355" i="32" l="1"/>
  <c r="I356" i="32"/>
  <c r="I357" i="32" l="1"/>
  <c r="J356" i="32"/>
  <c r="J357" i="32" l="1"/>
  <c r="I358" i="32"/>
  <c r="J358" i="32" l="1"/>
  <c r="I359" i="32"/>
  <c r="J359" i="32" l="1"/>
  <c r="I360" i="32"/>
  <c r="J360" i="32" l="1"/>
  <c r="I361" i="32"/>
  <c r="I362" i="32" l="1"/>
  <c r="J361" i="32"/>
  <c r="I363" i="32" l="1"/>
  <c r="J362" i="32"/>
  <c r="I364" i="32" l="1"/>
  <c r="J363" i="32"/>
  <c r="I365" i="32" l="1"/>
  <c r="J364" i="32"/>
  <c r="I366" i="32" l="1"/>
  <c r="J365" i="32"/>
  <c r="I367" i="32" l="1"/>
  <c r="J366" i="32"/>
  <c r="I368" i="32" l="1"/>
  <c r="J367" i="32"/>
  <c r="I369" i="32" l="1"/>
  <c r="J368" i="32"/>
  <c r="J369" i="32" l="1"/>
  <c r="I370" i="32"/>
  <c r="I371" i="32" l="1"/>
  <c r="J370" i="32"/>
  <c r="J371" i="32" l="1"/>
  <c r="I372" i="32"/>
  <c r="I373" i="32" l="1"/>
  <c r="J372" i="32"/>
  <c r="I374" i="32" l="1"/>
  <c r="J373" i="32"/>
  <c r="I375" i="32" l="1"/>
  <c r="J374" i="32"/>
  <c r="I376" i="32" l="1"/>
  <c r="J375" i="32"/>
  <c r="I377" i="32" l="1"/>
  <c r="J376" i="32"/>
  <c r="I378" i="32" l="1"/>
  <c r="J377" i="32"/>
  <c r="J378" i="32" l="1"/>
  <c r="I379" i="32"/>
  <c r="I380" i="32" l="1"/>
  <c r="J379" i="32"/>
  <c r="I381" i="32" l="1"/>
  <c r="J380" i="32"/>
  <c r="I382" i="32" l="1"/>
  <c r="J381" i="32"/>
  <c r="I383" i="32" l="1"/>
  <c r="J382" i="32"/>
  <c r="I384" i="32" l="1"/>
  <c r="J383" i="32"/>
  <c r="J384" i="32" l="1"/>
  <c r="I385" i="32"/>
  <c r="I386" i="32" l="1"/>
  <c r="J385" i="32"/>
  <c r="I387" i="32" l="1"/>
  <c r="J386" i="32"/>
  <c r="J387" i="32" l="1"/>
  <c r="I388" i="32"/>
  <c r="I389" i="32" l="1"/>
  <c r="J388" i="32"/>
  <c r="I390" i="32" l="1"/>
  <c r="J389" i="32"/>
  <c r="I391" i="32" l="1"/>
  <c r="J390" i="32"/>
  <c r="I392" i="32" l="1"/>
  <c r="J391" i="32"/>
  <c r="I393" i="32" l="1"/>
  <c r="J392" i="32"/>
  <c r="I394" i="32" l="1"/>
  <c r="J393" i="32"/>
  <c r="I395" i="32" l="1"/>
  <c r="J394" i="32"/>
  <c r="J395" i="32" l="1"/>
  <c r="I396" i="32"/>
  <c r="J396" i="32" l="1"/>
  <c r="I397" i="32"/>
  <c r="I398" i="32" l="1"/>
  <c r="J397" i="32"/>
  <c r="I399" i="32" l="1"/>
  <c r="J398" i="32"/>
  <c r="I400" i="32" l="1"/>
  <c r="J399" i="32"/>
  <c r="J400" i="32" l="1"/>
  <c r="I401" i="32"/>
  <c r="I402" i="32" l="1"/>
  <c r="J401" i="32"/>
  <c r="J402" i="32" l="1"/>
  <c r="I403" i="32"/>
  <c r="J403" i="32" l="1"/>
  <c r="I404" i="32"/>
  <c r="I405" i="32" l="1"/>
  <c r="J404" i="32"/>
  <c r="I406" i="32" l="1"/>
  <c r="J405" i="32"/>
  <c r="J406" i="32" l="1"/>
  <c r="I407" i="32"/>
  <c r="J407" i="32" l="1"/>
  <c r="I408" i="32"/>
  <c r="I409" i="32" l="1"/>
  <c r="J408" i="32"/>
  <c r="J409" i="32" l="1"/>
  <c r="I410" i="32"/>
  <c r="J410" i="32" l="1"/>
  <c r="I411" i="32"/>
  <c r="I412" i="32" l="1"/>
  <c r="J411" i="32"/>
  <c r="I413" i="32" l="1"/>
  <c r="J412" i="32"/>
  <c r="J413" i="32" l="1"/>
  <c r="I414" i="32"/>
  <c r="J414" i="32" l="1"/>
  <c r="I415" i="32"/>
  <c r="J415" i="32" l="1"/>
  <c r="I416" i="32"/>
  <c r="J416" i="32" l="1"/>
  <c r="I417" i="32"/>
  <c r="J417" i="32" l="1"/>
  <c r="I418" i="32"/>
  <c r="J418" i="32" l="1"/>
  <c r="I419" i="32"/>
  <c r="J419" i="32" l="1"/>
  <c r="I420" i="32"/>
  <c r="J420" i="32" l="1"/>
  <c r="I421" i="32"/>
  <c r="J421" i="32" l="1"/>
  <c r="I422" i="32"/>
  <c r="I423" i="32" l="1"/>
  <c r="J422" i="32"/>
  <c r="I424" i="32" l="1"/>
  <c r="J423" i="32"/>
  <c r="J424" i="32" l="1"/>
  <c r="I425" i="32"/>
  <c r="J425" i="32" l="1"/>
  <c r="I426" i="32"/>
  <c r="I427" i="32" l="1"/>
  <c r="J426" i="32"/>
  <c r="I428" i="32" l="1"/>
  <c r="J427" i="32"/>
  <c r="J428" i="32" l="1"/>
  <c r="I429" i="32"/>
  <c r="J429" i="32" l="1"/>
  <c r="I430" i="32"/>
  <c r="J430" i="32" l="1"/>
  <c r="I431" i="32"/>
  <c r="I432" i="32" l="1"/>
  <c r="J431" i="32"/>
  <c r="I433" i="32" l="1"/>
  <c r="J432" i="32"/>
  <c r="J433" i="32" l="1"/>
  <c r="I434" i="32"/>
  <c r="J434" i="32" l="1"/>
  <c r="I435" i="32"/>
  <c r="I436" i="32" l="1"/>
  <c r="J435" i="32"/>
  <c r="I437" i="32" l="1"/>
  <c r="J436" i="32"/>
  <c r="J437" i="32" l="1"/>
  <c r="I438" i="32"/>
  <c r="J438" i="32" l="1"/>
  <c r="I439" i="32"/>
  <c r="I440" i="32" l="1"/>
  <c r="J439" i="32"/>
  <c r="J440" i="32" l="1"/>
  <c r="I441" i="32"/>
  <c r="J441" i="32" l="1"/>
  <c r="I442" i="32"/>
  <c r="I443" i="32" l="1"/>
  <c r="J442" i="32"/>
  <c r="I444" i="32" l="1"/>
  <c r="J443" i="32"/>
  <c r="J444" i="32" l="1"/>
  <c r="I445" i="32"/>
  <c r="I446" i="32" l="1"/>
  <c r="J445" i="32"/>
  <c r="J446" i="32" l="1"/>
  <c r="I447" i="32"/>
  <c r="I448" i="32" l="1"/>
  <c r="J447" i="32"/>
  <c r="J448" i="32" l="1"/>
  <c r="I449" i="32"/>
  <c r="J449" i="32" l="1"/>
  <c r="I450" i="32"/>
  <c r="J450" i="32" l="1"/>
  <c r="I451" i="32"/>
  <c r="J451" i="32" l="1"/>
  <c r="I452" i="32"/>
  <c r="I453" i="32" l="1"/>
  <c r="J452" i="32"/>
  <c r="J453" i="32" l="1"/>
  <c r="I454" i="32"/>
  <c r="I455" i="32" l="1"/>
  <c r="J454" i="32"/>
  <c r="J455" i="32" l="1"/>
  <c r="I456" i="32"/>
  <c r="I457" i="32" l="1"/>
  <c r="J456" i="32"/>
  <c r="J457" i="32" l="1"/>
  <c r="I458" i="32"/>
  <c r="J458" i="32" l="1"/>
  <c r="I459" i="32"/>
  <c r="J459" i="32" l="1"/>
  <c r="I460" i="32"/>
  <c r="J460" i="32" l="1"/>
  <c r="I461" i="32"/>
  <c r="J461" i="32" l="1"/>
  <c r="I462" i="32"/>
  <c r="J462" i="32" l="1"/>
  <c r="I463" i="32"/>
  <c r="J463" i="32" l="1"/>
  <c r="I464" i="32"/>
  <c r="I465" i="32" l="1"/>
  <c r="J464" i="32"/>
  <c r="I466" i="32" l="1"/>
  <c r="J465" i="32"/>
  <c r="J466" i="32" l="1"/>
  <c r="I467" i="32"/>
  <c r="J467" i="32" l="1"/>
  <c r="I468" i="32"/>
  <c r="I469" i="32" l="1"/>
  <c r="J468" i="32"/>
  <c r="I470" i="32" l="1"/>
  <c r="J469" i="32"/>
  <c r="I471" i="32" l="1"/>
  <c r="J470" i="32"/>
  <c r="J471" i="32" l="1"/>
  <c r="I472" i="32"/>
  <c r="J472" i="32" l="1"/>
  <c r="I473" i="32"/>
  <c r="I474" i="32" l="1"/>
  <c r="J473" i="32"/>
  <c r="I475" i="32" l="1"/>
  <c r="J474" i="32"/>
  <c r="J475" i="32" l="1"/>
  <c r="I476" i="32"/>
  <c r="J476" i="32" l="1"/>
  <c r="I477" i="32"/>
  <c r="I478" i="32" l="1"/>
  <c r="J477" i="32"/>
  <c r="I479" i="32" l="1"/>
  <c r="J478" i="32"/>
  <c r="I480" i="32" l="1"/>
  <c r="J479" i="32"/>
  <c r="I481" i="32" l="1"/>
  <c r="J480" i="32"/>
  <c r="I482" i="32" l="1"/>
  <c r="J481" i="32"/>
  <c r="I483" i="32" l="1"/>
  <c r="J482" i="32"/>
  <c r="I484" i="32" l="1"/>
  <c r="J483" i="32"/>
  <c r="I485" i="32" l="1"/>
  <c r="J484" i="32"/>
  <c r="I486" i="32" l="1"/>
  <c r="J485" i="32"/>
  <c r="I487" i="32" l="1"/>
  <c r="J486" i="32"/>
  <c r="J487" i="32" l="1"/>
  <c r="I488" i="32"/>
  <c r="J488" i="32" l="1"/>
  <c r="I489" i="32"/>
  <c r="I490" i="32" l="1"/>
  <c r="J489" i="32"/>
  <c r="J490" i="32" l="1"/>
  <c r="I491" i="32"/>
  <c r="J491" i="32" l="1"/>
  <c r="I492" i="32"/>
  <c r="I493" i="32" l="1"/>
  <c r="J492" i="32"/>
  <c r="I494" i="32" l="1"/>
  <c r="J493" i="32"/>
  <c r="J494" i="32" l="1"/>
  <c r="I495" i="32"/>
  <c r="J495" i="32" l="1"/>
  <c r="I496" i="32"/>
  <c r="I497" i="32" l="1"/>
  <c r="J496" i="32"/>
  <c r="I498" i="32" l="1"/>
  <c r="J497" i="32"/>
  <c r="J498" i="32" l="1"/>
  <c r="I499" i="32"/>
  <c r="J499" i="32" l="1"/>
  <c r="I500" i="32"/>
  <c r="I501" i="32" l="1"/>
  <c r="J500" i="32"/>
  <c r="I502" i="32" l="1"/>
  <c r="J501" i="32"/>
  <c r="J502" i="32" l="1"/>
  <c r="I503" i="32"/>
  <c r="J503" i="32" l="1"/>
  <c r="I504" i="32"/>
  <c r="I505" i="32" l="1"/>
  <c r="J504" i="32"/>
  <c r="I506" i="32" l="1"/>
  <c r="J505" i="32"/>
  <c r="J506" i="32" l="1"/>
  <c r="I507" i="32"/>
  <c r="J507" i="32" l="1"/>
  <c r="I508" i="32"/>
  <c r="I509" i="32" l="1"/>
  <c r="J508" i="32"/>
  <c r="I510" i="32" l="1"/>
  <c r="J509" i="32"/>
  <c r="J510" i="32" l="1"/>
  <c r="I511" i="32"/>
  <c r="J511" i="32" l="1"/>
  <c r="I512" i="32"/>
  <c r="I513" i="32" l="1"/>
  <c r="J512" i="32"/>
  <c r="I514" i="32" l="1"/>
  <c r="J513" i="32"/>
  <c r="J514" i="32" l="1"/>
  <c r="I515" i="32"/>
  <c r="J515" i="32" l="1"/>
  <c r="I516" i="32"/>
  <c r="J516" i="32" l="1"/>
  <c r="I517" i="32"/>
  <c r="J517" i="32" l="1"/>
  <c r="I518" i="32"/>
  <c r="J518" i="32" l="1"/>
  <c r="I519" i="32"/>
  <c r="J519" i="32" s="1"/>
</calcChain>
</file>

<file path=xl/sharedStrings.xml><?xml version="1.0" encoding="utf-8"?>
<sst xmlns="http://schemas.openxmlformats.org/spreadsheetml/2006/main" count="28610" uniqueCount="4238">
  <si>
    <r>
      <t xml:space="preserve">VER COMENTÁRIOS NAS CÉLULAS ANTES DE PREENCHER. 
</t>
    </r>
    <r>
      <rPr>
        <b/>
        <sz val="16"/>
        <color indexed="10"/>
        <rFont val="Calibri"/>
        <family val="2"/>
      </rPr>
      <t xml:space="preserve">FAVOR MANTER TODOS OS COMENTÁRIOS DAS CÉLULAS PARA FACILITAR A CONFERÊNCIA DO ARQUIVO </t>
    </r>
    <r>
      <rPr>
        <b/>
        <sz val="16"/>
        <color indexed="50"/>
        <rFont val="Calibri"/>
        <family val="2"/>
      </rPr>
      <t xml:space="preserve">
Sempre consultar a Cooordenação de arquivos da DITEC para quaisquer dúvidas. </t>
    </r>
  </si>
  <si>
    <t>GOVERNO DO DISTRITO FEDERAL</t>
  </si>
  <si>
    <t>DEFENSORIA PÚBLICA DO DISTRITO FEDERAL</t>
  </si>
  <si>
    <t>UNIDADE DE INFRAESTRUTURA</t>
  </si>
  <si>
    <t>Nº  ESTIMATIVA:</t>
  </si>
  <si>
    <t>TÍTULO:</t>
  </si>
  <si>
    <t>Nº PROJETO:</t>
  </si>
  <si>
    <t>NOME  PROJETO:</t>
  </si>
  <si>
    <t xml:space="preserve"> </t>
  </si>
  <si>
    <t>ENDEREÇO:</t>
  </si>
  <si>
    <t>PRAZO:</t>
  </si>
  <si>
    <t xml:space="preserve">DATA IMPRESSÃO:            </t>
  </si>
  <si>
    <t>ORÇAMENTISTA(S):</t>
  </si>
  <si>
    <t>PROCESSO:</t>
  </si>
  <si>
    <t>DATA BASE ORÇAMENTO:</t>
  </si>
  <si>
    <t>ÁREA CONSTRUÍDA:</t>
  </si>
  <si>
    <t>OBSERVAÇÕES:</t>
  </si>
  <si>
    <t>NOTAS:</t>
  </si>
  <si>
    <t>ITEM</t>
  </si>
  <si>
    <t>DISCRIMINAÇÃO DOS SERVIÇOS</t>
  </si>
  <si>
    <t>TOTAL (R$)</t>
  </si>
  <si>
    <t>% GLOBAL</t>
  </si>
  <si>
    <t>SERVIÇOS TÉCNICOS PROFISSIONAIS</t>
  </si>
  <si>
    <t>SERVIÇOS PRELIMINARES</t>
  </si>
  <si>
    <t>FUNDAÇÕES E ESTRUTURAS</t>
  </si>
  <si>
    <t>ARQUITETURA E ELEMENTOS DE URBANISMO</t>
  </si>
  <si>
    <t>INSTALAÇÕES HIDRÁULICAS E SANITÁRIAS</t>
  </si>
  <si>
    <t>INSTALAÇÕES ELÉTRICAS E ELETRÔNICAS</t>
  </si>
  <si>
    <t>INSTALAÇÕES DE PREVENÇÃO E COMBATE A INCÊNDIO</t>
  </si>
  <si>
    <t>SERVIÇOS COMPLEMENTARES</t>
  </si>
  <si>
    <t>OBJETO:</t>
  </si>
  <si>
    <t>LOCAL :</t>
  </si>
  <si>
    <t>DATA:</t>
  </si>
  <si>
    <t>DESCRIÇÃO</t>
  </si>
  <si>
    <t>1.1</t>
  </si>
  <si>
    <t>2.1</t>
  </si>
  <si>
    <t>2.2</t>
  </si>
  <si>
    <t>2.3</t>
  </si>
  <si>
    <t>2.4</t>
  </si>
  <si>
    <t>3.1</t>
  </si>
  <si>
    <t>3.2</t>
  </si>
  <si>
    <t>3.3</t>
  </si>
  <si>
    <t>4.1</t>
  </si>
  <si>
    <t>4.2</t>
  </si>
  <si>
    <t>4.3</t>
  </si>
  <si>
    <t>4.4</t>
  </si>
  <si>
    <t>5.1</t>
  </si>
  <si>
    <t>5.2</t>
  </si>
  <si>
    <t>5.3</t>
  </si>
  <si>
    <t>5.4</t>
  </si>
  <si>
    <t>6.1</t>
  </si>
  <si>
    <t>6.2</t>
  </si>
  <si>
    <t>7.1</t>
  </si>
  <si>
    <t>I</t>
  </si>
  <si>
    <t>8.1</t>
  </si>
  <si>
    <t>8.2</t>
  </si>
  <si>
    <t>8.3</t>
  </si>
  <si>
    <t>9.1</t>
  </si>
  <si>
    <t>10.1</t>
  </si>
  <si>
    <t xml:space="preserve">NOME:  </t>
  </si>
  <si>
    <t>CÓDIGO</t>
  </si>
  <si>
    <t>INSTALAÇÕES MECÂNICAS E DE UTILIDADES</t>
  </si>
  <si>
    <t>GOVERNO DO DISTRITO FEDERAL
DEFENSORIA PÚBLICA DO DISTRITO FEDERAL
UNIDADE DE INFRAESTRUTURA</t>
  </si>
  <si>
    <t>BENEFÍCIOS E DESPESAS INDIRETAS</t>
  </si>
  <si>
    <t>Edificações</t>
  </si>
  <si>
    <t>SEM Desoneração da Folha de Pagamento</t>
  </si>
  <si>
    <t>Médio</t>
  </si>
  <si>
    <t>Grupo</t>
  </si>
  <si>
    <t>Componentes</t>
  </si>
  <si>
    <t>Incidências</t>
  </si>
  <si>
    <t>Despesas Indiretas</t>
  </si>
  <si>
    <t>A</t>
  </si>
  <si>
    <t>Administração Central</t>
  </si>
  <si>
    <t>Seguros + Garantias</t>
  </si>
  <si>
    <t>Riscos</t>
  </si>
  <si>
    <t>Despesas Financeiras</t>
  </si>
  <si>
    <t>Subtotal A</t>
  </si>
  <si>
    <t>Tributos</t>
  </si>
  <si>
    <t>B</t>
  </si>
  <si>
    <t>COFINS - Contribuição Para o Financiamento Seguridade Social</t>
  </si>
  <si>
    <t>PIS - Programa de Integração Social</t>
  </si>
  <si>
    <t>ISS - Imposto Sobre Serviços de Qualquer Natureza</t>
  </si>
  <si>
    <t>CPRB - Contribuição Previdenciária Sobre Receita Bruta</t>
  </si>
  <si>
    <t>Subtotal B</t>
  </si>
  <si>
    <t>Bonificação</t>
  </si>
  <si>
    <t>C</t>
  </si>
  <si>
    <t>Lucro</t>
  </si>
  <si>
    <t>Subtotal C</t>
  </si>
  <si>
    <t>BDI</t>
  </si>
  <si>
    <t>FÓRMULA PARA CÁLCULO DO BDI</t>
  </si>
  <si>
    <t>BDI =</t>
  </si>
  <si>
    <t>[(</t>
  </si>
  <si>
    <t>(1 + (AC + S + R + G)) x ((1 + DF) X (1 + L))</t>
  </si>
  <si>
    <t>)</t>
  </si>
  <si>
    <t>]</t>
  </si>
  <si>
    <t>X 100</t>
  </si>
  <si>
    <t>(1 - 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</si>
  <si>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</si>
  <si>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</si>
  <si>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</si>
  <si>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</si>
  <si>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</si>
  <si>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</si>
  <si>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</si>
  <si>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</si>
  <si>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</si>
  <si>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</si>
  <si>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</si>
  <si>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</si>
  <si>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Incidência de Impostos</t>
  </si>
  <si>
    <t>Taxa Representativa da Incidência de Impostos é aplicada sobre o preço de venda da prestação do serviço, enquanto que as demais taxas são aplicadas sobre o custo</t>
  </si>
  <si>
    <t>Referência:</t>
  </si>
  <si>
    <t>Relatório do Acordão n° 2.622/2013 - TCU/Plenário</t>
  </si>
  <si>
    <t>Vias Urbanas e Rodovias (incluindo obras de arte especiais)</t>
  </si>
  <si>
    <t>COM Desoneração da Folha de Pagamento</t>
  </si>
  <si>
    <t>1º Quartil</t>
  </si>
  <si>
    <t>3º Quartil</t>
  </si>
  <si>
    <t>PREÇO
TOTAL R$</t>
  </si>
  <si>
    <t>1</t>
  </si>
  <si>
    <t>SINAPI</t>
  </si>
  <si>
    <t>ENGENHEIRO CIVIL DE OBRA JUNIOR COM ENCARGOS COMPLEMENTARES</t>
  </si>
  <si>
    <t>H</t>
  </si>
  <si>
    <t>ENCARREGADO GERAL DE OBRAS COM ENCARGOS COMPLEMENTARES</t>
  </si>
  <si>
    <t>MES</t>
  </si>
  <si>
    <t>2</t>
  </si>
  <si>
    <t>CANTEIRO DE OBRA</t>
  </si>
  <si>
    <t>2.1.1</t>
  </si>
  <si>
    <t>CONSTRUÇÕES PROVISÓRIAS</t>
  </si>
  <si>
    <t>2.1.1.1</t>
  </si>
  <si>
    <t>00010775</t>
  </si>
  <si>
    <t>LOCACAO DE CONTAINER 2,30 X 6,00 M, ALT. 2,50 M, COM 1 SANITARIO, PARA ESCRITORIO, COMPLETO, SEM DIVISORIAS INTERNAS (NAO INCLUI MOBILIZACAO/DESMOBILIZACAO)</t>
  </si>
  <si>
    <t>2.1.1.2</t>
  </si>
  <si>
    <t>00010777</t>
  </si>
  <si>
    <t>LOCACAO DE CONTAINER 2,30 X 4,30 M, ALT. 2,50 M, PARA SANITARIO, COM 3 BACIAS, 4 CHUVEIROS, 1 LAVATORIO E 1 MICTORIO (NAO INCLUI MOBILIZACAO/DESMOBILIZACAO)</t>
  </si>
  <si>
    <t>2.1.1.3</t>
  </si>
  <si>
    <t>00010776</t>
  </si>
  <si>
    <t>LOCACAO DE CONTAINER 2,30 X 6,00 M, ALT. 2,50 M, PARA ALMOXARIFE, SEM DIVISORIAS INTERNAS E SEM SANITARIO (NAO INCLUI MOBILIZACAO/DESMOBILIZACAO)</t>
  </si>
  <si>
    <t>2.1.1.4</t>
  </si>
  <si>
    <t>SP OBRAS</t>
  </si>
  <si>
    <t>M2</t>
  </si>
  <si>
    <t>2.1.2</t>
  </si>
  <si>
    <t>LIGAÇÕES PROVISÓRIAS</t>
  </si>
  <si>
    <t>2.1.2.1</t>
  </si>
  <si>
    <t>LIGAÇÃO PROVISÓRIA COM ENTRADA DE ENERGIA AÉREA, PADRÃO LOCAL DA CONCESSIONARIA - FORNECIMENTO E INSTALAÇÃO COMPLETA (INCLUSO TAXAS E DEMAIS DESPESAS)</t>
  </si>
  <si>
    <t>UN</t>
  </si>
  <si>
    <t>2.1.2.2</t>
  </si>
  <si>
    <t>LIGAÇÃO DE ÁGUA PROVISÓRIA PARA CANTEIRO - FORNECIMENTO E INSTALAÇÃO COMPLETA (INCLUSO TAXAS E DEMAIS DESPESAS)</t>
  </si>
  <si>
    <t>2.1.2.3</t>
  </si>
  <si>
    <t>8005508200SI104154</t>
  </si>
  <si>
    <t>CAESB</t>
  </si>
  <si>
    <t>LIGAÇÃO PREDIAL PROVISÓRIA DE ESGOTO, REDE DN 150 MM, COLETOR PREDIAL DN 100 MM, L = 6,0 M, LARGURA DA VALA = 0,65 M; COM SELIM E CURVA 90 GRAUS; ESCAVAÇÃO MANUAL, PREPARO DE FUNDO DE VALA E REATERRO COMPACTADO. AF_06/2022</t>
  </si>
  <si>
    <t>2.1.2.4</t>
  </si>
  <si>
    <t>CAIXA D´ÁGUA EM POLIETILENO, 1000 LITROS - FORNECIMENTO E INSTALAÇÃO. AF_06/2021</t>
  </si>
  <si>
    <t>2.1.3</t>
  </si>
  <si>
    <t>PROTEÇÃO E SINALIZAÇÃO</t>
  </si>
  <si>
    <t>2.1.3.1</t>
  </si>
  <si>
    <t>TAPUME COM TELHA METÁLICA. AF_03/2024</t>
  </si>
  <si>
    <t>2.1.3.2</t>
  </si>
  <si>
    <t>ORSE</t>
  </si>
  <si>
    <t>2.1.3.3</t>
  </si>
  <si>
    <t>2.2.1</t>
  </si>
  <si>
    <t>CANTEIRO DE OBRAS</t>
  </si>
  <si>
    <t>2.2.1.1</t>
  </si>
  <si>
    <t>REMOÇÃO DE TAPUME/ CHAPAS METÁLICAS E DE MADEIRA, DE FORMA MANUAL, SEM REAPROVEITAMENTO. AF_09/2023</t>
  </si>
  <si>
    <t>2.2.2</t>
  </si>
  <si>
    <t>CARGA, TRANSPORTE E DESCARGA DE MATERIAL DE DEMOLIÇÃO</t>
  </si>
  <si>
    <t>2.2.2.1</t>
  </si>
  <si>
    <t>M3</t>
  </si>
  <si>
    <t>LOCAÇÃO DE OBRA</t>
  </si>
  <si>
    <t>2.3.1</t>
  </si>
  <si>
    <t>EDIFICAÇÕES</t>
  </si>
  <si>
    <t>2.3.1.1</t>
  </si>
  <si>
    <t>LOCAÇÃO CONVENCIONAL DE OBRA, UTILIZANDO GABARITO DE TÁBUAS CORRIDAS PONTALETADAS A CADA 1,50M - 2 UTILIZAÇÕES. AF_03/2024</t>
  </si>
  <si>
    <t>M</t>
  </si>
  <si>
    <t>2.3.1.2</t>
  </si>
  <si>
    <t>MARCAÇÃO DE PONTOS EM GABARITO OU CAVALETE. AF_03/2024</t>
  </si>
  <si>
    <t>2.3.2</t>
  </si>
  <si>
    <t>IMPLANTAÇÃO</t>
  </si>
  <si>
    <t>2.3.2.1</t>
  </si>
  <si>
    <t>TERRAPLANAGEM</t>
  </si>
  <si>
    <t>2.4.1</t>
  </si>
  <si>
    <t>LIMPEZA E PREPARO DAS ÁREAS</t>
  </si>
  <si>
    <t>2.4.1.1</t>
  </si>
  <si>
    <t>LIMPEZA MECANIZADA DE CAMADA VEGETAL, VEGETAÇÃO E PEQUENAS ÁRVORES (DIÂMETRO DE TRONCO MENOR QUE 0,20 M), COM TRATOR DE ESTEIRAS. AF_03/2024</t>
  </si>
  <si>
    <t>CARGA, MANOBRA E DESCARGA DE ENTULHO EM CAMINHÃO BASCULANTE 14 M³ - CARGA COM ESCAVADEIRA HIDRÁULICA (CAÇAMBA DE 0,80 M³ / 111 HP) E DESCARGA LIVRE (UNIDADE: M3). AF_07/2020</t>
  </si>
  <si>
    <t>M3XKM</t>
  </si>
  <si>
    <t>2.4.2</t>
  </si>
  <si>
    <t>CORTE E ATERRO</t>
  </si>
  <si>
    <t>2.4.2.1</t>
  </si>
  <si>
    <t>2.4.2.2</t>
  </si>
  <si>
    <t>EXECUÇÃO E COMPACTAÇÃO DE ATERRO COM SOLO PREDOMINANTEMENTE ARGILOSO - EXCLUSIVE SOLO, ESCAVAÇÃO, CARGA E TRANSPORTE. AF_11/2019</t>
  </si>
  <si>
    <t>2.4.2.3</t>
  </si>
  <si>
    <t>3</t>
  </si>
  <si>
    <t>FUNDAÇÕES</t>
  </si>
  <si>
    <t>3.1.1</t>
  </si>
  <si>
    <t>ESTACAS</t>
  </si>
  <si>
    <t>3.1.1.1</t>
  </si>
  <si>
    <t>3.1.1.2</t>
  </si>
  <si>
    <t>3.1.1.3</t>
  </si>
  <si>
    <t>MONTAGEM DE ARMADURA TRANSVERSAL DE ESTACAS DE SEÇÃO CIRCULAR, DIÂMETRO = 6,30 MM. AF_09/2021_PS</t>
  </si>
  <si>
    <t>KG</t>
  </si>
  <si>
    <t>3.1.1.4</t>
  </si>
  <si>
    <t>MONTAGEM DE ARMADURA DE ESTACAS, DIÂMETRO = 12,5 MM. AF_09/2021_PS</t>
  </si>
  <si>
    <t>3.1.1.5</t>
  </si>
  <si>
    <t>ARRASAMENTO MECANICO DE ESTACA DE CONCRETO ARMADO, DIAMETROS DE ATÉ 40 CM. AF_05/2021</t>
  </si>
  <si>
    <t>3.1.2</t>
  </si>
  <si>
    <t>BLOCOS</t>
  </si>
  <si>
    <t>3.1.2.1</t>
  </si>
  <si>
    <t>ESCAVAÇÃO MANUAL PARA BLOCO DE COROAMENTO OU SAPATA (INCLUINDO ESCAVAÇÃO PARA COLOCAÇÃO DE FÔRMAS). AF_01/2024</t>
  </si>
  <si>
    <t>3.1.2.2</t>
  </si>
  <si>
    <t>101616</t>
  </si>
  <si>
    <t>PREPARO DE FUNDO DE VALA COM LARGURA MENOR QUE 1,5 M (ACERTO DO SOLO NATURAL). AF_08/2020</t>
  </si>
  <si>
    <t>3.1.2.3</t>
  </si>
  <si>
    <t>LASTRO DE CONCRETO MAGRO, APLICADO EM BLOCOS DE COROAMENTO OU SAPATAS. AF_01/2024</t>
  </si>
  <si>
    <t>3.1.2.4</t>
  </si>
  <si>
    <t>FABRICAÇÃO, MONTAGEM E DESMONTAGEM DE FÔRMA PARA BLOCO DE COROAMENTO, EM CHAPA DE MADEIRA COMPENSADA RESINADA, E=17 MM, 4 UTILIZAÇÕES. AF_01/2024</t>
  </si>
  <si>
    <t>3.1.2.5</t>
  </si>
  <si>
    <t>CONCRETAGEM DE BLOCO DE COROAMENTO OU VIGA BALDRAME, FCK 30 MPA, COM USO DE BOMBA - LANÇAMENTO, ADENSAMENTO E ACABAMENTO. AF_01/2024</t>
  </si>
  <si>
    <t>3.1.2.6</t>
  </si>
  <si>
    <t>IMPERMEABILIZAÇÃO DE SUPERFÍCIE COM EMULSÃO ASFÁLTICA, 2 DEMÃOS. AF_09/2023</t>
  </si>
  <si>
    <t>REATERRO MANUAL DE VALAS, COM COMPACTADOR DE SOLOS DE PERCUSSÃO. AF_08/2023</t>
  </si>
  <si>
    <t>3.1.3</t>
  </si>
  <si>
    <t>VIGA BALDRAME</t>
  </si>
  <si>
    <t>3.1.3.1</t>
  </si>
  <si>
    <t>ESCAVAÇÃO MANUAL PARA VIGA BALDRAME OU SAPATA CORRIDA (INCLUINDO ESCAVAÇÃO PARA COLOCAÇÃO DE FÔRMAS). AF_01/2024</t>
  </si>
  <si>
    <t>3.1.3.2</t>
  </si>
  <si>
    <t>3.1.3.3</t>
  </si>
  <si>
    <t>3.1.3.4</t>
  </si>
  <si>
    <t>FABRICAÇÃO, MONTAGEM E DESMONTAGEM DE FÔRMA PARA VIGA BALDRAME, EM CHAPA DE MADEIRA COMPENSADA RESINADA, E=17 MM, 4 UTILIZAÇÕES. AF_01/2024</t>
  </si>
  <si>
    <t>3.1.3.5</t>
  </si>
  <si>
    <t>3.1.3.6</t>
  </si>
  <si>
    <t>3.1.4</t>
  </si>
  <si>
    <t>3.1.4.1</t>
  </si>
  <si>
    <t>3.1.4.2</t>
  </si>
  <si>
    <t>3.1.4.3</t>
  </si>
  <si>
    <t>3.1.4.4</t>
  </si>
  <si>
    <t>ESTRUTURAS - SUPERESTRUTURA</t>
  </si>
  <si>
    <t>3.2.1</t>
  </si>
  <si>
    <t>PILARES</t>
  </si>
  <si>
    <t>3.2.1.1</t>
  </si>
  <si>
    <t>MONTAGEM E DESMONTAGEM DE FÔRMA DE PILARES RETANGULARES E ESTRUTURAS SIMILARES, PÉ-DIREITO SIMPLES, EM CHAPA DE MADEIRA COMPENSADA PLASTIFICADA, 10 UTILIZAÇÕES. AF_09/2020</t>
  </si>
  <si>
    <t>LAJES</t>
  </si>
  <si>
    <t>ARMAÇÃO DE BLOCO E VIGA BALDRAME UTILIZANDO AÇO CA-60 DE 5 MM - MONTAGEM. AF_01/2024</t>
  </si>
  <si>
    <t>ARMAÇÃO DE BLOCO E VIGA BALDRAME UTILIZANDO AÇO CA-50 DE 6,3 MM - MONTAGEM. AF_01/2024</t>
  </si>
  <si>
    <t>ARMAÇÃO DE BLOCO E VIGA BALDRAME UTILIZANDO AÇO CA-50 DE 8 MM - MONTAGEM. AF_01/2024</t>
  </si>
  <si>
    <t>ARMAÇÃO DE BLOCO E VIGA BALDRAME UTILIZANDO AÇO CA-50 DE 10 MM - MONTAGEM. AF_01/2024</t>
  </si>
  <si>
    <t>ARMAÇÃO DE BLOCO, SAPATA ISOLADA, VIGA BALDRAME E SAPATA CORRIDA UTILIZANDO AÇO CA-50 DE 12,5 MM - MONTAGEM. AF_01/2024</t>
  </si>
  <si>
    <t>ARMAÇÃO DE PILAR OU VIGA DE ESTRUTURA CONVENCIONAL DE CONCRETO ARMADO UTILIZANDO AÇO CA-60 DE 5,0 MM - MONTAGEM. AF_06/2022</t>
  </si>
  <si>
    <t>ARMAÇÃO DE PILAR OU VIGA DE ESTRUTURA CONVENCIONAL DE CONCRETO ARMADO UTILIZANDO AÇO CA-50 DE 10,0 MM - MONTAGEM. AF_06/2022</t>
  </si>
  <si>
    <t>ESTRUTURA METÁLICA</t>
  </si>
  <si>
    <t>COBERTURA</t>
  </si>
  <si>
    <t>ARQUITETURA</t>
  </si>
  <si>
    <t>4.1.1</t>
  </si>
  <si>
    <t>PAREDES</t>
  </si>
  <si>
    <t>4.1.1.1</t>
  </si>
  <si>
    <t>ALVENARIA</t>
  </si>
  <si>
    <t>ALVENARIA DE VEDAÇÃO DE BLOCOS VAZADOS DE CONCRETO DE 14X19X29 CM (ESPESSURA 14 CM) E ARGAMASSA DE ASSENTAMENTO COM PREPARO EM BETONEIRA. AF_12/2021</t>
  </si>
  <si>
    <t>4.1.1.1.2</t>
  </si>
  <si>
    <t>4.1.1.1.3</t>
  </si>
  <si>
    <t>VERGA E CONTRAVERGA MOLDADA IN LOCO COM UTILIZAÇÃO DE BLOCOS CANALETA</t>
  </si>
  <si>
    <t>4.1.1.2</t>
  </si>
  <si>
    <t>DRYWALL</t>
  </si>
  <si>
    <t>4.1.1.2.1</t>
  </si>
  <si>
    <t>4.1.1.2.2</t>
  </si>
  <si>
    <t>4.1.2</t>
  </si>
  <si>
    <t>ESQUADRIAS</t>
  </si>
  <si>
    <t>4.1.2.1</t>
  </si>
  <si>
    <t>PORTAS</t>
  </si>
  <si>
    <t>4.1.2.1.1</t>
  </si>
  <si>
    <t>4.1.2.1.2</t>
  </si>
  <si>
    <t>4.1.2.1.3</t>
  </si>
  <si>
    <t>4.1.2.1.4</t>
  </si>
  <si>
    <t>4.1.2.1.5</t>
  </si>
  <si>
    <t>4.1.2.1.6</t>
  </si>
  <si>
    <t>4.1.2.1.7</t>
  </si>
  <si>
    <t>4.1.2.2</t>
  </si>
  <si>
    <t>4.1.2.2.1</t>
  </si>
  <si>
    <t>4.1.3</t>
  </si>
  <si>
    <t>4.1.3.1</t>
  </si>
  <si>
    <t>4.1.4</t>
  </si>
  <si>
    <t>4.1.4.1</t>
  </si>
  <si>
    <t>4.1.4.2</t>
  </si>
  <si>
    <t>4.1.4.3</t>
  </si>
  <si>
    <t>4.1.5</t>
  </si>
  <si>
    <t>REVESTIMENTOS</t>
  </si>
  <si>
    <t>4.1.5.1</t>
  </si>
  <si>
    <t>REVESTIMENTOS PARA PISO</t>
  </si>
  <si>
    <t>4.1.5.1.1</t>
  </si>
  <si>
    <t>CIMENTADOS</t>
  </si>
  <si>
    <t>4.1.5.1.1.1</t>
  </si>
  <si>
    <t>LASTRO COM MATERIAL GRANULAR (PEDRA BRITADA N.1 E PEDRA BRITADA N.2), APLICADO EM PISOS OU LAJES SOBRE SOLO, ESPESSURA DE *6 CM*. AF_01/2024</t>
  </si>
  <si>
    <t>4.1.5.1.1.2</t>
  </si>
  <si>
    <t>4.1.5.1.1.3</t>
  </si>
  <si>
    <t>4.1.5.1.2</t>
  </si>
  <si>
    <t>CERÂMICOS</t>
  </si>
  <si>
    <t>4.1.5.1.2.1</t>
  </si>
  <si>
    <t>4.1.5.1.2.2</t>
  </si>
  <si>
    <t>4.1.5.1.3</t>
  </si>
  <si>
    <t>4.1.5.1.3.1</t>
  </si>
  <si>
    <t>4.1.5.2</t>
  </si>
  <si>
    <t>REVESTIMENTOS PARA PAREDE</t>
  </si>
  <si>
    <t>4.1.5.2.1</t>
  </si>
  <si>
    <t>4.1.5.2.2</t>
  </si>
  <si>
    <t>FUNDO SELADOR ACRÍLICO, APLICAÇÃO MANUAL EM PAREDE, UMA DEMÃO. AF_04/2023</t>
  </si>
  <si>
    <t>PINTURA LÁTEX ACRÍLICA PREMIUM, APLICAÇÃO MANUAL EM PAREDES, DUAS DEMÃOS. AF_04/2023</t>
  </si>
  <si>
    <t>4.1.5.3</t>
  </si>
  <si>
    <t>FUNDO SELADOR ACRÍLICO, APLICAÇÃO MANUAL EM TETO, UMA DEMÃO. AF_04/2023</t>
  </si>
  <si>
    <t>PINTURA LÁTEX ACRÍLICA PREMIUM, APLICAÇÃO MANUAL EM TETO, DUAS DEMÃOS. AF_04/2023</t>
  </si>
  <si>
    <t>REVESTIMENTOS DE FORRO</t>
  </si>
  <si>
    <t>4.1.6</t>
  </si>
  <si>
    <t>SANITÁRIOS E COPAS</t>
  </si>
  <si>
    <t>4.1.6.1</t>
  </si>
  <si>
    <t>SANITÁRIOS</t>
  </si>
  <si>
    <t>4.1.6.1.1</t>
  </si>
  <si>
    <t>4.1.6.1.2</t>
  </si>
  <si>
    <t>CJ</t>
  </si>
  <si>
    <t>4.1.6.1.3</t>
  </si>
  <si>
    <t>4.1.6.1.4</t>
  </si>
  <si>
    <t>4.1.6.1.5</t>
  </si>
  <si>
    <t>4.1.6.1.6</t>
  </si>
  <si>
    <t>4.1.6.1.7</t>
  </si>
  <si>
    <t>4.1.6.1.8</t>
  </si>
  <si>
    <t>4.1.6.2</t>
  </si>
  <si>
    <t>COPAS</t>
  </si>
  <si>
    <t>4.1.6.2.1</t>
  </si>
  <si>
    <t>4.1.6.2.2</t>
  </si>
  <si>
    <t>4.1.7</t>
  </si>
  <si>
    <t>ACESSÓRIOS</t>
  </si>
  <si>
    <t>4.1.7.1</t>
  </si>
  <si>
    <t>COMUNICAÇÃO VISUAL</t>
  </si>
  <si>
    <t>4.2.1</t>
  </si>
  <si>
    <t>PAISAGISMO</t>
  </si>
  <si>
    <t>4.3.1</t>
  </si>
  <si>
    <t>4.3.2</t>
  </si>
  <si>
    <t>EXTERNO</t>
  </si>
  <si>
    <t>4.4.1</t>
  </si>
  <si>
    <t>PISOS</t>
  </si>
  <si>
    <t>4.4.1.1</t>
  </si>
  <si>
    <t>4.4.1.2</t>
  </si>
  <si>
    <t>4.4.2</t>
  </si>
  <si>
    <t>ESCADAS</t>
  </si>
  <si>
    <t>4.4.2.1</t>
  </si>
  <si>
    <t>APLICAÇÃO DE LONA PLÁSTICA PARA EXECUÇÃO DE PAVIMENTOS DE CONCRETO. AF_04/2022</t>
  </si>
  <si>
    <t>4.4.2.2</t>
  </si>
  <si>
    <t>ALVENARIA DE VEDAÇÃO DE BLOCOS CERÂMICOS MACIÇOS DE 5X10X20CM (ESPESSURA 10CM) E ARGAMASSA DE ASSENTAMENTO COM PREPARO EM BETONEIRA. AF_05/2020</t>
  </si>
  <si>
    <t>4.4.3</t>
  </si>
  <si>
    <t>4.4.3.2</t>
  </si>
  <si>
    <t>CONEXÕES</t>
  </si>
  <si>
    <t>TUBULAÇÃO</t>
  </si>
  <si>
    <t>5.2.1</t>
  </si>
  <si>
    <t>5.2.2</t>
  </si>
  <si>
    <t>5.3.1</t>
  </si>
  <si>
    <t>5.3.2</t>
  </si>
  <si>
    <t>5.3.3</t>
  </si>
  <si>
    <t>EQUIPAMENTOS E PEÇAS SANITÁRIAS</t>
  </si>
  <si>
    <t>5.4.1</t>
  </si>
  <si>
    <t>5.4.2</t>
  </si>
  <si>
    <t>5.4.3</t>
  </si>
  <si>
    <t>REGISTRO DE ESFERA, PVC, SOLDÁVEL, COM VOLANTE, DN 32 MM - FORNECIMENTO E INSTALAÇÃO. AF_08/2021</t>
  </si>
  <si>
    <t>REGISTRO DE ESFERA, PVC, SOLDÁVEL, COM VOLANTE, DN 50 MM - FORNECIMENTO E INSTALAÇÃO. AF_08/2021</t>
  </si>
  <si>
    <t>INSTALAÇÕES ELÉTRICAS</t>
  </si>
  <si>
    <t>6.1.1</t>
  </si>
  <si>
    <t>ELETRODUTOS E LEITOS</t>
  </si>
  <si>
    <t>6.1.1.1</t>
  </si>
  <si>
    <t>ELETRODUTO FLEXÍVEL CORRUGADO, PEAD, DN 90 (3") - FORNECIMENTO E INSTALAÇÃO. AF_12/2021</t>
  </si>
  <si>
    <t>6.1.1.2</t>
  </si>
  <si>
    <t>6.1.1.3</t>
  </si>
  <si>
    <t>6.1.1.4</t>
  </si>
  <si>
    <t>ELETRODUTO FLEXÍVEL CORRUGADO, PEAD, DN 32 MM (1") - FORNECIMENTO E INSTALAÇÃO. AF_03/2023</t>
  </si>
  <si>
    <t>6.1.2</t>
  </si>
  <si>
    <t>QUADROS E CAIXAS</t>
  </si>
  <si>
    <t>6.1.2.1</t>
  </si>
  <si>
    <t>6.1.2.2</t>
  </si>
  <si>
    <t>6.1.2.3</t>
  </si>
  <si>
    <t>6.1.2.4</t>
  </si>
  <si>
    <t>6.1.3</t>
  </si>
  <si>
    <t>DISPOSITIVOS DE PROTEÇÃO</t>
  </si>
  <si>
    <t>6.1.3.1</t>
  </si>
  <si>
    <t>6.1.3.2</t>
  </si>
  <si>
    <t>6.1.3.3</t>
  </si>
  <si>
    <t>6.1.3.4</t>
  </si>
  <si>
    <t>6.1.3.5</t>
  </si>
  <si>
    <t>6.1.4</t>
  </si>
  <si>
    <t>ILUMINAÇÃO, TOMADAS E ACESSÓRIOS</t>
  </si>
  <si>
    <t>6.1.5</t>
  </si>
  <si>
    <t>CONDUTORES</t>
  </si>
  <si>
    <t>6.1.5.1</t>
  </si>
  <si>
    <t>CABO DE COBRE FLEXÍVEL ISOLADO, 6 MM², ANTI-CHAMA 450/750 V - FORNECIMENTO E INSTALAÇÃO. AF_03/2023</t>
  </si>
  <si>
    <t>6.1.5.2</t>
  </si>
  <si>
    <t>CABO DE COBRE FLEXÍVEL ISOLADO, 4 MM², ANTI-CHAMA 450/750 V - FORNECIMENTO E INSTALAÇÃO. AF_03/2023</t>
  </si>
  <si>
    <t>6.1.6</t>
  </si>
  <si>
    <t>PADRÃO DE ENTRADA</t>
  </si>
  <si>
    <t>SPDA</t>
  </si>
  <si>
    <t>6.2.1</t>
  </si>
  <si>
    <t>6.2.2</t>
  </si>
  <si>
    <t>6.2.3</t>
  </si>
  <si>
    <t>6.2.4</t>
  </si>
  <si>
    <t>6.2.5</t>
  </si>
  <si>
    <t>6.2.6</t>
  </si>
  <si>
    <t>6.2.7</t>
  </si>
  <si>
    <t>HASTE DE ATERRAMENTO, DIÂMETRO 5/8" PARA SPDA- FORNECIMENTO E INSTALAÇÃO. AF_08/2023</t>
  </si>
  <si>
    <t>6.2.8</t>
  </si>
  <si>
    <t>6.2.9</t>
  </si>
  <si>
    <t>6.2.10</t>
  </si>
  <si>
    <t>00037560</t>
  </si>
  <si>
    <t>PLACA DE SINALIZACAO DE SEGURANCA CONTRA INCENDIO - ALERTA, TRIANGULAR, BASE DE *30* CM, EM PVC *2* MM ANTI-CHAMAS (SIMBOLOS, CORES E PICTOGRAMAS CONFORME NBR 16820)</t>
  </si>
  <si>
    <t>93358</t>
  </si>
  <si>
    <t>ESCAVAÇÃO MANUAL DE VALA COM PROFUNDIDADE MENOR OU IGUAL A 1,30 M. AF_02/2021</t>
  </si>
  <si>
    <t>6.3</t>
  </si>
  <si>
    <t>TELEMÁTICA</t>
  </si>
  <si>
    <t>6.3.1</t>
  </si>
  <si>
    <t>INFRAESTRUTURA</t>
  </si>
  <si>
    <t>6.3.1.1</t>
  </si>
  <si>
    <t>QUADRO DE DISTRIBUIÇÃO PARA TELEFONE N.2, 20X20X12CM EM CHAPA METALICA, DE EMBUTIR, SEM ACESSORIOS, FORNECIMENTO E INSTALAÇÃO. AF_11/2019</t>
  </si>
  <si>
    <t>6.3.1.2</t>
  </si>
  <si>
    <t>RACK ABERTO EM COLUNA PARA SERVIDOR - FORNECIMENTO E INSTALAÇÃO. AF_11/2019</t>
  </si>
  <si>
    <t>6.3.1.3</t>
  </si>
  <si>
    <t>CAIXA RETANGULAR 4" X 2" MÉDIA, PVC, INSTALADA EM PAREDE - FORNECIMENTO E INSTALAÇÃO. AF_03/2023</t>
  </si>
  <si>
    <t>6.3.1.4</t>
  </si>
  <si>
    <t>ELETRODUTO FLEXÍVEL CORRUGADO, PEAD, DN 50 (1 1/2"), PARA REDE ENTERRADA DE DISTRIBUIÇÃO DE ENERGIA ELÉTRICA - FORNECIMENTO E INSTALAÇÃO. AF_12/2021</t>
  </si>
  <si>
    <t>ELETRODUTO FLEXÍVEL CORRUGADO, PVC, DN 25 MM (3/4") - FORNECIMENTO E INSTALAÇÃO. AF_03/2023</t>
  </si>
  <si>
    <t>ELETRODUTO FLEXÍVEL CORRUGADO, PVC, DN 32 MM (1") - FORNECIMENTO E INSTALAÇÃO. AF_03/2023</t>
  </si>
  <si>
    <t>6.3.2</t>
  </si>
  <si>
    <t>EQUIPAMENTOS E ACESSÓRIOS</t>
  </si>
  <si>
    <t>6.3.2.1</t>
  </si>
  <si>
    <t>00038091</t>
  </si>
  <si>
    <t>6.3.2.2</t>
  </si>
  <si>
    <t>6.3.2.3</t>
  </si>
  <si>
    <t>6.3.2.4</t>
  </si>
  <si>
    <t>6.3.2.5</t>
  </si>
  <si>
    <t>6.3.2.6</t>
  </si>
  <si>
    <t>P.13.000.030526</t>
  </si>
  <si>
    <t>6.3.3</t>
  </si>
  <si>
    <t>6.3.3.1</t>
  </si>
  <si>
    <t>7</t>
  </si>
  <si>
    <t>CLIMATIZAÇÃO</t>
  </si>
  <si>
    <t>7.1.1</t>
  </si>
  <si>
    <t>INSTALAÇÕES DE AR CONDICIONADO</t>
  </si>
  <si>
    <t>7.1.1.1</t>
  </si>
  <si>
    <t>EQUIPAMENTOS DE AR</t>
  </si>
  <si>
    <t>7.1.1.1.1</t>
  </si>
  <si>
    <t>AR CONDICIONADO SPLIT INVERTER, HI-WALL (PAREDE), 18000 BTU/H, CICLO FRIO - FORNECIMENTO E INSTALAÇÃO. AF_11/2021_PE</t>
  </si>
  <si>
    <t>7.1.1.1.2</t>
  </si>
  <si>
    <t>AR CONDICIONADO SPLIT INVERTER, HI-WALL (PAREDE), 12000 BTU/H, CICLO FRIO - FORNECIMENTO E INSTALAÇÃO. AF_11/2021_PE</t>
  </si>
  <si>
    <t>7.1.1.1.3</t>
  </si>
  <si>
    <t>AR CONDICIONADO SPLIT INVERTER, HI-WALL (PAREDE), 9000 BTU/H, CICLO FRIO - FORNECIMENTO E INSTALAÇÃO. AF_11/2021_PE</t>
  </si>
  <si>
    <t>7.1.1.2</t>
  </si>
  <si>
    <t>TUBULAÇÃO E ACESSÓRIOS</t>
  </si>
  <si>
    <t>7.1.1.2.1</t>
  </si>
  <si>
    <t>7.1.1.2.2</t>
  </si>
  <si>
    <t>7.1.1.2.3</t>
  </si>
  <si>
    <t>7.1.1.2.4</t>
  </si>
  <si>
    <t>7.1.2</t>
  </si>
  <si>
    <t>DUTOS</t>
  </si>
  <si>
    <t>8</t>
  </si>
  <si>
    <t>ILUMINAÇÃO DE EMERGÊNCIA</t>
  </si>
  <si>
    <t>8.3.1</t>
  </si>
  <si>
    <t>9</t>
  </si>
  <si>
    <t>LIMPEZA DE OBRA</t>
  </si>
  <si>
    <t>10</t>
  </si>
  <si>
    <t>SERVIÇOS AUXILIARES</t>
  </si>
  <si>
    <t>MÁQUINAS E EQUIPAMENTOS</t>
  </si>
  <si>
    <t>10.1.1</t>
  </si>
  <si>
    <t>MXMES</t>
  </si>
  <si>
    <t>VALOR COM ENCARGOS:</t>
  </si>
  <si>
    <t>VALOR TOTAL:</t>
  </si>
  <si>
    <t>ARMADURAS TOTAIS</t>
  </si>
  <si>
    <t>SOLEIRAS E PEITORIS</t>
  </si>
  <si>
    <t>4.1.6.1.9</t>
  </si>
  <si>
    <t>4.1.6.1.10</t>
  </si>
  <si>
    <t>4.1.6.1.11</t>
  </si>
  <si>
    <t>4.1.6.1.12</t>
  </si>
  <si>
    <t>4.1.6.1.13</t>
  </si>
  <si>
    <t>4.1.6.2.3</t>
  </si>
  <si>
    <t>4.4.4</t>
  </si>
  <si>
    <t>4.4.4.1</t>
  </si>
  <si>
    <t>4.4.4.2</t>
  </si>
  <si>
    <t>5.1.1</t>
  </si>
  <si>
    <t>TE, PVC, SOLDÁVEL, DN 50MM - FORNECIMENTO E INSTALAÇÃO. AF_06/2022</t>
  </si>
  <si>
    <t>5.1.2</t>
  </si>
  <si>
    <t>5.1.3</t>
  </si>
  <si>
    <t>TE, PVC, SOLDÁVEL, DN 25MM - FORNECIMENTO E INSTALAÇÃO. AF_06/2022</t>
  </si>
  <si>
    <t>5.1.4</t>
  </si>
  <si>
    <t>JOELHO 90 GRAUS, PVC, SOLDÁVEL, DN 25MM - FORNECIMENTO E INSTALAÇÃO. AF_06/2022</t>
  </si>
  <si>
    <t>JOELHO 45 GRAUS, PVC, SOLDÁVEL, DN 25MM - FORNECIMENTO E INSTALAÇÃO. AF_06/2022</t>
  </si>
  <si>
    <t>BUCHA DE REDUÇÃO PVC, SOLDÁVEL, LONGA, DN 50 X 25 MM - FORNECIMENTO E INSTALAÇÃO. AF_04/2024</t>
  </si>
  <si>
    <t>BUCHA DE REDUÇÃO, CURTA, PVC, SOLDÁVEL, DN 32 X 25 MM - FORNECIMENTO E INSTALAÇÃO. AF_06/2022</t>
  </si>
  <si>
    <t>TE, PVC, SERIE NORMAL, ESGOTO PREDIAL, DN 50 X 50 MM, JUNTA ELÁSTICA, FORNECIDO E INSTALADO</t>
  </si>
  <si>
    <t>TERMINAL DE VENTILAÇÃO, PVC, SÉRIE NORMAL, ESGOTO PREDIAL, DN 50 MM, JUNTA SOLDÁVEL, FORNECIDO E INSTALADO</t>
  </si>
  <si>
    <t>LUVA SIMPLES, PVC, SERIE NORMAL, ESGOTO PREDIAL, DN 100 MM, JUNTA ELÁSTICA, FORNECIDO E INSTALADO</t>
  </si>
  <si>
    <t>LUVA SIMPLES, PVC, SERIE NORMAL, ESGOTO PREDIAL, DN 50 MM, JUNTA ELÁSTICA, FORNECIDO E INSTALADO</t>
  </si>
  <si>
    <t>JUNÇÃO SIMPLES, PVC, SERIE NORMAL, ESGOTO PREDIAL, DN 100 X 50 MM, JUNTA ELÁSTICA, FORNECIDO E INSTALADO</t>
  </si>
  <si>
    <t>JOELHO 90 GRAUS, PVC, SERIE NORMAL, ESGOTO PREDIAL, DN 100 MM, JUNTA ELÁSTICA, FORNECIDO E INSTALADO</t>
  </si>
  <si>
    <t>JOELHO 90 GRAUS, PVC, SERIE NORMAL, ESGOTO PREDIAL, DN 50 MM, JUNTA ELÁSTICA, FORNECIDO E INSTALADO</t>
  </si>
  <si>
    <t>JOELHO 90 GRAUS, PVC, SERIE NORMAL, ESGOTO PREDIAL, DN 40 MM, JUNTA SOLDÁVEL, FORNECIDO E INSTALADO</t>
  </si>
  <si>
    <t>JOELHO 45 GRAUS, PVC, SERIE NORMAL, ESGOTO PREDIAL, DN 100 MM, JUNTA ELÁSTICA, FORNECIDO E INSTALADO</t>
  </si>
  <si>
    <t>JOELHO 45 GRAUS, PVC, SERIE NORMAL, ESGOTO PREDIAL, DN 50 MM, JUNTA ELÁSTICA, FORNECIDO E INSTALADO</t>
  </si>
  <si>
    <t>JOELHO 45 GRAUS, PVC, SERIE NORMAL, ESGOTO PREDIAL, DN 40 MM, JUNTA SOLDÁVEL, FORNECIDO E INSTALADO</t>
  </si>
  <si>
    <t>TUBO, PVC, SOLDÁVEL, DN 25MM - FORNECIMENTO E INSTALAÇÃO. AF_06/2022</t>
  </si>
  <si>
    <t>TUBO, PVC, SOLDÁVEL, DN 32MM - FORNECIMENTO E INSTALAÇÃO. AF_06/2022</t>
  </si>
  <si>
    <t>TUBO PVC, SERIE NORMAL, ESGOTO PREDIAL, DN 40 MM, FORNECIDO E INSTALADO</t>
  </si>
  <si>
    <t>TUBO PVC, SERIE NORMAL, ESGOTO PREDIAL, DN 50 MM, FORNECIDO E INSTALADO</t>
  </si>
  <si>
    <t>TUBO, PVC, SOLDÁVEL, DN 50MM - FORNECIMENTO E INSTALAÇÃO. AF_06/2022</t>
  </si>
  <si>
    <t>TUBO PVC, SERIE NORMAL, ESGOTO PREDIAL, DN 100 MM, FORNECIDO E INSTALADO</t>
  </si>
  <si>
    <t>6.1.1.5</t>
  </si>
  <si>
    <t>ELETRODUTO FLEXÍVEL CORRUGADO, PVC, DN 40 MM (1 1/4") - FORNECIMENTO E INSTALAÇÃO. AF_03/2023</t>
  </si>
  <si>
    <t>6.1.1.6</t>
  </si>
  <si>
    <t>6.1.1.7</t>
  </si>
  <si>
    <t>6.1.1.8</t>
  </si>
  <si>
    <t>6.1.1.9</t>
  </si>
  <si>
    <t>6.1.1.10</t>
  </si>
  <si>
    <t>CAIXA RETANGULAR 4" X 2", PVC - FORNECIMENTO E INSTALAÇÃO. AF_03/2023</t>
  </si>
  <si>
    <t>CAIXA RETANGULAR 4" X 4" , PVC - FORNECIMENTO E INSTALAÇÃO. AF_03/2023</t>
  </si>
  <si>
    <t>CAIXA OCTOGONAL 4" X 4", METÁLICA - FORNECIMENTO E INSTALAÇÃO. AF_03/2023</t>
  </si>
  <si>
    <t>6.1.2.5</t>
  </si>
  <si>
    <t>CAIXA ENTERRADA ELÉTRICA RETANGULAR, EM ALVENARIA COM BLOCOS DE CONCRETO, FUNDO COM BRITA, DIMENSÕES INTERNAS: 0,6X0,6X0,6 M. AF_12/2020</t>
  </si>
  <si>
    <t>6.1.2.6</t>
  </si>
  <si>
    <t>6.1.2.7</t>
  </si>
  <si>
    <t>6.1.2.8</t>
  </si>
  <si>
    <t>6.1.2.9</t>
  </si>
  <si>
    <t>DISJUNTOR MONOPOLAR TIPO DIN, CORRENTE NOMINAL DE 10A - FORNECIMENTO E INSTALAÇÃO. AF_10/2020</t>
  </si>
  <si>
    <t>DISJUNTOR MONOPOLAR TIPO DIN, CORRENTE NOMINAL DE 20A - FORNECIMENTO E INSTALAÇÃO. AF_10/2020</t>
  </si>
  <si>
    <t>6.1.3.6</t>
  </si>
  <si>
    <t>6.1.3.7</t>
  </si>
  <si>
    <t>6.1.3.8</t>
  </si>
  <si>
    <t>DISJUNTOR BIPOLAR TIPO DIN, CORRENTE NOMINAL DE 32A - FORNECIMENTO E INSTALAÇÃO. AF_10/2020</t>
  </si>
  <si>
    <t>6.1.3.9</t>
  </si>
  <si>
    <t>6.1.3.10</t>
  </si>
  <si>
    <t>6.1.3.11</t>
  </si>
  <si>
    <t>DISJUNTOR TRIPOLAR TIPO DIN, CORRENTE NOMINAL DE 60 ATÉ 100A - FORNECIMENTO E INSTALAÇÃO. AF_10/2020</t>
  </si>
  <si>
    <t>6.1.3.12</t>
  </si>
  <si>
    <t>6.1.3.13</t>
  </si>
  <si>
    <t>6.1.3.14</t>
  </si>
  <si>
    <t>6.1.3.15</t>
  </si>
  <si>
    <t>6.1.3.16</t>
  </si>
  <si>
    <t>CONTATOR TRIPOLAR I NOMINAL 32A - FORNECIMENTO E INSTALAÇÃO. AF_10/2020</t>
  </si>
  <si>
    <t>6.1.3.17</t>
  </si>
  <si>
    <t>6.1.3.18</t>
  </si>
  <si>
    <t>00004814</t>
  </si>
  <si>
    <t>APARELHO SINALIZADOR LUMINOSO COM LED, COM 2 LENTES EM POLICARBONATO, BIVOLT (INCLUI SUPORTE DE FIXACAO)</t>
  </si>
  <si>
    <t>6.1.3.19</t>
  </si>
  <si>
    <t>INSTALAÇÃO DE SINALIZADOR NOTURNO LED. AF_03/2024</t>
  </si>
  <si>
    <t>6.1.3.20</t>
  </si>
  <si>
    <t>RELÉ FOTOELÉTRICO PARA COMANDO DE ILUMINAÇÃO EXTERNA 1000 W - FORNECIMENTO E INSTALAÇÃO. AF_08/2020</t>
  </si>
  <si>
    <t>6.1.4.1</t>
  </si>
  <si>
    <t>TOMADA DE EMBUTIR (1 MÓDULO), 2P+T 10 A, INCLUINDO SUPORTE E PLACA - FORNECIMENTO E INSTALAÇÃO. AF_03/2023</t>
  </si>
  <si>
    <t>6.1.4.2</t>
  </si>
  <si>
    <t>TOMADA DE EMBUTIR (1 MÓDULO), 2P+T 20 A, INCLUINDO SUPORTE E PLACA - FORNECIMENTO E INSTALAÇÃO. AF_03/2023</t>
  </si>
  <si>
    <t>6.1.4.3</t>
  </si>
  <si>
    <t>TOMADA DE EMBUTIR (2 MÓDULOS), 2P+T 10 A, INCLUINDO SUPORTE E PLACA - FORNECIMENTO E INSTALAÇÃO. AF_03/2023</t>
  </si>
  <si>
    <t>6.1.4.4</t>
  </si>
  <si>
    <t>TOMADA DE EMBUTIR (4 MÓDULOS), 2P+T 10 A, INCLUINDO SUPORTE E PLACA - FORNECIMENTO E INSTALAÇÃO. AF_03/2023</t>
  </si>
  <si>
    <t>6.1.4.5</t>
  </si>
  <si>
    <t>INTERRUPTOR PARALELO (1 MÓDULO), 10A/250V, INCLUINDO SUPORTE E PLACA - FORNECIMENTO E INSTALAÇÃO. AF_03/2023</t>
  </si>
  <si>
    <t>6.1.4.6</t>
  </si>
  <si>
    <t>6.1.4.7</t>
  </si>
  <si>
    <t>INTERRUPTOR SIMPLES (4 MÓDULOS), 10A/250V, SEM SUPORTE E SEM PLACA - FORNECIMENTO E INSTALAÇÃO. AF_03/2023</t>
  </si>
  <si>
    <t>6.1.4.8</t>
  </si>
  <si>
    <t>INTERRUPTOR PARALELO (1 MÓDULO) COM 1 TOMADA DE EMBUTIR 2P+T 10 A, INCLUINDO SUPORTE E PLACA - FORNECIMENTO E INSTALAÇÃO. AF_03/2023</t>
  </si>
  <si>
    <t>6.1.4.9</t>
  </si>
  <si>
    <t>PLACA COM FURO 4" X 2", PARA SAÍDA DE FIOS</t>
  </si>
  <si>
    <t>6.1.4.10</t>
  </si>
  <si>
    <t>6.1.4.11</t>
  </si>
  <si>
    <t>6.1.4.12</t>
  </si>
  <si>
    <t>6.1.4.13</t>
  </si>
  <si>
    <t>6.1.4.14</t>
  </si>
  <si>
    <t>CABO DE COBRE FLEXÍVEL ISOLADO, 70 MM², ANTI-CHAMA 0,6/1,0 KV - FORNECIMENTO E INSTALAÇÃO. AF_12/2021</t>
  </si>
  <si>
    <t>CABO DE COBRE FLEXÍVEL ISOLADO, 25 MM², ANTI-CHAMA 0,6/1,0 KV - FORNECIMENTO E INSTALAÇÃO. AF_12/2021</t>
  </si>
  <si>
    <t>6.1.5.3</t>
  </si>
  <si>
    <t>CABO DE COBRE FLEXÍVEL ISOLADO, 16 MM², ANTI-CHAMA 0,6/1,0 KV - FORNECIMENTO E INSTALAÇÃO. AF_03/2023</t>
  </si>
  <si>
    <t>6.1.5.4</t>
  </si>
  <si>
    <t>6.1.5.5</t>
  </si>
  <si>
    <t>6.1.5.6</t>
  </si>
  <si>
    <t>CABO DE COBRE FLEXÍVEL ISOLADO, 2,5 MM², ANTI-CHAMA 450/750 V - FORNECIMENTO E INSTALAÇÃO. AF_03/2023</t>
  </si>
  <si>
    <t>6.1.5.7</t>
  </si>
  <si>
    <t>6.1.5.8</t>
  </si>
  <si>
    <t>6.1.5.9</t>
  </si>
  <si>
    <t>6.1.5.10</t>
  </si>
  <si>
    <t>6.1.6.1</t>
  </si>
  <si>
    <t>FONTE</t>
  </si>
  <si>
    <t>UNID</t>
  </si>
  <si>
    <t>COEFICIENTE</t>
  </si>
  <si>
    <t>PREÇO UNITÁRIO</t>
  </si>
  <si>
    <t>TOTAL</t>
  </si>
  <si>
    <t>Mão de Obra</t>
  </si>
  <si>
    <t>TOTAL Mão de Obra:</t>
  </si>
  <si>
    <t>Serviço</t>
  </si>
  <si>
    <t>TOTAL Serviço:</t>
  </si>
  <si>
    <t>Equipamento</t>
  </si>
  <si>
    <t>TOTAL Equipamento:</t>
  </si>
  <si>
    <t>P.28.000.049743</t>
  </si>
  <si>
    <t>Reator eletrônico com partida instantânea de alto fator de potência (AFP), para lâmpada fluorescente tubular, base bipino bilateral, 2x32W / 127-220V</t>
  </si>
  <si>
    <t>SP Obras</t>
  </si>
  <si>
    <t>Material</t>
  </si>
  <si>
    <t>H.08.000.035004</t>
  </si>
  <si>
    <t>Ferragem completa com maçaneta tipo alavanca, com miolo tipo gorges, para porta interna com 1 folha; referência 721/01 CR da Pado, 402526/40 da Arouca ou equivalente</t>
  </si>
  <si>
    <t>E.03.000.026504</t>
  </si>
  <si>
    <t>Gancho de 1/4´ com porca e arruela, 550 mm</t>
  </si>
  <si>
    <t>P.14.000.046511</t>
  </si>
  <si>
    <t>Lâmpada fluorescente tubular comum 40W, base Bipino bilateral; ref. Universal 85858 GE, L40LDE Osram, TLTRS40W-ELD-25 Philips ou equivalente</t>
  </si>
  <si>
    <t>P.15.000.046068</t>
  </si>
  <si>
    <t>Luminária retangular de sobrepor tipo calha aberta para 4 lâmpadas fluorescentes tubulares de 32W, ref. CN10-S432 da Lumicenter ou equivalente</t>
  </si>
  <si>
    <t>H.07.000.037042</t>
  </si>
  <si>
    <t>Vidro fantasia de 3/4 mm - material</t>
  </si>
  <si>
    <t>TOTAL Material:</t>
  </si>
  <si>
    <t>00003398</t>
  </si>
  <si>
    <t>ISOLADOR DE PORCELANA, TIPO ROLDANA, DIMENSOES DE *72* X *72* MM, PARA USO EM BAIXA TENSAO</t>
  </si>
  <si>
    <t>Mão de Obra com Encargos Complementares</t>
  </si>
  <si>
    <t>AUXILIAR DE ELETRICISTA COM ENCARGOS COMPLEMENTARES</t>
  </si>
  <si>
    <t>ELETRICISTA COM ENCARGOS COMPLEMENTARES</t>
  </si>
  <si>
    <t>TOTAL Mão de Obra com Encargos Complementares:</t>
  </si>
  <si>
    <t>AUXILIAR DE ENCANADOR OU BOMBEIRO HIDRÁULICO COM ENCARGOS COMPLEMENTARES</t>
  </si>
  <si>
    <t>ENCANADOR OU BOMBEIRO HIDRÁULICO COM ENCARGOS COMPLEMENTARES</t>
  </si>
  <si>
    <t>un</t>
  </si>
  <si>
    <t>m</t>
  </si>
  <si>
    <t>00005061</t>
  </si>
  <si>
    <t>PREGO DE ACO POLIDO COM CABECA 18 X 27 (2 1/2 X 10)</t>
  </si>
  <si>
    <t>AJUDANTE DE CARPINTEIRO COM ENCARGOS COMPLEMENTARES</t>
  </si>
  <si>
    <t>CARPINTEIRO DE FORMAS COM ENCARGOS COMPLEMENTARES</t>
  </si>
  <si>
    <t>h</t>
  </si>
  <si>
    <t>m2</t>
  </si>
  <si>
    <t>kg</t>
  </si>
  <si>
    <t>I02654</t>
  </si>
  <si>
    <t>Placa de inauguração em alumínio fundido medindo 0,15 x 0,40 m</t>
  </si>
  <si>
    <t>m3</t>
  </si>
  <si>
    <t>88316</t>
  </si>
  <si>
    <t>SERVENTE COM ENCARGOS COMPLEMENTARES</t>
  </si>
  <si>
    <t>MÃO DE OBRA</t>
  </si>
  <si>
    <t>A.05.000.020359</t>
  </si>
  <si>
    <t>Remoção de entulho de obra, material volumoso (mistura de alvenaria, terra, madeira, papel, plástico e metal), capacidade 4 m³</t>
  </si>
  <si>
    <t>00010567</t>
  </si>
  <si>
    <t>TABUA *2,5 X 23* CM EM PINUS, MISTA OU EQUIVALENTE DA REGIAO - BRUTA</t>
  </si>
  <si>
    <t>00007356</t>
  </si>
  <si>
    <t>TINTA LATEX ACRILICA PREMIUM, COR BRANCO FOSCO</t>
  </si>
  <si>
    <t>JARDINEIRO COM ENCARGOS COMPLEMENTARES</t>
  </si>
  <si>
    <t>00043132</t>
  </si>
  <si>
    <t>ARAME RECOZIDO 16 BWG, D = 1,65 MM (0,016 KG/M) OU 18 BWG, D = 1,25 MM (0,01 KG/M)</t>
  </si>
  <si>
    <t>AJUDANTE DE ARMADOR COM ENCARGOS COMPLEMENTARES</t>
  </si>
  <si>
    <t>ARMADOR COM ENCARGOS COMPLEMENTARES</t>
  </si>
  <si>
    <t>88309</t>
  </si>
  <si>
    <t>PEDREIRO COM ENCARGOS COMPLEMENTARES</t>
  </si>
  <si>
    <t>00001358</t>
  </si>
  <si>
    <t>CHAPA/PAINEL DE MADEIRA COMPENSADA RESINADA (MADEIRITE RESINADO ROSA) PARA FORMA DE CONCRETO, DE 2200 X 1100 MM, E = 17 MM</t>
  </si>
  <si>
    <t>00002692</t>
  </si>
  <si>
    <t>DESMOLDANTE PROTETOR PARA FORMAS DE MADEIRA, DE BASE OLEOSA EMULSIONADA EM AGUA</t>
  </si>
  <si>
    <t>AREIA MEDIA - POSTO JAZIDA/FORNECEDOR (RETIRADO NA JAZIDA, SEM TRANSPORTE)</t>
  </si>
  <si>
    <t>00001379</t>
  </si>
  <si>
    <t>CIMENTO PORTLAND COMPOSTO CP II-32</t>
  </si>
  <si>
    <t>00000650</t>
  </si>
  <si>
    <t>BLOCO DE VEDACAO DE CONCRETO, 9 X 19 X 39 CM (CLASSE C - NBR 6136)</t>
  </si>
  <si>
    <t>SP Educação</t>
  </si>
  <si>
    <t>00007568</t>
  </si>
  <si>
    <t>BUCHA DE NYLON SEM ABA S10, COM PARAFUSO DE 6,10 X 65 MM EM ACO ZINCADO COM ROSCA SOBERBA, CABECA CHATA E FENDA PHILLIPS</t>
  </si>
  <si>
    <t>00000142</t>
  </si>
  <si>
    <t>SELANTE ELASTICO MONOCOMPONENTE A BASE DE POLIURETANO (PU) PARA JUNTAS DIVERSAS</t>
  </si>
  <si>
    <t>310ML</t>
  </si>
  <si>
    <t>VIDRACEIRO COM ENCARGOS COMPLEMENTARES</t>
  </si>
  <si>
    <t>I13256</t>
  </si>
  <si>
    <t>Soleira em granito branco Siena, polido, l = 15 cm, e = 2cm</t>
  </si>
  <si>
    <t>I13257</t>
  </si>
  <si>
    <t>Peitoril granito branco siena, polido, l = 22cm, e = 2cm</t>
  </si>
  <si>
    <t>00004718</t>
  </si>
  <si>
    <t>PEDRA BRITADA N. 2 (19 A 38 MM) POSTO PEDREIRA/FORNECEDOR, SEM FRETE</t>
  </si>
  <si>
    <t>PINTOR COM ENCARGOS COMPLEMENTARES</t>
  </si>
  <si>
    <t>I07119</t>
  </si>
  <si>
    <t>Granito branco Siena e= 2cm</t>
  </si>
  <si>
    <t>SIFÃO DO TIPO GARRAFA EM METAL CROMADO 1 X 1.1/2" - FORNECIMENTO E INSTALAÇÃO. AF_01/2020</t>
  </si>
  <si>
    <t>AUXILIAR DE SERRALHEIRO COM ENCARGOS COMPLEMENTARES</t>
  </si>
  <si>
    <t>SERRALHEIRO COM ENCARGOS COMPLEMENTARES</t>
  </si>
  <si>
    <t>I06891</t>
  </si>
  <si>
    <t>Sinalização para deficientes - placa metálica 50 x 70 cm  - "Estacionamento Reservado"</t>
  </si>
  <si>
    <t>S00095</t>
  </si>
  <si>
    <t>Concreto simples fabricado na obra, fck=13,5 mpa, lançado e adensado</t>
  </si>
  <si>
    <t>00038383</t>
  </si>
  <si>
    <t>LIXA D'AGUA EM FOLHA, GRAO 100</t>
  </si>
  <si>
    <t>00002684</t>
  </si>
  <si>
    <t>P.04.000.042290</t>
  </si>
  <si>
    <t>Perfilado perfurado 38 x 38 mm em chapa 14 pré-zincada</t>
  </si>
  <si>
    <t>P.04.000.062135</t>
  </si>
  <si>
    <t>Eletrocalha perfurada galvanizada a fogo, 300x100mm</t>
  </si>
  <si>
    <t>P.04.000.062175</t>
  </si>
  <si>
    <t>Tampa encaixe para eletrocalha galvanizada a fogo, L= 300mm</t>
  </si>
  <si>
    <t>P.04.000.042127</t>
  </si>
  <si>
    <t>Eletroduto galvanizado por imersão a quente, DN = 2´ - NBR5598</t>
  </si>
  <si>
    <t>P.04.000.042124</t>
  </si>
  <si>
    <t>Eletroduto galvanizado por imersão a quente, DN = 1´ - NBR5598</t>
  </si>
  <si>
    <t>00001872</t>
  </si>
  <si>
    <t>CAIXA DE PASSAGEM, EM PVC, DE 4" X 2", PARA ELETRODUTO FLEXIVEL CORRUGADO</t>
  </si>
  <si>
    <t>P.18.000.091179</t>
  </si>
  <si>
    <t>Painel autoportante/modular em chapa de aço, com proteção mínima IP-54, sem componentes; referência comercial Taunus, Press Mat ou equivalente</t>
  </si>
  <si>
    <t>P.07.000.045060</t>
  </si>
  <si>
    <t>Condulete de 2´, corpo e tampa em alumínio injetado ou fundido, com saídas laterais em vários modelos, com ou sem rosca; ref. Daisa, Conduletzel da Wetzel ou equivalente</t>
  </si>
  <si>
    <t>I09225</t>
  </si>
  <si>
    <t>Dispositivo de proteção contra surto de tensão DPS 60KA - 275v (para-raio)</t>
  </si>
  <si>
    <t>P.23.000.049627</t>
  </si>
  <si>
    <t>Barramento de cobre nu (qualquer bitola)</t>
  </si>
  <si>
    <t>P.27.000.090450</t>
  </si>
  <si>
    <t>Chave comutadora seletora com 1 polo e 3 posições para 63 A, ref. 5TW3063-1 Siemens ou equivalente</t>
  </si>
  <si>
    <t>00000982</t>
  </si>
  <si>
    <t>CABO DE COBRE, FLEXIVEL, CLASSE 4 OU 5, ISOLACAO EM PVC/A, ANTICHAMA BWF-B, 1 CONDUTOR, 450/750 V, SECAO NOMINAL 6 MM2</t>
  </si>
  <si>
    <t>00001014</t>
  </si>
  <si>
    <t>CABO DE COBRE, FLEXIVEL, CLASSE 4 OU 5, ISOLACAO EM PVC/A, ANTICHAMA BWF-B, 1 CONDUTOR, 450/750 V, SECAO NOMINAL 2,5 MM2</t>
  </si>
  <si>
    <t>P.30.000.049582</t>
  </si>
  <si>
    <t>Terminal de pressão para cabo 16mm² (6AWG)</t>
  </si>
  <si>
    <t>4.63.11</t>
  </si>
  <si>
    <t>ALICATE P/ MOLDE CLASSE R (CONEXAO EXOTERMICA)</t>
  </si>
  <si>
    <t>4.95.84</t>
  </si>
  <si>
    <t>ARMACAO SECUNDARIA 1 ESTRIBO</t>
  </si>
  <si>
    <t>4.51.09</t>
  </si>
  <si>
    <t>CAIXA EM CHAPA TIPO M PADRAO ELETROPAULO / NEOENERGIA-ELEKTRO</t>
  </si>
  <si>
    <t>4.51.11</t>
  </si>
  <si>
    <t>CAIXA TIPO T 60X90X25CM PADRAO ELETROPAULO / NEOENERGIA-ELEKTRO</t>
  </si>
  <si>
    <t>4.63.21</t>
  </si>
  <si>
    <t>CARTUCHO P/CONEXÃO EXOTERM.CABO/HASTE P/CABO 50MM2</t>
  </si>
  <si>
    <t>4.85.28</t>
  </si>
  <si>
    <t>CINTA ACO ZINCADO P/ POSTE CONCRETO TUBULAR 250MM</t>
  </si>
  <si>
    <t>4.63.06</t>
  </si>
  <si>
    <t>MOLDE CLASSE R PARA CONEXAO EXOTERMICA</t>
  </si>
  <si>
    <t>P.19.000.048002</t>
  </si>
  <si>
    <t>Barra condutora chata em alumínio de 7/8´ x 1/8´ x 3 m; ref. TEL 771 da Termotécnica ou equivalente</t>
  </si>
  <si>
    <t>P.19.000.048074</t>
  </si>
  <si>
    <t>Alicate para solda exotérmica; referência U-L160 da Unisolda ou equivalente</t>
  </si>
  <si>
    <t>P.19.000.048071</t>
  </si>
  <si>
    <t>Kit solda com cartucho para solda exotérmica n. 25 a 45</t>
  </si>
  <si>
    <t>P.19.000.048087</t>
  </si>
  <si>
    <t>Molde para solda exotérmica conexão cabo-cabo horizontal em T, bitola do cabo 16-16mm² a 50-35mm², 70-35mm² e 95-35mm², ref. UTA da Unisolda ou equivalente</t>
  </si>
  <si>
    <t>P.19.000.044304</t>
  </si>
  <si>
    <t>Caixa de equalização com barra cobre 6mm, embutir, chapa de aço com pintura esmaltada, de 400x400mm e tampa, uso interno, ref. Tel-900 Termotécnica ou equivalente</t>
  </si>
  <si>
    <t>P.17.000.031490</t>
  </si>
  <si>
    <t>Switch Gigabit 24 portas 10/100/1000 Base TX Layer 2 mínimo com porta de saída em fibra</t>
  </si>
  <si>
    <t>B.01.000.010198</t>
  </si>
  <si>
    <t>Técnico equipamentos informática</t>
  </si>
  <si>
    <t>P.17.000.030518</t>
  </si>
  <si>
    <t>Guia organizadora de cabos para rack, 19´ 1 U</t>
  </si>
  <si>
    <t>Régua com 8 tomadas 2P+T 250 V, com cabo tipo filtro de linha</t>
  </si>
  <si>
    <t xml:space="preserve">
___________________________________________
ENGENHEIRO CIVIL
FELLIPE FERRARI FAKRI
CREA 506.970.406-3</t>
  </si>
  <si>
    <t>UND</t>
  </si>
  <si>
    <t>ENCARGOS SOCIAIS</t>
  </si>
  <si>
    <t>ENG. FELLIPE FERRARI FAKRI - CREA 506.970.406-3/SP</t>
  </si>
  <si>
    <r>
      <t>VALOR TOTAL COM BDI</t>
    </r>
    <r>
      <rPr>
        <sz val="10"/>
        <rFont val="Calibri"/>
        <family val="2"/>
      </rPr>
      <t>.........................................................................................................................</t>
    </r>
  </si>
  <si>
    <t>APRESENTAÇÃO</t>
  </si>
  <si>
    <t>RESUMO GLOBAL DO ORÇAMENTO</t>
  </si>
  <si>
    <t xml:space="preserve">TOTAL GERAL </t>
  </si>
  <si>
    <t>PLANILHA ORÇAMENTÁRIA</t>
  </si>
  <si>
    <t>CRONOGRAMA</t>
  </si>
  <si>
    <t>4.1.8</t>
  </si>
  <si>
    <t>4.1.8.1</t>
  </si>
  <si>
    <t>FECHAMENTO</t>
  </si>
  <si>
    <t>6.4</t>
  </si>
  <si>
    <t>FOTOVOLTÁICO</t>
  </si>
  <si>
    <t>6.4.1</t>
  </si>
  <si>
    <t>TUBO EM COBRE FLEXÍVEL, DN 1/4", COM ISOLAMENTO, INSTALADO EM RAMAL DE ALIMENTAÇÃO DE AR CONDICIONADO COM CONDENSADORA INDIVIDUAL FORNECIMENTO E INSTALAÇÃO. AF_12/2015 (INCLUSO CONEXÕES)</t>
  </si>
  <si>
    <t>TUBO EM COBRE FLEXÍVEL, DN 3/8", COM ISOLAMENTO, INSTALADO EM RAMAL DE ALIMENTAÇÃO DE AR CONDICIONADO COM CONDENSADORA INDIVIDUAL - FORNECIMENTO E INSTALAÇÃO. AF_12/2015 (INCLUSO CONEXÕES)</t>
  </si>
  <si>
    <t>TUBO EM COBRE FLEXÍVEL, DN 1/2", COM ISOLAMENTO, INSTALADO EM RAMAL DE ALIMENTAÇÃO DE AR CONDICIONADO COM CONDENSADORA INDIVIDUAL - FORNECIMENTO E INSTALAÇÃO. AF_12/2015 (INCLUSO CONEXÕES)</t>
  </si>
  <si>
    <t>7.1.2.1</t>
  </si>
  <si>
    <t>7.1.2.2</t>
  </si>
  <si>
    <t>8.1.1</t>
  </si>
  <si>
    <t>8.1.2</t>
  </si>
  <si>
    <t>PLACAS DE SINALIZAÇÃO</t>
  </si>
  <si>
    <t>8.2.1</t>
  </si>
  <si>
    <t>00037558</t>
  </si>
  <si>
    <t>PLACA DE SINALIZACAO ROTA DE FUGA, FOTOLUMINESCENTE, RETANGULAR, *20 X 40* CM ANTI-CHAMAS</t>
  </si>
  <si>
    <t>00037556</t>
  </si>
  <si>
    <t>PLACA DE SINALIZACAO EXTINTOR, FOTOLUMINESCENTE, QUADRADA, *20 X 20* CM ANTI-CHAMAS</t>
  </si>
  <si>
    <t>EXTINTORES</t>
  </si>
  <si>
    <t>___________________________________________
ENGENHEIRO CIVIL
FELLIPE FERRARI FAKRI
CREA 506.970.406-3</t>
  </si>
  <si>
    <t>ACO CA-50-A $MD BITOLAS</t>
  </si>
  <si>
    <t>S.03.000.026664</t>
  </si>
  <si>
    <t>Chapa de aço galvanizado nas bitolas: nº 22, n° 24 e n° 26</t>
  </si>
  <si>
    <t>P.04.000.042301</t>
  </si>
  <si>
    <t>Tirante/vergalhão aço rosca total de 3/8´</t>
  </si>
  <si>
    <t>Q.04.000.031441</t>
  </si>
  <si>
    <t>Grelha de insuflação ou retorno, dupla deflexão e registro, lâminas convergentes, aletas verticais ajustáveis individualmente, em alumínio anodizado, tamanho: acima de 0,1 até 0,5 m²; ref. mod. VAT-DG da Trox ou equivalente</t>
  </si>
  <si>
    <t>B.01.000.010506</t>
  </si>
  <si>
    <t>Montador</t>
  </si>
  <si>
    <t>N.04.000.039071</t>
  </si>
  <si>
    <t>Placa de identificação em PVC, com texto em vinil e espessura de 2mm</t>
  </si>
  <si>
    <t>6.70.16</t>
  </si>
  <si>
    <t>EXTINTOR PO QUIMICO ABC 6KG COM CARGA</t>
  </si>
  <si>
    <t>VALOR (R$)</t>
  </si>
  <si>
    <t>MÊS 1</t>
  </si>
  <si>
    <t>MÊS 2</t>
  </si>
  <si>
    <t>MÊS 3</t>
  </si>
  <si>
    <t>MÊS 4</t>
  </si>
  <si>
    <t>MÊS 5</t>
  </si>
  <si>
    <t>MÊS 6</t>
  </si>
  <si>
    <t>MÊS 7</t>
  </si>
  <si>
    <t>MÊS 8</t>
  </si>
  <si>
    <t>MÊS 9</t>
  </si>
  <si>
    <t>MÊS 10</t>
  </si>
  <si>
    <t>Total parcela</t>
  </si>
  <si>
    <t>QTD</t>
  </si>
  <si>
    <t>PREÇO
UNITÁRIO (R$)</t>
  </si>
  <si>
    <t>PREÇO
TOTAL (R$)</t>
  </si>
  <si>
    <t>%</t>
  </si>
  <si>
    <t>ACUMUL. %</t>
  </si>
  <si>
    <t>CL</t>
  </si>
  <si>
    <t>SERVIÇO</t>
  </si>
  <si>
    <t>COD</t>
  </si>
  <si>
    <t>HORISTA %</t>
  </si>
  <si>
    <t>MENSALISTA %</t>
  </si>
  <si>
    <t xml:space="preserve">
</t>
  </si>
  <si>
    <t>GRUPO A</t>
  </si>
  <si>
    <t>A1</t>
  </si>
  <si>
    <t xml:space="preserve">INSS </t>
  </si>
  <si>
    <t>A2</t>
  </si>
  <si>
    <t xml:space="preserve">SESI </t>
  </si>
  <si>
    <t>A3</t>
  </si>
  <si>
    <t xml:space="preserve">SENAI </t>
  </si>
  <si>
    <t>A4</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</si>
  <si>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</si>
  <si>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</si>
  <si>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</si>
  <si>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</si>
  <si>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</si>
  <si>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</si>
  <si>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</si>
  <si>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</si>
  <si>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</si>
  <si>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</si>
  <si>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</si>
  <si>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</si>
  <si>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B1</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</si>
  <si>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</si>
  <si>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</si>
  <si>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</si>
  <si>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</si>
  <si>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</si>
  <si>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</si>
  <si>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</si>
  <si>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</si>
  <si>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</si>
  <si>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</si>
  <si>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</si>
  <si>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</si>
  <si>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</si>
  <si>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</si>
  <si>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</si>
  <si>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</si>
  <si>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</si>
  <si>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</si>
  <si>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</si>
  <si>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</si>
  <si>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C1</t>
  </si>
  <si>
    <t xml:space="preserve">AVISO PRÉVIO INDENIZADO </t>
  </si>
  <si>
    <t>C2</t>
  </si>
  <si>
    <t xml:space="preserve">AVISO PRÉVIO TRABALHADO </t>
  </si>
  <si>
    <t>C3</t>
  </si>
  <si>
    <t xml:space="preserve">FÉRIAS INDENIZADAS </t>
  </si>
  <si>
    <t>C4</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</si>
  <si>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</si>
  <si>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</si>
  <si>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</si>
  <si>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</si>
  <si>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</si>
  <si>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</si>
  <si>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</si>
  <si>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</si>
  <si>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</si>
  <si>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</si>
  <si>
    <t>AUXÍLIO ENFERMIDADE</t>
  </si>
  <si>
    <t>LICENÇA-PATERNIDADE</t>
  </si>
  <si>
    <t>13° SALÁRIO</t>
  </si>
  <si>
    <t>DIAS DE CHUVA / FALTAS JUSTIFICADAS NA OBRA / OUTRAS DIFICULDADES / ACIDENTES DE TRABALHO / GREVES / FALTA OU ATRASO NA ENTREGA DE MATERIAIS OU SERVIÇOS</t>
  </si>
  <si>
    <t>DEPÓSITO POR DESPEDIDA INJUSTA 40% SOBRE [A2 + (A2 X B)]</t>
  </si>
  <si>
    <t>FÉRIAS (INDENIZADAS)</t>
  </si>
  <si>
    <t>AVISO-PRÉVIO (INDENIZADO)</t>
  </si>
  <si>
    <t>REINCIDÊNCIA DE A SOBRE B</t>
  </si>
  <si>
    <t>REINCIDÊNCIA DE (A - A9) SOBRE C3</t>
  </si>
  <si>
    <t>INSS</t>
  </si>
  <si>
    <t>SESI</t>
  </si>
  <si>
    <t>SENAI</t>
  </si>
  <si>
    <t>INCRA</t>
  </si>
  <si>
    <t>SEBRAE</t>
  </si>
  <si>
    <t>SALÁRIO EDUCAÇÃO</t>
  </si>
  <si>
    <t>SEGURO CONTRA ACIDENTES DE TRABALHO</t>
  </si>
  <si>
    <t>FGTS</t>
  </si>
  <si>
    <t>SECONCI</t>
  </si>
  <si>
    <t>REPOUSO SEMANAL REMUNERADO</t>
  </si>
  <si>
    <t>13º SALÁRIO</t>
  </si>
  <si>
    <t>REINCIDÊNCIA DE GRUPO A SOBRE GRUPO B</t>
  </si>
  <si>
    <t>REINCIDÊNCIA DE GRUPO A SOBRE AVISO PRÉVIO TRABALHADO E REINCIDÊNCIA DO FGTS SOBRE AVISO PRÉVIO INDENIZADO</t>
  </si>
  <si>
    <t>REF</t>
  </si>
  <si>
    <t>HORA</t>
  </si>
  <si>
    <t>VERSÃO</t>
  </si>
  <si>
    <t>PROPRIA</t>
  </si>
  <si>
    <t>-</t>
  </si>
  <si>
    <t>BDI (%)</t>
  </si>
  <si>
    <t>3.4</t>
  </si>
  <si>
    <t>3.4.1</t>
  </si>
  <si>
    <t>3.4.1.1</t>
  </si>
  <si>
    <t>3.4.1.1.1</t>
  </si>
  <si>
    <t>3.4.1.1.2</t>
  </si>
  <si>
    <t>3.4.1.2</t>
  </si>
  <si>
    <t>3.4.1.2.1</t>
  </si>
  <si>
    <t>3.4.1.2.2</t>
  </si>
  <si>
    <t>3.4.1.2.3</t>
  </si>
  <si>
    <t>3.4.1.2.4</t>
  </si>
  <si>
    <t>3.4.1.2.5</t>
  </si>
  <si>
    <t>3.4.1.2.6</t>
  </si>
  <si>
    <t>3.4.1.3</t>
  </si>
  <si>
    <t>3.4.1.3.1</t>
  </si>
  <si>
    <t>3.4.1.3.2</t>
  </si>
  <si>
    <t>3.4.1.3.3</t>
  </si>
  <si>
    <t>3.4.1.3.4</t>
  </si>
  <si>
    <t>3.4.1.3.5</t>
  </si>
  <si>
    <t>3.4.1.3.6</t>
  </si>
  <si>
    <t>3.4.1.4</t>
  </si>
  <si>
    <t>3.4.1.4.1</t>
  </si>
  <si>
    <t>3.4.1.4.2</t>
  </si>
  <si>
    <t>3.4.1.4.4</t>
  </si>
  <si>
    <t>ARMAÇÃO DE BLOCO, ESTACA E VIGA BALDRAME UTILIZANDO AÇO CA-60 DE 5 MM - MONTAGEM. AF_01/2024</t>
  </si>
  <si>
    <t>ARMAÇÃO DE BLOCO, ESTACA E VIGA BALDRAME UTILIZANDO AÇO CA-50 DE 6,3 MM - MONTAGEM. AF_01/2024</t>
  </si>
  <si>
    <t>ARMAÇÃO DE BLOCO, ESTACA E VIGA BALDRAME UTILIZANDO AÇO CA-50 DE 10 MM - MONTAGEM. AF_01/2024</t>
  </si>
  <si>
    <t>3.4.2</t>
  </si>
  <si>
    <t>3.4.2.1</t>
  </si>
  <si>
    <t>3.4.2.2</t>
  </si>
  <si>
    <t>3.4.3</t>
  </si>
  <si>
    <t>3.4.2.2.1</t>
  </si>
  <si>
    <t>3.4.2.2.2</t>
  </si>
  <si>
    <t>3.4.3.1</t>
  </si>
  <si>
    <t>3.4.3.2</t>
  </si>
  <si>
    <t>3.4.3.3</t>
  </si>
  <si>
    <t>3.4.3.4</t>
  </si>
  <si>
    <t>3.4.3.5</t>
  </si>
  <si>
    <t>3.4.3.6</t>
  </si>
  <si>
    <t>BORRACHA</t>
  </si>
  <si>
    <t>4.4.1.3</t>
  </si>
  <si>
    <t>9.1.1</t>
  </si>
  <si>
    <t>9.1.2</t>
  </si>
  <si>
    <t>FECHAMENTO/ACABAMENTOS</t>
  </si>
  <si>
    <t>4.95.39</t>
  </si>
  <si>
    <t>ARRUELA QUADRADA 57MM FURO 18MM</t>
  </si>
  <si>
    <t>2.05.35</t>
  </si>
  <si>
    <t>CONCRETO DOSADO (CONDICAO-A) FCK 20 MPA</t>
  </si>
  <si>
    <t>4.80.70</t>
  </si>
  <si>
    <t>PARA-RAIOS OXIDOS METALICOS SEM CENTELHADOR POLIMERICO Vm 10,2 KVEF NBR 16050</t>
  </si>
  <si>
    <t>4.01.53</t>
  </si>
  <si>
    <t>POSTE DE CONCRETO CIRCULAR 10,50M/1000 DAN</t>
  </si>
  <si>
    <t>2.10.15</t>
  </si>
  <si>
    <t>SARRAFO BRUTO 10X2,5CM G1-C3</t>
  </si>
  <si>
    <t>2.10.19</t>
  </si>
  <si>
    <t>SARRAFO BRUTO 7,5X2,5CM G1-C2</t>
  </si>
  <si>
    <t>4.95.14</t>
  </si>
  <si>
    <t>SELA ACO GALV FOGO PARA CRUZETA SECÇAO 90 X 90 MM</t>
  </si>
  <si>
    <t>4.51.03</t>
  </si>
  <si>
    <t>SOBRE PORTA EXTERNA METÁLICA C/VENEZIANAS 185X95CM CHAPA 16 MSG</t>
  </si>
  <si>
    <t>4.85.10</t>
  </si>
  <si>
    <t>SUPORTE GALV FOGO FIXAÇÃO TRAFO P/ POSTE Ø 240 MM NBR 8159</t>
  </si>
  <si>
    <t>1.01.13</t>
  </si>
  <si>
    <t>ELETRICISTA PARA MÉDIA TENSÃO</t>
  </si>
  <si>
    <t>4.85.74</t>
  </si>
  <si>
    <t>AJUSTADOR 60MM X 40MM X 2,4MM GALV. FIXAÇÃO DUTO COM FITA AÇO INOXIDAVEL</t>
  </si>
  <si>
    <t>4.96.88</t>
  </si>
  <si>
    <t>BARRAMENTO COBRE 630 AMPERES 1 1/4 x 3/8</t>
  </si>
  <si>
    <t>4.85.46</t>
  </si>
  <si>
    <t>BUCHA E ARRUELA EM ZAMAK 100 MM (4)</t>
  </si>
  <si>
    <t>4.37.13</t>
  </si>
  <si>
    <t>CHAVE FUSÍVEL DISTRIBUIÇÃO "DHC" 15KV CAP NOMINAL DA BASE 300 A CLASSE 2 TIPO C NBR 7282 E NBI: 95/110 kV</t>
  </si>
  <si>
    <t>4.80.13</t>
  </si>
  <si>
    <t>CONECTOR P/ HASTE TERRA DN 16MM (5/8")</t>
  </si>
  <si>
    <t>4.94.59</t>
  </si>
  <si>
    <t>CRUZETA POLIMÉRICA FIBRA DE VIDRO PRFV CLASSE 15 kV 90X90X2000 MM NBR-16946</t>
  </si>
  <si>
    <t>4.21.80</t>
  </si>
  <si>
    <t>ELETROD ACO GALV QUENTE (NBR-5624) 100 MM (4")</t>
  </si>
  <si>
    <t>4.94.66</t>
  </si>
  <si>
    <t>ELO FUSÍVEL P/ CHAVE DE DISTRIBUIÇÃO ATÉ 36,2KV NBR7282 CURVA K In= 10A</t>
  </si>
  <si>
    <t>4.85.75</t>
  </si>
  <si>
    <t>FECHO AÇO INOXIDAVEL DENTADO 19MM TRAVAMENTO FITA AÇO INOXIDAVEL</t>
  </si>
  <si>
    <t>4.80.10</t>
  </si>
  <si>
    <t>HASTES DE ATERRAMENTO COPPERWELD Ø 16MM (5/8") x 2,40m CAMADA DE COBRE</t>
  </si>
  <si>
    <t>4.05.08</t>
  </si>
  <si>
    <t>ISOLADOR DE SUSPENSÃO 15 KV TIPO BASTAO VIDRO TEMPERADO Ø 150MM NBR 7109</t>
  </si>
  <si>
    <t>4.05.05</t>
  </si>
  <si>
    <t>ISOLADOR PARALELO TIPO BUJÃO (POLIESTER C/ FIBRA DE VIDRO) h=70 MM x D= 30 MM x P=12 MM x M10</t>
  </si>
  <si>
    <t>4.96.13</t>
  </si>
  <si>
    <t>MANILHA SAPATILHA 50kN ACO GALV FOGO</t>
  </si>
  <si>
    <t>4.95.11</t>
  </si>
  <si>
    <t>MAO FRANCESA PLANA 1053 MM ACO GALV FOGO</t>
  </si>
  <si>
    <t>4.95.10</t>
  </si>
  <si>
    <t>MÃO FRANCESA PLANA DE 619 MM ACO GALV FOGO</t>
  </si>
  <si>
    <t>4.95.54</t>
  </si>
  <si>
    <t>MASSA CALAFETAR COMPOSTA POR BORRACHAS SINTÉTICAS CARGAS MINERAIS E PLASTIFICANTES NÃO SECATIVOS</t>
  </si>
  <si>
    <t>4.96.16</t>
  </si>
  <si>
    <t>SUPORTE ACO GALV FOGO PARA FIXAÇÃO CHAVE FUSIVEL E DE PARA-RAIOS</t>
  </si>
  <si>
    <t>4.94.48</t>
  </si>
  <si>
    <t>TERMINAL DE COMPRESSAO CABO 185MM2</t>
  </si>
  <si>
    <t>10.00.000</t>
  </si>
  <si>
    <t>09.00.000</t>
  </si>
  <si>
    <t>08.00.000</t>
  </si>
  <si>
    <t>07.00.000</t>
  </si>
  <si>
    <t>06.00.000</t>
  </si>
  <si>
    <t>05.00.000</t>
  </si>
  <si>
    <t>04.00.000</t>
  </si>
  <si>
    <t>03.00.000</t>
  </si>
  <si>
    <t>02.00.000</t>
  </si>
  <si>
    <t>01.00.000</t>
  </si>
  <si>
    <t>DESENHISTA PROJETISTA COM ENCARGOS COMPLEMENTARES</t>
  </si>
  <si>
    <t>AJUDANTE DE OPERAÇÃO EM GERAL COM ENCARGOS COMPLEMENTARES</t>
  </si>
  <si>
    <t>ELETROTÉCNICO COM ENCARGOS COMPLEMENTARES</t>
  </si>
  <si>
    <t>AJUDANTE DE PINTOR COM ENCARGOS COMPLEMENTARES</t>
  </si>
  <si>
    <t>RELATÓRIO ANALÍTICO MODIFICADO - FONTE ORSE</t>
  </si>
  <si>
    <t>RELATÓRIO ANALÍTICO MODIFICADO - FONTE SP EDUCAÇÃO</t>
  </si>
  <si>
    <t>RELATÓRIO ANALÍTICO MODIFICADO - FONTE SP OBRAS</t>
  </si>
  <si>
    <t>AUXILIAR DE TOPÓGRAFO COM ENCARGOS COMPLEMENTARES</t>
  </si>
  <si>
    <t>TOPOGRAFO COM ENCARGOS COMPLEMENTARES</t>
  </si>
  <si>
    <t>SEVENTE COM ENCARGOS COMPLEMENTARES</t>
  </si>
  <si>
    <t>00003767</t>
  </si>
  <si>
    <t>LIXA EM FOLHA PARA PAREDE OU MADEIRA, NUMERO 120, COR VERMELHA</t>
  </si>
  <si>
    <t>CAL HIDRATADA CH-I PARA ARGAMASSAS</t>
  </si>
  <si>
    <t>00001106</t>
  </si>
  <si>
    <t>00007307</t>
  </si>
  <si>
    <t>FUNDO ANTICORROSIVO PARA METAIS FERROSOS (ZARCAO)</t>
  </si>
  <si>
    <t>00000345</t>
  </si>
  <si>
    <t>ARAME GALVANIZADO 18 BWG, D = 1,24MM (0,009 KG/M)</t>
  </si>
  <si>
    <t>00005067</t>
  </si>
  <si>
    <t>PREGO DE ACO POLIDO COM CABECA 16 X 24 (2 1/4 X 12)</t>
  </si>
  <si>
    <t>FITA VEDA ROSCA EM ROLOS DE 18 MM X 10 M (L X C)</t>
  </si>
  <si>
    <t>00003413</t>
  </si>
  <si>
    <t>PAINEL DE LA DE VIDRO SEM REVESTIMENTO PSI 20, E = 50 MM, DE 1200 X 600 MM</t>
  </si>
  <si>
    <t>00001347</t>
  </si>
  <si>
    <t>00000867</t>
  </si>
  <si>
    <t>CABO DE COBRE NU 50 MM2 MEIO-DURO</t>
  </si>
  <si>
    <t>00000857</t>
  </si>
  <si>
    <t>CABO DE COBRE NU 16 MM2 MEIO-DURO</t>
  </si>
  <si>
    <t>CABO DE COBRE, FLEXIVEL, CLASSE 4 OU 5, ISOLACAO EM PVC/A, ANTICHAMA BWF-B, 1 CONDUTOR, 450/750 V, SECAO NOMINAL 16 MM2</t>
  </si>
  <si>
    <t>00039239</t>
  </si>
  <si>
    <t>CABO DE COBRE, FLEXIVEL, CLASSE 4 OU 5, ISOLACAO EM PVC/A, ANTICHAMA BWF-B, 1 CONDUTOR, 450/750 V, SECAO NOMINAL 185 MM2</t>
  </si>
  <si>
    <t>00039232</t>
  </si>
  <si>
    <t>00001539</t>
  </si>
  <si>
    <t>CONECTOR METALICO TIPO PARAFUSO FENDIDO (SPLIT BOLT), PARA CABOS ATE 16 MM2</t>
  </si>
  <si>
    <t>ELETRODUTO DE PVC RIGIDO ROSCAVEL DE 1 1/4", SEM LUVA</t>
  </si>
  <si>
    <t>00000402</t>
  </si>
  <si>
    <t>GANCHO OLHAL EM ACO GALVANIZADO, ESPESSURA 16MM, ABERTURA 21 MM</t>
  </si>
  <si>
    <t>00011837</t>
  </si>
  <si>
    <t>GRAMPO LINHA VIVA DE LATAO ESTANHADO, DIAMETRO DO CONDUTOR PRINCIPAL DE 10 A 120 MM2, DIAMETRO DA DERIVACAO DE 10 A 70 MM2</t>
  </si>
  <si>
    <t>CHAPA/PAINEL DE MADEIRA COMPENSADA PLASTIFICADA (MADEIRITE PLASTIFICADO) PARA FORMA DE CONCRETO, DE 2200 X 1100 MM, E = 12 MM</t>
  </si>
  <si>
    <t>00000436</t>
  </si>
  <si>
    <t>PARAFUSO FRANCES M16 EM ACO GALVANIZADO, COMPRIMENTO = 150 MM, DIAMETRO = 16 MM, CABECA ABAULADA</t>
  </si>
  <si>
    <t>00000421</t>
  </si>
  <si>
    <t>PORCA OLHAL M 16, EM ACO GALVANIZADO, DIAMETRO = 16 MM</t>
  </si>
  <si>
    <t>00004337</t>
  </si>
  <si>
    <t>PORCA ZINCADA, QUADRADA, DIAMETRO 5/8"</t>
  </si>
  <si>
    <t>00035692</t>
  </si>
  <si>
    <t>TINT LATEX ACRILICA STANDARD, COR BRANCA</t>
  </si>
  <si>
    <t>00007620</t>
  </si>
  <si>
    <t>TRANSFORMADOR TRIFASICO DE DISTRIBUICAO, POTENCIA DE 225 KVA, TENSAO NOMINAL DE 15 KV, TENSAO SECUNDARIA DE 220/127V, EM OLEO ISOLANTE TIPO MINERAL</t>
  </si>
  <si>
    <t>SP Educaçâo</t>
  </si>
  <si>
    <t xml:space="preserve">UN </t>
  </si>
  <si>
    <t>2.65.99</t>
  </si>
  <si>
    <t>PARAFUSO AUTO-PERF C/ CONJ VEDACAO P/ TELHA DE ACO</t>
  </si>
  <si>
    <t>4.1.2.1.8</t>
  </si>
  <si>
    <t>4.1.2.1.9</t>
  </si>
  <si>
    <t xml:space="preserve">un </t>
  </si>
  <si>
    <t>3.4.3.7</t>
  </si>
  <si>
    <t>IMPERMEABILIZAÇÃO DE SUPERFÍCIE COM MANTA ASFÁLTICA, UMA CAMADA, INCLUSIVE APLICAÇÃO DE PRIMER ASFÁLTICO, E=4MM. AF_09/2023</t>
  </si>
  <si>
    <t>PROTEÇÃO MECÂNICA DE SUPERFICIE HORIZONTAL COM ARGAMASSA DE CIMENTO E AREIA, TRAÇO 1:3, E=3CM. AF_09/2023</t>
  </si>
  <si>
    <t>MURO ALVENARIA/ARRIMO</t>
  </si>
  <si>
    <t>3.4.2.1.1</t>
  </si>
  <si>
    <t>3.4.2.1.2</t>
  </si>
  <si>
    <t>3.4.3.8</t>
  </si>
  <si>
    <t>3.4.3.9</t>
  </si>
  <si>
    <t>4.1.5.1.1.4</t>
  </si>
  <si>
    <t>00004030</t>
  </si>
  <si>
    <t>VEU DE POLIESTER PARA IMPERMEABILIZACAO</t>
  </si>
  <si>
    <t>4.1.5.1.1.5</t>
  </si>
  <si>
    <t>4.1.6.1.14</t>
  </si>
  <si>
    <t>4.1.6.2.4</t>
  </si>
  <si>
    <t>4.1.8.2</t>
  </si>
  <si>
    <t>4.2.2</t>
  </si>
  <si>
    <t>4.2.3</t>
  </si>
  <si>
    <t>COMPACTAÇÃO MECÂNICA DE SOLO PARA EXECUÇÃO DE RADIER, PISO DE CONCRETO OU LAJE SOBRE SOLO, COM COMPACTADOR DE SOLOS A PERCUSSÃO. AF_09/2021</t>
  </si>
  <si>
    <t>PINTURA COM TINTA ALQUÍDICA DE FUNDO (TIPO ZARCÃO) PULVERIZADA SOBRE SUPERFÍCIES METÁLICAS EXECUTADO EM OBRA (POR DEMÃO). AF_01/2020_PE</t>
  </si>
  <si>
    <t>TE, PVC, SOLDÁVEL, DN 32MM - FORNECIMENTO E INSTALAÇÃO. AF_06/2022</t>
  </si>
  <si>
    <t>LUVA COM BUCHA DE LATÃO, PVC, SOLDÁVEL, DN 32MM X 1 - FORNECIMENTO E INSTALAÇÃO. AF_06/2022</t>
  </si>
  <si>
    <t>9.2</t>
  </si>
  <si>
    <t>COMO CONSTRUÍDO</t>
  </si>
  <si>
    <t>9.2.1</t>
  </si>
  <si>
    <t xml:space="preserve">
___________________________________________
ENGENHEIRO CIVIL
FELLIPE FERRARI FAKRI
CREA 506.970.406-3</t>
  </si>
  <si>
    <t>REF.</t>
  </si>
  <si>
    <t>UNID.</t>
  </si>
  <si>
    <t>QUANT.</t>
  </si>
  <si>
    <t>PREÇO UNIT
SEM BDI R$</t>
  </si>
  <si>
    <t>PREÇO UNIT
COM BDI R$</t>
  </si>
  <si>
    <t>VIDROS/JANELAS</t>
  </si>
  <si>
    <t>4.1.2.2.2</t>
  </si>
  <si>
    <t>6.1.5.11</t>
  </si>
  <si>
    <t>7.1.1.2.5</t>
  </si>
  <si>
    <t>CONTRAPISO (REGULARIZAÇÃO) EM ARGAMASSA PRONTA, PREPARO MANUAL, APLICADO EM ÁREAS MOLHADAS SOBRE LAJE, ADERIDO, ACABAMENTO NÃO REFORÇADO, ESPESSURA 3CM. AF_07/2021</t>
  </si>
  <si>
    <t>F.08.000.024103</t>
  </si>
  <si>
    <t>Mastique silicone Silix 567; referência comercial Rhodia / Dow Corning 791 ou equivalente</t>
  </si>
  <si>
    <t>E.03.000.026653</t>
  </si>
  <si>
    <t>Parafuso auto-atarraxante/auto-brocante em aço médio carbono, com acabamento zincado brando, de 12 x 38 mm - com arruela de vedação</t>
  </si>
  <si>
    <t>E.08.000.026210</t>
  </si>
  <si>
    <t>Placa de alumínio composto "ACM", espessura de 4 mm, acabamento em PVDF, uso externo/interno</t>
  </si>
  <si>
    <t>E.03.000.026771</t>
  </si>
  <si>
    <t>Rebites de ferro zincado n° 8, comprimento de 6,10 mm, diâmetro nominal de 3 mm</t>
  </si>
  <si>
    <t>P.19.000.048075</t>
  </si>
  <si>
    <t>Alicate para solda exotérmica; referência U-S84 da Unisolda ou equivalente</t>
  </si>
  <si>
    <t>P.19.000.048072</t>
  </si>
  <si>
    <t>Kit solda com cartucho para solda exotérmica nº 65 a 115</t>
  </si>
  <si>
    <t>P.19.000.048095</t>
  </si>
  <si>
    <t>Molde para solda exotérmica conexão cabo-haste na lateral, bitola do cabo de 25mm² a 70mm² para haste de 5/8 e 3/4; referência UGY da Unisolda ou equivalente</t>
  </si>
  <si>
    <t>I14332</t>
  </si>
  <si>
    <t>P.17.000.030005</t>
  </si>
  <si>
    <t>Unidade gerenciadora digital de vídeo em rede (NVR) de até 32 câmeras IP em Full HD a 30FPS, para armazenamento de 48 TB, 2 interface de rede Gigabit Ethernet e 16 entradas de alarme; referência NVD 7032 da Intelbras ou equivalente</t>
  </si>
  <si>
    <t>BG</t>
  </si>
  <si>
    <t>AUXILIAR DE SERRALHEIRO COM ENCARGOS COMPLEMENTAR5ES</t>
  </si>
  <si>
    <t>4.2.4</t>
  </si>
  <si>
    <t>4.2.5</t>
  </si>
  <si>
    <t>4.2.6</t>
  </si>
  <si>
    <t xml:space="preserve">	Câmera de vídeo digital, bullet PoE, full hd 1080P, com infravermelho e alcance de 30m, IP67, hikvision ou similar</t>
  </si>
  <si>
    <t>4.3.3</t>
  </si>
  <si>
    <t>4.3.4</t>
  </si>
  <si>
    <t>4.3.5</t>
  </si>
  <si>
    <t>4.3.6</t>
  </si>
  <si>
    <t>4.3.7</t>
  </si>
  <si>
    <t>4.3.8</t>
  </si>
  <si>
    <t>4.3.9</t>
  </si>
  <si>
    <t>Escavação manual de vala ou cava em material de 1ª categoria, profundidade até 1,50m</t>
  </si>
  <si>
    <t>S02497</t>
  </si>
  <si>
    <t>CABO DE COBRE FLEXÍVEL ISOLADO, 35 MM², ANTI-CHAMA 0,6/1,0 KV - FORNECIMENTO E INSTALAÇÃO. AF_12/2021</t>
  </si>
  <si>
    <t>BDI SERVIÇO:</t>
  </si>
  <si>
    <t>BDI EQUIPAMENTO:</t>
  </si>
  <si>
    <t>4.1.6.1.15</t>
  </si>
  <si>
    <t>4.1.6.1.16</t>
  </si>
  <si>
    <t>4.1.6.1.17</t>
  </si>
  <si>
    <t>4.1.6.1.18</t>
  </si>
  <si>
    <t>4.1.6.1.19</t>
  </si>
  <si>
    <t>4.1.6.1.20</t>
  </si>
  <si>
    <t>4.1.6.1.21</t>
  </si>
  <si>
    <t>4.1.6.1.22</t>
  </si>
  <si>
    <t>BARRA DE APOIO RETA, EM ACO INOX POLIDO, COMPRIMENTO 70 CM, FIXADA NA PAREDE - FORNECIMENTO E INSTALAÇÃO. AF_01/2020</t>
  </si>
  <si>
    <t>BARRA DE APOIO RETA, EM ACO INOX POLIDO, COMPRIMENTO 80 CM, FIXADA NA PAREDE - FORNECIMENTO E INSTALAÇÃO. AF_01/2020</t>
  </si>
  <si>
    <t>I12620</t>
  </si>
  <si>
    <t>I12619</t>
  </si>
  <si>
    <t>I12618</t>
  </si>
  <si>
    <t>I07388</t>
  </si>
  <si>
    <t>I03590</t>
  </si>
  <si>
    <t>I02384</t>
  </si>
  <si>
    <t>Coluna suspensa de louça para lavatório, linha Vogue Plus Conforto, ref: C-510, DECA ou similar</t>
  </si>
  <si>
    <t>Lavatório louça, ref: L-510, Vogue Plus Conforto(45.5 x 35.5 cm), DECA ou similar</t>
  </si>
  <si>
    <t>Válvula de escoamento para lavatório, DECA 1602C ou similar</t>
  </si>
  <si>
    <t>Torneira Pressmatic Benefit Docol ou similar</t>
  </si>
  <si>
    <t>I13057</t>
  </si>
  <si>
    <t>Torneira metalica cromada para jardim / tanque, com bico plastico, cano longo, de parede, padrao popular / uso geral, 1/2" ou 3/4" (ref 1153 / 1130)</t>
  </si>
  <si>
    <t>I11762S</t>
  </si>
  <si>
    <t>I02899</t>
  </si>
  <si>
    <t>Cabide em aço inox, DECA 2060 C40, acabamento cromado ou similar</t>
  </si>
  <si>
    <t>H.07.000.037011</t>
  </si>
  <si>
    <t>Espelho comum com espessura de 3mm, com moldura em perfil de alumínio de 1cm, fundo em chapa compensada com 3 mm de espessura</t>
  </si>
  <si>
    <t>E.03.000.026548</t>
  </si>
  <si>
    <t>Saboneteira em ABS, tipo dispenser, para refil de 800ml, ref. Columbus SG 4000 ou equivalente</t>
  </si>
  <si>
    <t>O.12.000.065513</t>
  </si>
  <si>
    <t>O.12.000.092309</t>
  </si>
  <si>
    <t>Toalheiro plástico em ABS branco tipo dispenser para papel</t>
  </si>
  <si>
    <t>Dispenser papel higiênico em ABS para rolão 300/600m, com visor. Ref. Unik JSN, Trilha ou equivalente</t>
  </si>
  <si>
    <t>TORNEIRA CROMADA TUBO MÓVEL, DE MESA, 1/2? OU 3/4?, PARA PIA DE COZINHA, PADRÃO ALTO - FORNECIMENTO E INSTALAÇÃO. AF_01/2020</t>
  </si>
  <si>
    <t>Coluna de louça branca p/ tanque lavar (deca - ref ct-25 ou similar)</t>
  </si>
  <si>
    <t>I00624</t>
  </si>
  <si>
    <t>I02012</t>
  </si>
  <si>
    <t>Sifao com valvula para tanque lavar, 1 1/4" x 40, Akros nº. 8 ou similar</t>
  </si>
  <si>
    <t>Tanque louça, branco, sem coluna (Deca - ref. tq-03 ou similar)</t>
  </si>
  <si>
    <t xml:space="preserve">	I02096</t>
  </si>
  <si>
    <t>I13984S</t>
  </si>
  <si>
    <t>Torneira metalica cromada, cano curto, com arejador, sem bico plastico, de parede, para uso geral, 1/2" ou 3/4" (ref 1152 / 1154)</t>
  </si>
  <si>
    <t>4.1.5.1.2.3</t>
  </si>
  <si>
    <t>4.1.5.1.2.4</t>
  </si>
  <si>
    <t>4.1.5.1.2.5</t>
  </si>
  <si>
    <t>FABRICAÇÃO, MONTAGEM E DESMONTAGEM DE FÔRMA, EM CHAPA DE MADEIRA COMPENSADA RESINADA, E=17 MM, 4 UTILIZAÇÕES. AF_01/2024 (SÓCULOS)</t>
  </si>
  <si>
    <t>4.3.10</t>
  </si>
  <si>
    <t>4.3.11</t>
  </si>
  <si>
    <t>4.3.12</t>
  </si>
  <si>
    <t>4.3.13</t>
  </si>
  <si>
    <t>4.3.14</t>
  </si>
  <si>
    <t>APLICAÇÃO DE ADUBO EM SOLO. AF_07/2024</t>
  </si>
  <si>
    <t>PROTEÇÃO MECÂNICA DE SUPERFICIE COM ARGAMASSA DE CIMENTO E AREIA, TRAÇO 1:3, E=3CM. AF_09/2023 (IMPERMEABILIZAÇÃO FLOREIRA - FUNDO E LATERAIS)</t>
  </si>
  <si>
    <t>APLICAÇÃO DE ADUBO EM SOLO. AF_07/2024 (FLOREIRA)</t>
  </si>
  <si>
    <t>RELATÓRIO ANALÍTICO MODIFICADO - FONTE SINAPI</t>
  </si>
  <si>
    <t>Cuba de aço inox retangular, 34x56x17cm, alto brilho, inclusive valvula 3 1/2", p/pia de cozinha, ref.94024-207, Tramontina ou similar</t>
  </si>
  <si>
    <t>I10060</t>
  </si>
  <si>
    <t>4.1.2.1.10</t>
  </si>
  <si>
    <t>4.1.2.1.11</t>
  </si>
  <si>
    <t>4.1.2.1.12</t>
  </si>
  <si>
    <t>Revestimento em aço inoxidável AISI304, liga18,8 em chapa 20 com espessura de 1mm, acabamento escovado - instalado</t>
  </si>
  <si>
    <t>E.18.000.036519</t>
  </si>
  <si>
    <t>ELETROTRAFO</t>
  </si>
  <si>
    <t>ALLEVER</t>
  </si>
  <si>
    <t>AQUECEDOR CENTRAL PARA CHUVEIRO ACESSÍVEL (REF. AQUECEDOR CENTRAL FLEX DIGITAL 10,5KW/220V, CARDAL) OU SIMILAR</t>
  </si>
  <si>
    <t>INTERNO</t>
  </si>
  <si>
    <t>4.1.5.2.1.1</t>
  </si>
  <si>
    <t>4.1.5.2.1.2</t>
  </si>
  <si>
    <t>4.1.5.2.1.3</t>
  </si>
  <si>
    <t>4.1.5.2.1.4</t>
  </si>
  <si>
    <t>4.1.5.2.1.5</t>
  </si>
  <si>
    <t>4.1.5.2.1.6</t>
  </si>
  <si>
    <t>4.1.5.2.1.7</t>
  </si>
  <si>
    <t>4.1.5.2.1.8</t>
  </si>
  <si>
    <t>4.1.5.2.2.1</t>
  </si>
  <si>
    <t>4.1.5.2.2.2</t>
  </si>
  <si>
    <t>4.1.5.2.2.3</t>
  </si>
  <si>
    <t>CORTINEIRO EM GESSO ACARTONADO, PARA AMBIENTES COMERCIAIS, INCLUSIVE ESTRUTURA DE FIXAÇÃO. AF_08/2023_PS</t>
  </si>
  <si>
    <t>FORRO EM GESSO ACARTONADO, PARA AMBIENTES COMERCIAIS, INCLUSIVE ESTRUTURA BIRECIONAL DE FIXAÇÃO. AF_08/2023_PS</t>
  </si>
  <si>
    <t>4.1.6.2.5</t>
  </si>
  <si>
    <t>Limitador de grama com borda fina, l=12,5cm</t>
  </si>
  <si>
    <t>I07144</t>
  </si>
  <si>
    <t>MISTURADOR MONOCOMANDO PARA CHUVEIRO, BASE BRUTA E ACABAMENTO CROMADO - FORNECIMENTO E INSTALAÇÃO. AF_08/2021</t>
  </si>
  <si>
    <t>3.4.4</t>
  </si>
  <si>
    <t>DRENAGEM</t>
  </si>
  <si>
    <t>DRENO EM MURO DE CONTENÇÃO, EXECUTADO NO PÉ DO MURO, COM TUBO DE PVC CORRUGADO RÍGIDO PERFURADO, ENCHIMENTO COM BRITA, ENVOLVIDO COM MANTA GEOTÊXTIL. AF_07/2021</t>
  </si>
  <si>
    <t>3.4.4.1</t>
  </si>
  <si>
    <t>BANCO ARTICULADO, EM ACO INOX, PARA PCD, FIXADO NA PAREDE - FORNECIMENTO E INSTALAÇÃO. AF_01/2020</t>
  </si>
  <si>
    <t>PLANTIO DE GRAMA ESMERALDA OU SÃO CARLOS OU CURITIBANA, EM PLACAS. AF_07/2024</t>
  </si>
  <si>
    <t>PLANTIO DE PALMEIRA COM ALTURA DE MUDA MENOR OU IGUAL A 2,00 M . AF_07/2024</t>
  </si>
  <si>
    <t>REVOLVIMENTO E LIMPEZA MANUAL DE SOLO. AF_07/2024</t>
  </si>
  <si>
    <t>I13218</t>
  </si>
  <si>
    <t>Cerâmica 30 x 60 cm, Portobello, linha cetim bianco ou similar</t>
  </si>
  <si>
    <t>I03162</t>
  </si>
  <si>
    <t>Cabo de cobre PP Cordplast 4 x 2,5 mm2, 450/750v</t>
  </si>
  <si>
    <t>Sinalização para deficientes - placa em braille - em pvc (ps), dim: 23 x 15 cm</t>
  </si>
  <si>
    <t>I06895</t>
  </si>
  <si>
    <t>FORNECIMENTO E INSTALAÇÃO DE PLACA DE OBRA COM CHAPA GALVANIZADA E ESTRUTURA DE MADEIRA. AF_03/2022_PS</t>
  </si>
  <si>
    <t>TELA DE ACO SOLDADA NERVURADA, CA-60, Q-196, (3,11 KG/M2), DIAMETRO DO FIO = 5,0 MM, LARGURA = 2,45 M, ESPACAMENTO DA MALHA = 10 X 10 CM</t>
  </si>
  <si>
    <t>3.4.1.4.3</t>
  </si>
  <si>
    <t>ARMAÇÃO DE BLOCO,ESTACA E VIGA BALDRAME UTILIZANDO AÇO CA-50 DE 8 MM - MONTAGEM. AF_01/2024</t>
  </si>
  <si>
    <t>4.1.2.1.13</t>
  </si>
  <si>
    <t>10.1.2</t>
  </si>
  <si>
    <t>MONTAGEM E DESMONTAGEM DE ANDAIME TUBULAR TIPO "TORRE" (EXCLUSIVE ANDAIME E LIMPEZA). AF_03/2024</t>
  </si>
  <si>
    <t>Equipamento automatizador de portas deslizantes para folha dupla, ref. ES200 EASY da Dorma ou equivalente</t>
  </si>
  <si>
    <t>H.08.000.031764</t>
  </si>
  <si>
    <t>PLANTIO DE ÁRVORE ORNAMENTAL IPÊ COM ALTURA DE MUDA MENOR OU IGUAL A 2,00 M. AF_05/2018</t>
  </si>
  <si>
    <t>4.1.2.1.14</t>
  </si>
  <si>
    <t xml:space="preserve">	Torneira de mesa com fechamento automático, ref.1173, linha Decamatic Eco, DECA ou similar</t>
  </si>
  <si>
    <t>I10053</t>
  </si>
  <si>
    <t>F.08.000.024104</t>
  </si>
  <si>
    <t>Argamassa colante industrializada, resistência química e térmicas, tipo AC-III. Ref. Argamassa Ligamax Gold Performance Branca da Eliane ou equivalente</t>
  </si>
  <si>
    <t>Rejunte flexível para porcelanato, aplicada em áreas internas e externas com junta até 3mm, ref. Rejunte Ligamax Gold Total da Eliane ou equivalente</t>
  </si>
  <si>
    <t>B.02.000.039056</t>
  </si>
  <si>
    <t>Encargos Complementares</t>
  </si>
  <si>
    <t>LOCACAO DE CONTAINER 2,30 X 6,00 M, ALT. 2,50 M, PARA ESCRITORIO, SEM DIVISORIAS INTERNAS E SEM SANITARIO (NAO INCLUI MOBILIZACAO/DESMOBILIZACAO)</t>
  </si>
  <si>
    <t>00001094</t>
  </si>
  <si>
    <t>ARMACAO VERTICAL COM HASTE E CONTRA-PINO, EM CHAPA DE ACO GALVANIZADO 3/16", COM 1 ESTRIBO, SEM ISOLADOR</t>
  </si>
  <si>
    <t>00011267</t>
  </si>
  <si>
    <t>ARRUELA LISA, REDONDA, DE LATAO POLIDO, DIAMETRO NOMINAL 5/8", DIAMETRO EXTERNO = 34 MM, DIAMETRO DO FURO = 17 MM, ESPESSURA = *2,5* MM</t>
  </si>
  <si>
    <t>00034643</t>
  </si>
  <si>
    <t>CAIXA DE INSPECAO PARA ATERRAMENTO E PARA RAIOS, EM POLIPROPILENO, DIAMETRO = 300 MM X ALTURA = 400 MM</t>
  </si>
  <si>
    <t>00001062</t>
  </si>
  <si>
    <t>CAIXA INTERNA/EXTERNA DE MEDICAO PARA 1 MEDIDOR TRIFASICO, COM VISOR, EM CHAPA DE ACO 18 USG (PADRAO DA CONCESSIONARIA LOCAL)</t>
  </si>
  <si>
    <t>00014153</t>
  </si>
  <si>
    <t>FITA METALICA PERFURADA, L = *18* MM, ROLO DE 30 M, CARGA RECOMENDADA = *30* KGF</t>
  </si>
  <si>
    <t>00004346</t>
  </si>
  <si>
    <t>PARAFUSO DE FERRO POLIDO, SEXTAVADO, COM ROSCA PARCIAL, DIAMETRO 5/8", COMPRIMENTO 6", COM PORCA E ARRUELA DE PRESSAO MEDIA</t>
  </si>
  <si>
    <t>00039997</t>
  </si>
  <si>
    <t>PORCA ZINCADA, SEXTAVADA, DIAMETRO 1/4"</t>
  </si>
  <si>
    <t>00039996</t>
  </si>
  <si>
    <t>VERGALHAO ZINCADO ROSCA TOTAL, 1/4" (6,3 MM)</t>
  </si>
  <si>
    <t>88247</t>
  </si>
  <si>
    <t>88264</t>
  </si>
  <si>
    <t>87367</t>
  </si>
  <si>
    <t>ARGAMASSA TRAÇO 1:1:6 (EM VOLUME DE CIMENTO, CAL E AREIA MÉDIA ÚMIDA) PARA EMBOÇO/MASSA ÚNICA/ASSENTAMENTO DE ALVENARIA DE VEDAÇÃO, PREPARO MANUAL. AF_08/2019</t>
  </si>
  <si>
    <t>100578</t>
  </si>
  <si>
    <t>ASSENTAMENTO DE POSTE DE CONCRETO COM COMPRIMENTO NOMINAL DE 9 M, CARGA NOMINAL MENOR OU IGUAL A 1000 DAN, ENGASTAMENTO SIMPLES COM 1,5 M DE SOLO (NÃO INCLUI FORNECIMENTO). AF_11/2019</t>
  </si>
  <si>
    <t>91933</t>
  </si>
  <si>
    <t>CABO DE COBRE FLEXÍVEL ISOLADO, 10 MM², ANTI-CHAMA 0,6/1,0 KV, PARA CIRCUITOS TERMINAIS - FORNECIMENTO E INSTALAÇÃO. AF_03/2023</t>
  </si>
  <si>
    <t>104749</t>
  </si>
  <si>
    <t>CONECTOR GRAMPO METÁLICO TIPO OLHAL, PARA SPDA, PARA HASTE DE ATERRAMENTO DE 3/4'' E CABOS DE 10 A 50 MM2 - FORNECIMENTO E INSTALAÇÃO. AF_08/2023</t>
  </si>
  <si>
    <t>96977</t>
  </si>
  <si>
    <t>CORDOALHA DE COBRE NU 50 MM², ENTERRADA - FORNECIMENTO E INSTALAÇÃO. AF_08/2023</t>
  </si>
  <si>
    <t>91919</t>
  </si>
  <si>
    <t>CURVA 180 GRAUS PARA ELETRODUTO, PVC, ROSCÁVEL, DN 32 MM (1"), PARA CIRCUITOS TERMINAIS, INSTALADA EM PAREDE - FORNECIMENTO E INSTALAÇÃO. AF_03/2023</t>
  </si>
  <si>
    <t>91917</t>
  </si>
  <si>
    <t>CURVA 90 GRAUS PARA ELETRODUTO, PVC, ROSCÁVEL, DN 32 MM (1"), PARA CIRCUITOS TERMINAIS, INSTALADA EM PAREDE - FORNECIMENTO E INSTALAÇÃO. AF_03/2023</t>
  </si>
  <si>
    <t>93673</t>
  </si>
  <si>
    <t>DISJUNTOR TRIPOLAR TIPO DIN, CORRENTE NOMINAL DE 50A - FORNECIMENTO E INSTALAÇÃO. AF_10/2020</t>
  </si>
  <si>
    <t>91872</t>
  </si>
  <si>
    <t>ELETRODUTO RÍGIDO ROSCÁVEL, PVC, DN 32 MM (1"), PARA CIRCUITOS TERMINAIS, INSTALADO EM PAREDE - FORNECIMENTO E INSTALAÇÃO. AF_03/2023</t>
  </si>
  <si>
    <t>96986</t>
  </si>
  <si>
    <t>HASTE DE ATERRAMENTO, DIÂMETRO 3/4", COM 3 METROS - FORNECIMENTO E INSTALAÇÃO. AF_08/2023</t>
  </si>
  <si>
    <t>91885</t>
  </si>
  <si>
    <t>LUVA PARA ELETRODUTO, PVC, ROSCÁVEL, DN 32 MM (1"), PARA CIRCUITOS TERMINAIS, INSTALADA EM PAREDE - FORNECIMENTO E INSTALAÇÃO. AF_03/2023</t>
  </si>
  <si>
    <t>00021114</t>
  </si>
  <si>
    <t>ADESIVO PARA TUBOS CPVC, *75* G</t>
  </si>
  <si>
    <t>00044400</t>
  </si>
  <si>
    <t>BUCHA DE REDUCAO CPVC, SOLDAVEL, 54 X 28 MM, PARA AGUA QUENTE</t>
  </si>
  <si>
    <t>00038007</t>
  </si>
  <si>
    <t>CONECTOR, CPVC, SOLDAVEL, 28 MM X 1", PARA AGUA QUENTE</t>
  </si>
  <si>
    <t>00003148</t>
  </si>
  <si>
    <t>00037957</t>
  </si>
  <si>
    <t>JOELHO CPVC, SOLDAVEL, 90 GRAUS, 28 MM, PARA AGUA QUENTE</t>
  </si>
  <si>
    <t>00037960</t>
  </si>
  <si>
    <t>JOELHO CPVC, SOLDAVEL, 90 GRAUS, 54 MM, PARA AGUA QUENTE</t>
  </si>
  <si>
    <t>00006019</t>
  </si>
  <si>
    <t>00021125</t>
  </si>
  <si>
    <t>TUBO CPVC, SOLDAVEL, 28 MM, AGUA QUENTE PREDIAL (NBR 15884)</t>
  </si>
  <si>
    <t>00038029</t>
  </si>
  <si>
    <t>TUBO CPVC, SOLDAVEL, 54 MM, AGUA QUENTE PREDIAL (NBR 15884)</t>
  </si>
  <si>
    <t>88248</t>
  </si>
  <si>
    <t>88267</t>
  </si>
  <si>
    <t>PREPARO DE FUNDO DE VALA COM LARGURA MENOR QUE 1,5 M, COM CAMADA DE AREIA, LANÇAMENTO MANUAL. AF_08/2020</t>
  </si>
  <si>
    <t>00034636</t>
  </si>
  <si>
    <t>CAIXA D'AGUA / RESERVATORIO EM POLIETILENO, 1000 LITROS, COM TAMPA</t>
  </si>
  <si>
    <t>Equipamento Custo Horário</t>
  </si>
  <si>
    <t>91693</t>
  </si>
  <si>
    <t>SERRA CIRCULAR DE BANCADA COM MOTOR ELÉTRICO POTÊNCIA DE 5HP, COM COIFA PARA DISCO 10" - CHI DIURNO. AF_08/2015</t>
  </si>
  <si>
    <t>CHI</t>
  </si>
  <si>
    <t>91692</t>
  </si>
  <si>
    <t>SERRA CIRCULAR DE BANCADA COM MOTOR ELÉTRICO POTÊNCIA DE 5HP, COM COIFA PARA DISCO 10" - CHP DIURNO. AF_08/2015</t>
  </si>
  <si>
    <t>CHP</t>
  </si>
  <si>
    <t>TOTAL Equipamento Custo Horário:</t>
  </si>
  <si>
    <t>00004491</t>
  </si>
  <si>
    <t>PONTALETE *7,5 X 7,5* CM EM PINUS, MISTA OU EQUIVALENTE DA REGIAO - BRUTA</t>
  </si>
  <si>
    <t>00006194</t>
  </si>
  <si>
    <t>TABUA *2,5 X 15 CM EM PINUS, MISTA OU EQUIVALENTE DA REGIAO - BRUTA</t>
  </si>
  <si>
    <t>00007243</t>
  </si>
  <si>
    <t>TELHA TRAPEZOIDAL EM ACO ZINCADO, SEM PINTURA, ALTURA DE APROXIMADAMENTE 40 MM, ESPESSURA DE 0,50 MM E LARGURA UTIL DE 980 MM</t>
  </si>
  <si>
    <t>88239</t>
  </si>
  <si>
    <t>88262</t>
  </si>
  <si>
    <t>94974</t>
  </si>
  <si>
    <t>CONCRETO MAGRO PARA LASTRO, TRAÇO 1:4,5:4,5 (EM MASSA SECA DE CIMENTO/ AREIA MÉDIA/ BRITA 1) - PREPARO MANUAL. AF_05/2021</t>
  </si>
  <si>
    <t>00004813</t>
  </si>
  <si>
    <t>PLACA DE OBRA (PARA CONSTRUCAO CIVIL) EM CHAPA GALVANIZADA *N. 22*, ADESIVADA, DE *2,4 X 1,2* M (SEM POSTES PARA FIXACAO)</t>
  </si>
  <si>
    <t>00005065</t>
  </si>
  <si>
    <t>PREGO DE ACO POLIDO COM CABECA 10 X 10 (7/8 X 17)</t>
  </si>
  <si>
    <t>00005069</t>
  </si>
  <si>
    <t>PREGO DE ACO POLIDO COM CABECA 17 X 27 (2 1/2 X 11)</t>
  </si>
  <si>
    <t>00004509</t>
  </si>
  <si>
    <t>SARRAFO *2,5 X 10* CM EM PINUS, MISTA OU EQUIVALENTE DA REGIAO - BRUTA</t>
  </si>
  <si>
    <t>102234</t>
  </si>
  <si>
    <t>PINTURA IMUNIZANTE PARA MADEIRA, 2 DEMÃOS. AF_01/2021</t>
  </si>
  <si>
    <t>88278</t>
  </si>
  <si>
    <t>MONTADOR DE ESTRUTURA METÁLICA COM ENCARGOS COMPLEMENTARES</t>
  </si>
  <si>
    <t>00004433</t>
  </si>
  <si>
    <t>CAIBRO NAO APARELHADO *6 X 6* CM, EM MACARANDUBA/MASSARANDUBA, ANGELIM OU EQUIVALENTE DA REGIAO - BRUTA</t>
  </si>
  <si>
    <t>00005068</t>
  </si>
  <si>
    <t>PREGO DE ACO POLIDO COM CABECA 17 X 21 (2 X 11)</t>
  </si>
  <si>
    <t>00004417</t>
  </si>
  <si>
    <t>SARRAFO NAO APARELHADO *2,5 X 7* CM, EM MACARANDUBA/MASSARANDUBA, ANGELIM, PEROBA-ROSA OU EQUIVALENTE DA REGIAO - BRUTA</t>
  </si>
  <si>
    <t>89031</t>
  </si>
  <si>
    <t>TRATOR DE ESTEIRAS, POTÊNCIA 100 HP, PESO OPERACIONAL 9,4 T, COM LÂMINA 2,19 M3 - CHI DIURNO. AF_06/2014</t>
  </si>
  <si>
    <t>89032</t>
  </si>
  <si>
    <t>TRATOR DE ESTEIRAS, POTÊNCIA 100 HP, PESO OPERACIONAL 9,4 T, COM LÂMINA 2,19 M3 - CHP DIURNO. AF_06/2014</t>
  </si>
  <si>
    <t>88441</t>
  </si>
  <si>
    <t>89877</t>
  </si>
  <si>
    <t>CAMINHÃO BASCULANTE 14 M3, COM CAVALO MECÂNICO DE CAPACIDADE MÁXIMA DE TRAÇÃO COMBINADO DE 36000 KG, POTÊNCIA 286 CV, INCLUSIVE SEMIREBOQUE COM CAÇAMBA METÁLICA - CHI DIURNO. AF_12/2014</t>
  </si>
  <si>
    <t>89876</t>
  </si>
  <si>
    <t>CAMINHÃO BASCULANTE 14 M3, COM CAVALO MECÂNICO DE CAPACIDADE MÁXIMA DE TRAÇÃO COMBINADO DE 36000 KG, POTÊNCIA 286 CV, INCLUSIVE SEMIREBOQUE COM CAÇAMBA METÁLICA - CHP DIURNO. AF_12/2014</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</si>
  <si>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</si>
  <si>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</si>
  <si>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</si>
  <si>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</si>
  <si>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</si>
  <si>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</si>
  <si>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</si>
  <si>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</si>
  <si>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5934</t>
  </si>
  <si>
    <t>MOTONIVELADORA POTÊNCIA BÁSICA LÍQUIDA (PRIMEIRA MARCHA) 125 HP, PESO BRUTO 13032 KG, LARGURA DA LÂMINA DE 3,7 M - CHI DIURNO. AF_06/2014</t>
  </si>
  <si>
    <t>5932</t>
  </si>
  <si>
    <t>MOTONIVELADORA POTÊNCIA BÁSICA LÍQUIDA (PRIMEIRA MARCHA) 125 HP, PESO BRUTO 13032 KG, LARGURA DA LÂMINA DE 3,7 M - CHP DIURNO. AF_06/2014</t>
  </si>
  <si>
    <t>93244</t>
  </si>
  <si>
    <t>ROLO COMPACTADOR VIBRATÓRIO PÉ DE CARNEIRO PARA SOLOS, POTÊNCIA 80 HP, PESO OPERACIONAL SEM/COM LASTRO 7,4 / 8,8 T, LARGURA DE TRABALHO 1,68 M - CHI DIURNO. AF_02/2016</t>
  </si>
  <si>
    <t>73436</t>
  </si>
  <si>
    <t>ROLO COMPACTADOR VIBRATÓRIO PÉ DE CARNEIRO PARA SOLOS, POTÊNCIA 80 HP, PESO OPERACIONAL SEM/COM LASTRO 7,4 / 8,8 T, LARGURA DE TRABALHO 1,68 M - CHP DIURNO. AF_02/2016</t>
  </si>
  <si>
    <t>5853</t>
  </si>
  <si>
    <t>TRATOR DE ESTEIRAS, POTÊNCIA 150 HP, PESO OPERACIONAL 16,7 T, COM RODA MOTRIZ ELEVADA E LÂMINA 3,18 M3 - CHI DIURNO. AF_06/2014</t>
  </si>
  <si>
    <t>5851</t>
  </si>
  <si>
    <t>TRATOR DE ESTEIRAS, POTÊNCIA 150 HP, PESO OPERACIONAL 16,7 T, COM RODA MOTRIZ ELEVADA E LÂMINA 3,18 M3 - CHP DIURNO. AF_06/2014</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</si>
  <si>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</si>
  <si>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</si>
  <si>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CONCRETO USINADO BOMBEAVEL, CLASSE DE RESISTENCIA C30, COM BRITA 0 E 1, SLUMP = 220 +/- 30 MM, EXCLUI SERVICO DE BOMBEAMENTO (NBR 8953)</t>
  </si>
  <si>
    <t>ENCARREGADO GERAL COM ENCARGOS COMPLEMENTARES</t>
  </si>
  <si>
    <t>ENGENHEIRO CIVIL DE OBRA PLENO COM ENCARGOS COMPLEMENTARES</t>
  </si>
  <si>
    <t>CARGA, MANOBRA E DESCARGA DE SOLOS E MATERIAIS GRANULARES EM CAMINHÃO BASCULANTE 6 M³ - CARGA COM PÁ CARREGADEIRA (CAÇAMBA DE 1,7 A 2,8 M³ / 128 HP) E DESCARGA LIVRE (UNIDADE: M3). AF_07/2020</t>
  </si>
  <si>
    <t>TRANSPORTE COM CAMINHÃO BASCULANTE DE 6 M³, EM VIA URBANA EM REVESTIMENTO PRIMÁRIO (UNIDADE: M3XKM). AF_07/2020</t>
  </si>
  <si>
    <t>00039017</t>
  </si>
  <si>
    <t>ESPACADOR / DISTANCIADOR CIRCULAR COM ENTRADA LATERAL, EM PLASTICO, PARA VERGALHAO *4,2 A 12,5* MM, COBRIMENTO 20 MM</t>
  </si>
  <si>
    <t>88238</t>
  </si>
  <si>
    <t>88245</t>
  </si>
  <si>
    <t>92801</t>
  </si>
  <si>
    <t>CORTE E DOBRA DE AÇO CA-50, DIÂMETRO DE 6,3 MM. AF_06/2022</t>
  </si>
  <si>
    <t>92804</t>
  </si>
  <si>
    <t>CORTE E DOBRA DE AÇO CA-50, DIÂMETRO DE 12,5 MM. AF_06/2022</t>
  </si>
  <si>
    <t>102274</t>
  </si>
  <si>
    <t>MARTELO DEMOLIDOR ELÉTRICO, COM POTÊNCIA DE 2.000 W, 1.000 IMPACTOS POR MINUTO, PESO DE 30 KG - CHI DIURNO. AF_01/2021</t>
  </si>
  <si>
    <t>102275</t>
  </si>
  <si>
    <t>MARTELO DEMOLIDOR ELÉTRICO, COM POTÊNCIA DE 2.000 W, 1.000 IMPACTOS POR MINUTO, PESO DE 30 KG - CHP DIURNO. AF_01/2021</t>
  </si>
  <si>
    <t>91534</t>
  </si>
  <si>
    <t>COMPACTADOR DE SOLOS DE PERCUSSÃO (SOQUETE) COM MOTOR A GASOLINA 4 TEMPOS, POTÊNCIA 4 CV - CHI DIURNO. AF_08/2015</t>
  </si>
  <si>
    <t>91533</t>
  </si>
  <si>
    <t>COMPACTADOR DE SOLOS DE PERCUSSÃO (SOQUETE) COM MOTOR A GASOLINA 4 TEMPOS, POTÊNCIA 4 CV - CHP DIURNO. AF_08/2015</t>
  </si>
  <si>
    <t>94968</t>
  </si>
  <si>
    <t>CONCRETO MAGRO PARA LASTRO, TRAÇO 1:4,5:4,5 (EM MASSA SECA DE CIMENTO/ AREIA MÉDIA/ BRITA 1) - PREPARO MECÂNICO COM BETONEIRA 600 L. AF_05/2021</t>
  </si>
  <si>
    <t>00020247</t>
  </si>
  <si>
    <t>PREGO DE ACO POLIDO COM CABECA 15 X 15 (1 1/4 X 13)</t>
  </si>
  <si>
    <t>00005073</t>
  </si>
  <si>
    <t>PREGO DE ACO POLIDO COM CABECA 17 X 24 (2 1/4 X 11)</t>
  </si>
  <si>
    <t>00040304</t>
  </si>
  <si>
    <t>PREGO DE ACO POLIDO COM CABECA DUPLA 17 X 27 (2 1/2 X 11)</t>
  </si>
  <si>
    <t>00004517</t>
  </si>
  <si>
    <t>SARRAFO *2,5 X 7,5* CM EM PINUS, MISTA OU EQUIVALENTE DA REGIAO - BRUTA</t>
  </si>
  <si>
    <t>00006212</t>
  </si>
  <si>
    <t>TABUA *2,5 X 30 CM EM PINUS, MISTA OU EQUIVALENTE DA REGIAO - BRUTA</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</si>
  <si>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</si>
  <si>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</si>
  <si>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</si>
  <si>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</si>
  <si>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</si>
  <si>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</si>
  <si>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00000626</t>
  </si>
  <si>
    <t>88243</t>
  </si>
  <si>
    <t>AJUDANTE ESPECIALIZADO COM ENCARGOS COMPLEMENTARES</t>
  </si>
  <si>
    <t>88270</t>
  </si>
  <si>
    <t>IMPERMEABILIZADOR COM ENCARGOS COMPLEMENTARES</t>
  </si>
  <si>
    <t>87377</t>
  </si>
  <si>
    <t>ARGAMASSA TRAÇO 1:3 (EM VOLUME DE CIMENTO E AREIA GROSSA ÚMIDA) PARA CHAPISCO CONVENCIONAL, PREPARO MANUAL. AF_08/2019</t>
  </si>
  <si>
    <t>92800</t>
  </si>
  <si>
    <t>CORTE E DOBRA DE AÇO CA-60, DIÂMETRO DE 5,0 MM. AF_06/2022</t>
  </si>
  <si>
    <t>92802</t>
  </si>
  <si>
    <t>CORTE E DOBRA DE AÇO CA-50, DIÂMETRO DE 8,0 MM. AF_06/2022</t>
  </si>
  <si>
    <t>92803</t>
  </si>
  <si>
    <t>CORTE E DOBRA DE AÇO CA-50, DIÂMETRO DE 10,0 MM. AF_06/2022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</si>
  <si>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</si>
  <si>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</si>
  <si>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</si>
  <si>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</si>
  <si>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</si>
  <si>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</si>
  <si>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</si>
  <si>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92264</t>
  </si>
  <si>
    <t>FABRICAÇÃO DE FÔRMA PARA PILARES E ESTRUTURAS SIMILARES, EM CHAPA DE MADEIRA COMPENSADA PLASTIFICADA, E = 18 MM. AF_09/2020</t>
  </si>
  <si>
    <t>00006193</t>
  </si>
  <si>
    <t>TABUA NAO APARELHADA *2,5 X 20* CM, EM MACARANDUBA/MASSARANDUBA, ANGELIM OU EQUIVALENTE DA REGIAO - BRUTA</t>
  </si>
  <si>
    <t>00007156</t>
  </si>
  <si>
    <t>00007334</t>
  </si>
  <si>
    <t>ADITIVO ADESIVO LIQUIDO PARA ARGAMASSAS DE REVESTIMENTOS CIMENTICIOS</t>
  </si>
  <si>
    <t>87399</t>
  </si>
  <si>
    <t>ARGAMASSA PRONTA PARA CONTRAPISO, PREPARO MANUAL. AF_08/2019</t>
  </si>
  <si>
    <t>00004226</t>
  </si>
  <si>
    <t>GAS DE COZINHA - GLP</t>
  </si>
  <si>
    <t>00004015</t>
  </si>
  <si>
    <t>MANTA ASFALTICA ELASTOMERICA EM POLIESTER 4 MM, TIPO III, CLASSE B, ACABAMENTO PP (NBR 9952)</t>
  </si>
  <si>
    <t>00000511</t>
  </si>
  <si>
    <t>PRIMER PARA MANTA ASFALTICA A BASE DE ASFALTO MODIFICADO DILUIDO EM SOLVENTE, APLICACAO A FRIO</t>
  </si>
  <si>
    <t>00038365</t>
  </si>
  <si>
    <t>CAMADA SEPARADORA DE FILME DE POLIETILENO 20 A 25 MICRA</t>
  </si>
  <si>
    <t>87372</t>
  </si>
  <si>
    <t>ARGAMASSA TRAÇO 1:3 (EM VOLUME DE CIMENTO E AREIA MÉDIA ÚMIDA) PARA CONTRAPISO, PREPARO MANUAL. AF_08/2019</t>
  </si>
  <si>
    <t>92806</t>
  </si>
  <si>
    <t>CORTE E DOBRA DE AÇO CA-50, DIÂMETRO DE 20,0 MM. AF_06/2022</t>
  </si>
  <si>
    <t>00005318</t>
  </si>
  <si>
    <t>DILUENTE AGUARRAS</t>
  </si>
  <si>
    <t>88310</t>
  </si>
  <si>
    <t>94970</t>
  </si>
  <si>
    <t>CONCRETO FCK = 20MPA, TRAÇO 1:2,7:3 (EM MASSA SECA DE CIMENTO/ AREIA MÉDIA/ BRITA 1) - PREPARO MECÂNICO COM BETONEIRA 600 L. AF_05/2021</t>
  </si>
  <si>
    <t>00034592</t>
  </si>
  <si>
    <t>BLOCO DE VEDACAO CONCRETO 14 X 19 X 29 CM (CLASSE C - NBR 6136)</t>
  </si>
  <si>
    <t>00037395</t>
  </si>
  <si>
    <t>PINO DE ACO COM FURO, HASTE = 27 MM (ACAO DIRETA)</t>
  </si>
  <si>
    <t>CENTO</t>
  </si>
  <si>
    <t>00034547</t>
  </si>
  <si>
    <t>TELA DE ACO SOLDADA GALVANIZADA/ZINCADA PARA ALVENARIA, FIO D = *1,20 A 1,70* MM, MALHA 15 X 15 MM, (C X L) *50 X 12* CM</t>
  </si>
  <si>
    <t>87292</t>
  </si>
  <si>
    <t>ARGAMASSA TRAÇO 1:2:8 (EM VOLUME DE CIMENTO, CAL E AREIA MÉDIA ÚMIDA) PARA EMBOÇO/MASSA ÚNICA/ASSENTAMENTO DE ALVENARIA DE VEDAÇÃO, PREPARO MECÂNICO COM BETONEIRA 400 L. AF_08/2019</t>
  </si>
  <si>
    <t>87369</t>
  </si>
  <si>
    <t>ARGAMASSA TRAÇO 1:2:8 (EM VOLUME DE CIMENTO, CAL E AREIA MÉDIA ÚMIDA) PARA EMBOÇO/MASSA ÚNICA/ASSENTAMENTO DE ALVENARIA DE VEDAÇÃO, PREPARO MANUAL. AF_08/2019</t>
  </si>
  <si>
    <t>00006085</t>
  </si>
  <si>
    <t>SELADOR ACRILICO OPACO PREMIUM INTERIOR/EXTERIOR</t>
  </si>
  <si>
    <t>00004021</t>
  </si>
  <si>
    <t>GEOTEXTIL NAO TECIDO AGULHADO DE FILAMENTOS CONTINUOS 100% POLIESTER, RESITENCIA A TRACAO = 14 KN/M</t>
  </si>
  <si>
    <t>00044315</t>
  </si>
  <si>
    <t>TUBO PVC, RIGIDO, CORRUGADO, PERFURADO DN 100 MM, PARA DRENAGEM, SISTEMA IRRIGACAO</t>
  </si>
  <si>
    <t>00034557</t>
  </si>
  <si>
    <t>TELA DE ACO SOLDADA GALVANIZADA/ZINCADA PARA ALVENARIA, FIO D = *1,20 A 1,70* MM, MALHA 15 X 15 MM, (C X L) *50 X 7,5* CM</t>
  </si>
  <si>
    <t>00007258</t>
  </si>
  <si>
    <t>TIJOLO CERAMICO MACICO COMUM DE *5 X 10 X 20* CM (L X A X C)</t>
  </si>
  <si>
    <t>87294</t>
  </si>
  <si>
    <t>ARGAMASSA TRAÇO 1:2:9 (EM VOLUME DE CIMENTO, CAL E AREIA MÉDIA ÚMIDA) PARA EMBOÇO/MASSA ÚNICA/ASSENTAMENTO DE ALVENARIA DE VEDAÇÃO, PREPARO MECÂNICO COM BETONEIRA 600 L. AF_08/2019</t>
  </si>
  <si>
    <t>00000658</t>
  </si>
  <si>
    <t>CANALETA DE CONCRETO 9 X 19 X 19 CM (CLASSE C - NBR 6136)</t>
  </si>
  <si>
    <t>89994</t>
  </si>
  <si>
    <t>GRAUTEAMENTO DE CINTA INTERMEDIÁRIA OU DE CONTRAVERGA EM ALVENARIA ESTRUTURAL. AF_09/2021</t>
  </si>
  <si>
    <t>00039431</t>
  </si>
  <si>
    <t>FITA DE PAPEL MICROPERFURADO, 50 X 150 MM, PARA TRATAMENTO DE JUNTAS DE CHAPA DE GESSO PARA DRYWALL</t>
  </si>
  <si>
    <t>00039432</t>
  </si>
  <si>
    <t>FITA DE PAPEL REFORCADA COM LAMINA DE METAL PARA REFORCO DE CANTOS DE CHAPA DE GESSO PARA DRYWALL</t>
  </si>
  <si>
    <t>00039434</t>
  </si>
  <si>
    <t>MASSA DE REJUNTE EM PO PARA DRYWALL, A BASE DE GESSO, SECAGEM RAPIDA, PARA TRATAMENTO DE JUNTAS DE CHAPA DE GESSO (NECESSITA ADICAO DE AGUA)</t>
  </si>
  <si>
    <t>00039435</t>
  </si>
  <si>
    <t>PARAFUSO DRY WALL, EM ACO FOSFATIZADO, CABECA TROMBETA E PONTA AGULHA (TA), COMPRIMENTO 25 MM</t>
  </si>
  <si>
    <t>00039437</t>
  </si>
  <si>
    <t>PARAFUSO DRY WALL, EM ACO FOSFATIZADO, CABECA TROMBETA E PONTA AGULHA (TA), COMPRIMENTO 45 MM</t>
  </si>
  <si>
    <t>00039443</t>
  </si>
  <si>
    <t>PARAFUSO DRY WALL, EM ACO ZINCADO, CABECA LENTILHA E PONTA BROCA (LB), LARGURA 4,2 MM, COMPRIMENTO 13 MM</t>
  </si>
  <si>
    <t>00039419</t>
  </si>
  <si>
    <t>PERFIL GUIA, FORMATO U, EM ACO ZINCADO, PARA ESTRUTURA PAREDE DRYWALL, E = 0,5 MM, 70 X 3000 MM (L X C)</t>
  </si>
  <si>
    <t>00039422</t>
  </si>
  <si>
    <t>PERFIL MONTANTE, FORMATO C, EM ACO ZINCADO, PARA ESTRUTURA PAREDE DRYWALL, E = 0,5 MM, 70 X 3000 MM (L X C)</t>
  </si>
  <si>
    <t>00037586</t>
  </si>
  <si>
    <t>PINO DE ACO COM ARRUELA CONICA, DIAMETRO ARRUELA = *23* MM E COMP HASTE = *27* MM (ACAO INDIRETA)</t>
  </si>
  <si>
    <t>00039413</t>
  </si>
  <si>
    <t>PLACA / CHAPA DE GESSO ACARTONADO, STANDARD (ST), COR BRANCA, E = 12,5 MM, 1200 X 2400 MM (L X C)</t>
  </si>
  <si>
    <t>00036081</t>
  </si>
  <si>
    <t>BARRA DE APOIO RETA, EM ACO INOX POLIDO, COMPRIMENTO 80CM, DIAMETRO MINIMO 3 CM</t>
  </si>
  <si>
    <t>00004351</t>
  </si>
  <si>
    <t>PARAFUSO NIQUELADO 3 1/2" COM ACABAMENTO CROMADO PARA FIXAR PECA SANITARIA, INCLUI PORCA CEGA, ARRUELA E BUCHA DE NYLON TAMANHO S-8</t>
  </si>
  <si>
    <t>CARPINTEIRO DE ESQUADRIA COM ENCARGOS COMPLEMENTARES</t>
  </si>
  <si>
    <t>93282</t>
  </si>
  <si>
    <t>GUINCHO ELÉTRICO DE COLUNA, CAPACIDADE 400 KG, COM MOTO FREIO, MOTOR TRIFÁSICO DE 1,25 CV - CHI DIURNO. AF_03/2016</t>
  </si>
  <si>
    <t>93281</t>
  </si>
  <si>
    <t>GUINCHO ELÉTRICO DE COLUNA, CAPACIDADE 400 KG, COM MOTO FREIO, MOTOR TRIFÁSICO DE 1,25 CV - CHP DIURNO. AF_03/2016</t>
  </si>
  <si>
    <t>00005104</t>
  </si>
  <si>
    <t>REBITE DE REPUXO EM ALUMINIO VAZADO, DIAMETRO 3,2 X 8 MM DE COMPRIMENTO (1KG = 1025 UNIDADES)</t>
  </si>
  <si>
    <t>00040873</t>
  </si>
  <si>
    <t>RUFO INTERNO/EXTERNO DE CHAPA DE ACO GALVANIZADA NUM 24, CORTE 25 CM</t>
  </si>
  <si>
    <t>00013388</t>
  </si>
  <si>
    <t>SOLDA EM BARRA DE ESTANHO-CHUMBO 50/50</t>
  </si>
  <si>
    <t>88323</t>
  </si>
  <si>
    <t>TELHADISTA COM ENCARGOS COMPLEMENTARES</t>
  </si>
  <si>
    <t>91278</t>
  </si>
  <si>
    <t>PLACA VIBRATÓRIA REVERSÍVEL COM MOTOR 4 TEMPOS A GASOLINA, FORÇA CENTRÍFUGA DE 25 KN (2500 KGF), POTÊNCIA 5,5 CV - CHI DIURNO. AF_08/2015</t>
  </si>
  <si>
    <t>91277</t>
  </si>
  <si>
    <t>PLACA VIBRATÓRIA REVERSÍVEL COM MOTOR 4 TEMPOS A GASOLINA, FORÇA CENTRÍFUGA DE 25 KN (2500 KGF), POTÊNCIA 5,5 CV - CHP DIURNO. AF_08/2015</t>
  </si>
  <si>
    <t>00004721</t>
  </si>
  <si>
    <t>PEDRA BRITADA N. 1 (9,5 A 19 MM) POSTO PEDREIRA/FORNECEDOR, SEM FRETE</t>
  </si>
  <si>
    <t>00034492</t>
  </si>
  <si>
    <t>CONCRETO USINADO BOMBEAVEL, CLASSE DE RESISTENCIA C20, COM BRITA 0 E 1, SLUMP = 100 +/- 20 MM, EXCLUI SERVICO DE BOMBEAMENTO (NBR 8953)</t>
  </si>
  <si>
    <t>00000135</t>
  </si>
  <si>
    <t>ARGAMASSA POLIMERICA IMPERMEABILIZANTE SEMIFLEXIVEL, BICOMPONENTE, A BASE DE CIMENTO E ADITIVOS</t>
  </si>
  <si>
    <t>00037595</t>
  </si>
  <si>
    <t>ARGAMASSA COLANTE TIPO AC III</t>
  </si>
  <si>
    <t>00012815</t>
  </si>
  <si>
    <t>FITA CREPE ROLO DE 25 MM X 50 M</t>
  </si>
  <si>
    <t>00043131</t>
  </si>
  <si>
    <t>ARAME GALVANIZADO 6 BWG, D = 5,16 MM (0,157 KG/M), OU 8 BWG, D = 4,19 MM (0,101 KG/M), OU 10 BWG, D = 3,40 MM (0,0713 KG/M)</t>
  </si>
  <si>
    <t>00040547</t>
  </si>
  <si>
    <t>PARAFUSO ZINCADO, AUTOBROCANTE, FLANGEADO, 4,2 MM X 19 MM</t>
  </si>
  <si>
    <t>00039430</t>
  </si>
  <si>
    <t>PENDURAL OU PRESILHA REGULADORA, EM ACO GALVANIZADO, COM CORPO, MOLA E REBITE, PARA PERFIL TIPO CANALETA DE ESTRUTURA EM FORROS DRYWALL</t>
  </si>
  <si>
    <t>00039427</t>
  </si>
  <si>
    <t>PERFIL CANALETA, FORMATO C, EM ACO ZINCADO, PARA ESTRUTURA FORRO DRYWALL, E = 0,5 MM, *46 X 18* (L X H), COMPRIMENTO 3 M</t>
  </si>
  <si>
    <t>MISTURADOR MONOCOMANDO PARA CHUVEIRO, BASE BRUTA, METALICO COM ACABAMENTO CROMADO</t>
  </si>
  <si>
    <t>00000122</t>
  </si>
  <si>
    <t>ADESIVO PLASTICO PARA PVC, FRASCO COM *850* GR</t>
  </si>
  <si>
    <t>00020083</t>
  </si>
  <si>
    <t>SOLUCAO PREPARADORA / LIMPADORA PARA PVC, FRASCO COM 1000 CM3</t>
  </si>
  <si>
    <t>00003146</t>
  </si>
  <si>
    <t>00006136</t>
  </si>
  <si>
    <t>SIFAO EM METAL CROMADO PARA PIA OU LAVATORIO, 1 X 1.1/2"</t>
  </si>
  <si>
    <t>00001332</t>
  </si>
  <si>
    <t>CHAPA DE ACO GROSSA, ASTM A36, E = 3/8" (9,53 MM) 74,69 KG/M2</t>
  </si>
  <si>
    <t>00011002</t>
  </si>
  <si>
    <t>ELETRODO REVESTIDO AWS - E6013, DIAMETRO IGUAL A 2,50 MM</t>
  </si>
  <si>
    <t>00013246</t>
  </si>
  <si>
    <t>PARAFUSO DE ACO ZINCADO, SEXTAVADO, COM ROSCA INTEIRA, DIAMETRO 5/16", COMPRIMENTO 3/4", COM PORCA E ARRUELA LISA LEVE</t>
  </si>
  <si>
    <t>00011964</t>
  </si>
  <si>
    <t>PARAFUSO DE ACO ZINCADO, TIPO CHUMBADOR PARABOLT, DIAMETRO 3/8", COMPRIMENTO 75 MM</t>
  </si>
  <si>
    <t>PERFIL DE ALUMINIO ANODIZADO</t>
  </si>
  <si>
    <t>00020259</t>
  </si>
  <si>
    <t>PERFIL DE BORRACHA EPDM MACICO *12 X 15* MM PARA ESQUADRIAS</t>
  </si>
  <si>
    <t>00039961</t>
  </si>
  <si>
    <t>SILICONE ACETICO USO GERAL INCOLOR 280 G</t>
  </si>
  <si>
    <t>00034391</t>
  </si>
  <si>
    <t>VIDRO COMUM LAMINADO LISO INCOLOR DUPLO, ESPESSURA TOTAL 8 MM (CADA CAMADA DE 4 MM) - COLOCADO</t>
  </si>
  <si>
    <t>88251</t>
  </si>
  <si>
    <t>88315</t>
  </si>
  <si>
    <t>00003322</t>
  </si>
  <si>
    <t>GRAMA ESMERALDA OU SAO CARLOS OU CURITIBANA, EM PLACAS, SEM PLANTIO</t>
  </si>
  <si>
    <t>00003123</t>
  </si>
  <si>
    <t>FERTILIZANTE NPK - 4: 14: 8</t>
  </si>
  <si>
    <t>00038125</t>
  </si>
  <si>
    <t>FERTILIZANTE ORGANICO COMPOSTO, CLASSE A</t>
  </si>
  <si>
    <t>MARTELETE OU ROMPEDOR PNEUMÁTICO MANUAL, 28 KG, COM SILENCIADOR - CHP DIURNO. AF_07/2016</t>
  </si>
  <si>
    <t>ARGAMASSA TRAÇO 1:3 (EM VOLUME DE CIMENTO E AREIA MÉDIA ÚMIDA) PARA CONTRAPISO, PREPARO MECÂNICO COM BETONEIRA 400 L. AF_08/2019</t>
  </si>
  <si>
    <t>CONCRETO FCK = 15MPA, TRAÇO 1:3,4:3,4 (EM MASSA SECA DE CIMENTO/ AREIA MÉDIA/ SEIXO ROLADO) - PREPARO MANUAL. AF_05/2021</t>
  </si>
  <si>
    <t>91635</t>
  </si>
  <si>
    <t>GUINDAUTO HIDRÁULICO, CAPACIDADE MÁXIMA DE CARGA 6500 KG, MOMENTO MÁXIMO DE CARGA 5,8 TM, ALCANCE MÁXIMO HORIZONTAL 7,60 M, INCLUSIVE CAMINHÃO TOCO PBT 9.700 KG, POTÊNCIA DE 160 CV - CHI DIURNO. AF_08/2015</t>
  </si>
  <si>
    <t>91634</t>
  </si>
  <si>
    <t>GUINDAUTO HIDRÁULICO, CAPACIDADE MÁXIMA DE CARGA 6500 KG, MOMENTO MÁXIMO DE CARGA 5,8 TM, ALCANCE MÁXIMO HORIZONTAL 7,60 M, INCLUSIVE CAMINHÃO TOCO PBT 9.700 KG, POTÊNCIA DE 160 CV - CHP DIURNO. AF_08/2015</t>
  </si>
  <si>
    <t>00038641</t>
  </si>
  <si>
    <t>MUDA DE PALMEIRA ARECA, H= *1,50* M</t>
  </si>
  <si>
    <t>00000358</t>
  </si>
  <si>
    <t>MUDA DE ARVORE ORNAMENTAL, OITI/AROEIRA SALSA/ANGICO/IPE/JACARANDA OU EQUIVALENTE DA REGIAO, H= *1* M</t>
  </si>
  <si>
    <t>00000365</t>
  </si>
  <si>
    <t>MUDA DE ARBUSTO FOLHAGEM, SANSAO-DO-CAMPO OU EQUIVALENTE DA REGIAO, H= *50 A 70* CM</t>
  </si>
  <si>
    <t>00004014</t>
  </si>
  <si>
    <t>MANTA ASFALTICA ELASTOMERICA EM POLIESTER 3 MM, TIPO III, CLASSE B, ACABAMENTO PP (NBR 9952)</t>
  </si>
  <si>
    <t>95265</t>
  </si>
  <si>
    <t>COMPACTADOR DE SOLOS DE PERCUSÃO (SOQUETE) COM MOTOR A GASOLINA, POTÊNCIA 3 CV - CHI DIURNO. AF_09/2016</t>
  </si>
  <si>
    <t>95264</t>
  </si>
  <si>
    <t>COMPACTADOR DE SOLOS DE PERCUSÃO (SOQUETE) COM MOTOR A GASOLINA, POTÊNCIA 3 CV - CHP DIURNO. AF_09/2016</t>
  </si>
  <si>
    <t>00034353</t>
  </si>
  <si>
    <t>ARGAMASSA COLANTE AC II</t>
  </si>
  <si>
    <t>00036178</t>
  </si>
  <si>
    <t>PISO TATIL / PODOTATIL, LADRILHO HIDRAULICO/CONCRETO, *40 X 40* CM, E= 2,5* CM, PADRAO TATIL ALERTA OU DIRECIONAL, COR NATURAL</t>
  </si>
  <si>
    <t>00034357</t>
  </si>
  <si>
    <t>REJUNTE CIMENTICIO, QUALQUER COR</t>
  </si>
  <si>
    <t>91285</t>
  </si>
  <si>
    <t>CORTADORA DE PISO COM MOTOR 4 TEMPOS A GASOLINA, POTÊNCIA DE 13 HP, COM DISCO DE CORTE DIAMANTADO SEGMENTADO PARA CONCRETO, DIÂMETRO DE 350 MM, FURO DE 1" (14 X 1") - CHI DIURNO. AF_08/2015</t>
  </si>
  <si>
    <t>91283</t>
  </si>
  <si>
    <t>CORTADORA DE PISO COM MOTOR 4 TEMPOS A GASOLINA, POTÊNCIA DE 13 HP, COM DISCO DE CORTE DIAMANTADO SEGMENTADO PARA CONCRETO, DIÂMETRO DE 350 MM, FURO DE 1" (14 X 1") - CHP DIURNO. AF_08/2015</t>
  </si>
  <si>
    <t>88260</t>
  </si>
  <si>
    <t>CALCETEIRO COM ENCARGOS COMPLEMENTARES</t>
  </si>
  <si>
    <t>00007348</t>
  </si>
  <si>
    <t>TINTA ACRILICA PREMIUM PARA PISO</t>
  </si>
  <si>
    <t>00042408</t>
  </si>
  <si>
    <t>LONA PLASTICA EXTRA FORTE PRETA, E = 200 MICRA</t>
  </si>
  <si>
    <t>00007311</t>
  </si>
  <si>
    <t>TINTA ESMALTE SINTETICO PREMIUM ACETINADO</t>
  </si>
  <si>
    <t>00007142</t>
  </si>
  <si>
    <t>TE SOLDAVEL, PVC, 90 GRAUS,50 MM, PARA AGUA FRIA PREDIAL (NBR 5648)</t>
  </si>
  <si>
    <t>00007139</t>
  </si>
  <si>
    <t>TE SOLDAVEL, PVC, 90 GRAUS, 25 MM, PARA AGUA FRIA PREDIAL (NBR 5648)</t>
  </si>
  <si>
    <t>00007136</t>
  </si>
  <si>
    <t>TE DE REDUCAO, PVC, SOLDAVEL, 90 GRAUS, 32 MM X 25 MM, PARA AGUA FRIA PREDIAL</t>
  </si>
  <si>
    <t>00020147</t>
  </si>
  <si>
    <t>JOELHO PVC, SOLDAVEL, COM BUCHA DE LATAO, 90 GRAUS, 25 MM X 1/2", PARA AGUA FRIA PREDIAL</t>
  </si>
  <si>
    <t>00003540</t>
  </si>
  <si>
    <t>JOELHO PVC, SOLDAVEL, 90 GRAUS, 50 MM, COR MARROM, PARA AGUA FRIA PREDIAL</t>
  </si>
  <si>
    <t>00003529</t>
  </si>
  <si>
    <t>JOELHO PVC, SOLDAVEL, 90 GRAUS, 25 MM, COR MARROM, PARA AGUA FRIA PREDIAL</t>
  </si>
  <si>
    <t>00003501</t>
  </si>
  <si>
    <t>JOELHO, PVC SOLDAVEL, 45 GRAUS, 32 MM, COR MARROM, PARA AGUA FRIA PREDIAL</t>
  </si>
  <si>
    <t>00003500</t>
  </si>
  <si>
    <t>JOELHO, PVC SOLDAVEL, 45 GRAUS, 25 MM, COR MARROM, PARA AGUA FRIA PREDIAL</t>
  </si>
  <si>
    <t>00000813</t>
  </si>
  <si>
    <t>BUCHA DE REDUCAO DE PVC, SOLDAVEL, LONGA, COM 50 X 25 MM, PARA AGUA FRIA PREDIAL</t>
  </si>
  <si>
    <t>00000829</t>
  </si>
  <si>
    <t>BUCHA DE REDUCAO DE PVC, SOLDAVEL, CURTA, COM 32 X 25 MM, PARA AGUA FRIA PREDIAL</t>
  </si>
  <si>
    <t>00000301</t>
  </si>
  <si>
    <t>ANEL BORRACHA PARA TUBO ESGOTO PREDIAL, DN 100 MM (NBR 5688)</t>
  </si>
  <si>
    <t>00020078</t>
  </si>
  <si>
    <t>PASTA LUBRIFICANTE PARA TUBOS E CONEXOES COM JUNTA ELASTICA, EMBALAGEM DE *400* GR (USO EM PVC, ACO, POLIETILENO E OUTROS)</t>
  </si>
  <si>
    <t>00000296</t>
  </si>
  <si>
    <t>ANEL BORRACHA PARA TUBO ESGOTO PREDIAL, DN 50 MM (NBR 5688)</t>
  </si>
  <si>
    <t>00007097</t>
  </si>
  <si>
    <t>TE SANITARIO, PVC, DN 50 X 50 MM, SERIE NORMAL, PARA ESGOTO PREDIAL</t>
  </si>
  <si>
    <t>00039319</t>
  </si>
  <si>
    <t>TERMINAL DE VENTILACAO, 50 MM, SERIE NORMAL, ESGOTO PREDIAL</t>
  </si>
  <si>
    <t>00003899</t>
  </si>
  <si>
    <t>LUVA SIMPLES, PVC, SOLDAVEL, DN 100 MM, SERIE NORMAL, PARA ESGOTO PREDIAL</t>
  </si>
  <si>
    <t>00003875</t>
  </si>
  <si>
    <t>LUVA SIMPLES, PVC, SOLDAVEL, DN 50 MM, SERIE NORMAL, PARA ESGOTO PREDIAL</t>
  </si>
  <si>
    <t>00003670</t>
  </si>
  <si>
    <t>JUNCAO SIMPLES, PVC, 45 GRAUS, DN 100 X 100 MM, SERIE NORMAL PARA ESGOTO PREDIAL</t>
  </si>
  <si>
    <t>00003662</t>
  </si>
  <si>
    <t>JUNCAO SIMPLES, PVC, 45 GRAUS, DN 50 X 50 MM, SERIE NORMAL PARA ESGOTO PREDIAL</t>
  </si>
  <si>
    <t>00003520</t>
  </si>
  <si>
    <t>JOELHO PVC, SOLDAVEL, PB, 90 GRAUS, DN 100 MM, PARA ESGOTO PREDIAL</t>
  </si>
  <si>
    <t>00003526</t>
  </si>
  <si>
    <t>JOELHO PVC, SOLDAVEL, PB, 90 GRAUS, DN 50 MM, PARA ESGOTO PREDIAL</t>
  </si>
  <si>
    <t>00003517</t>
  </si>
  <si>
    <t>JOELHO PVC, SOLDAVEL, BB, 90 GRAUS, SEM ANEL, DN 40 MM, PARA ESGOTO PREDIAL SECUNDARIO</t>
  </si>
  <si>
    <t>00003528</t>
  </si>
  <si>
    <t>JOELHO PVC, SOLDAVEL, PB, 45 GRAUS, DN 100 MM, PARA ESGOTO PREDIAL</t>
  </si>
  <si>
    <t>00003518</t>
  </si>
  <si>
    <t>JOELHO PVC, SOLDAVEL, PB, 45 GRAUS, DN 50 MM, PARA ESGOTO PREDIAL</t>
  </si>
  <si>
    <t>00003516</t>
  </si>
  <si>
    <t>JOELHO PVC, SOLDAVEL, BB, 45 GRAUS, DN 40 MM, PARA ESGOTO PREDIAL</t>
  </si>
  <si>
    <t>00007140</t>
  </si>
  <si>
    <t>TE SOLDAVEL, PVC, 90 GRAUS, 32 MM, PARA AGUA FRIA PREDIAL (NBR 5648)</t>
  </si>
  <si>
    <t>00038678</t>
  </si>
  <si>
    <t>LUVA SOLDAVEL COM BUCHA DE LATAO, PVC, 32 MM X 1"</t>
  </si>
  <si>
    <t>00003536</t>
  </si>
  <si>
    <t>JOELHO PVC, SOLDAVEL, 90 GRAUS, 32 MM, COR MARROM, PARA AGUA FRIA PREDIAL</t>
  </si>
  <si>
    <t>00009868</t>
  </si>
  <si>
    <t>TUBO PVC, SOLDAVEL, DE 25 MM, AGUA FRIA (NBR-5648)</t>
  </si>
  <si>
    <t>00009869</t>
  </si>
  <si>
    <t>TUBO PVC, SOLDAVEL, DE 32 MM, AGUA FRIA (NBR-5648)</t>
  </si>
  <si>
    <t>00009835</t>
  </si>
  <si>
    <t>TUBO PVC SERIE NORMAL, DN 40 MM, PARA ESGOTO PREDIAL (NBR 5688)</t>
  </si>
  <si>
    <t>00009838</t>
  </si>
  <si>
    <t>TUBO PVC SERIE NORMAL, DN 50 MM, PARA ESGOTO PREDIAL (NBR 5688)</t>
  </si>
  <si>
    <t>00009875</t>
  </si>
  <si>
    <t>TUBO PVC, SOLDAVEL, DE 50 MM, AGUA FRIA (NBR-5648)</t>
  </si>
  <si>
    <t>00009836</t>
  </si>
  <si>
    <t>TUBO PVC SERIE NORMAL, DN 100 MM, PARA ESGOTO PREDIAL (NBR 5688)</t>
  </si>
  <si>
    <t>00035277</t>
  </si>
  <si>
    <t>CAIXA DE GORDURA EM PVC, DIAMETRO MINIMO 300 MM, DIAMETRO DE SAIDA 100 MM, CAPACIDADE APROXIMADA 18 LITROS, COM TAMPA E CESTO</t>
  </si>
  <si>
    <t>101618</t>
  </si>
  <si>
    <t>CAIXA D'AGUA / RESERVATORIO EM POLIETILENO, 2000 LITROS, COM TAMPA</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</si>
  <si>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</si>
  <si>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</si>
  <si>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</si>
  <si>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</si>
  <si>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87316</t>
  </si>
  <si>
    <t>ARGAMASSA TRAÇO 1:4 (EM VOLUME DE CIMENTO E AREIA GROSSA ÚMIDA) PARA CHAPISCO CONVENCIONAL, PREPARO MECÂNICO COM BETONEIRA 400 L. AF_08/2019</t>
  </si>
  <si>
    <t>00020080</t>
  </si>
  <si>
    <t>ADESIVO PLASTICO PARA PVC, FRASCO COM 175 GR</t>
  </si>
  <si>
    <t>00011675</t>
  </si>
  <si>
    <t>REGISTRO DE ESFERA, PVC, COM VOLANTE, VS, SOLDAVEL, DN 32 MM, COM CORPO DIVIDIDO</t>
  </si>
  <si>
    <t>00011677</t>
  </si>
  <si>
    <t>REGISTRO DE ESFERA, PVC, COM VOLANTE, VS, SOLDAVEL, DN 50 MM, COM CORPO DIVIDIDO</t>
  </si>
  <si>
    <t>00002442</t>
  </si>
  <si>
    <t>ELETRODUTO/DUTO PEAD FLEXIVEL PAREDE SIMPLES, CORRUGACAO HELICOIDAL, COR PRETA, SEM ROSCA, DE 3", CRC 680 N, PARA CABEAMENTO SUBTERRANEO (NBR 15715)</t>
  </si>
  <si>
    <t>00039246</t>
  </si>
  <si>
    <t>ELETRODUTO/DUTO PEAD FLEXIVEL PAREDE SIMPLES, CORRUGACAO HELICOIDAL, COR PRETA, SEM ROSCA, DE 1 1/2", CRC 680 N, PARA CABEAMENTO SUBTERRANEO (NBR 15715)</t>
  </si>
  <si>
    <t>00039247</t>
  </si>
  <si>
    <t>ELETRODUTO/DUTO PEAD FLEXIVEL PAREDE SIMPLES, CORRUGACAO HELICOIDAL, COR PRETA, SEM ROSCA, DE 1 1/4", CRC 680 N, PARA CABEAMENTO SUBTERRANEO (NBR 15715)</t>
  </si>
  <si>
    <t>ELETRODUTO DE PVC RIGIDO ROSCAVEL DE 1 1/4 ", SEM LUVA</t>
  </si>
  <si>
    <t>00002690</t>
  </si>
  <si>
    <t>ELETRODUTO PVC FLEXIVEL CORRUGADO, COR AMARELA, DE 32 MM</t>
  </si>
  <si>
    <t>00002688</t>
  </si>
  <si>
    <t>ELETRODUTO PVC FLEXIVEL CORRUGADO, COR AMARELA, DE 25 MM</t>
  </si>
  <si>
    <t>88629</t>
  </si>
  <si>
    <t>ARGAMASSA TRAÇO 1:3 (EM VOLUME DE CIMENTO E AREIA MÉDIA ÚMIDA), PREPARO MANUAL. AF_08/2019</t>
  </si>
  <si>
    <t>00001873</t>
  </si>
  <si>
    <t>CAIXA DE PASSAGEM, EM PVC, DE 4" X 4", PARA ELETRODUTO FLEXIVEL CORRUGADO</t>
  </si>
  <si>
    <t>00010569</t>
  </si>
  <si>
    <t>CAIXA DE PASSAGEM / DERIVACAO / LUZ, OCTOGONAL 4 X4, EM ACO ESMALTADA, COM FUNDO MOVEL SIMPLES (FMS)</t>
  </si>
  <si>
    <t>100475</t>
  </si>
  <si>
    <t>ARGAMASSA TRAÇO 1:3 (EM VOLUME DE CIMENTO E AREIA MÉDIA ÚMIDA) COM ADIÇÃO DE IMPERMEABILIZANTE, PREPARO MECÂNICO COM BETONEIRA 400 L. AF_08/2019</t>
  </si>
  <si>
    <t>97735</t>
  </si>
  <si>
    <t>PEÇA RETANGULAR PRÉ-MOLDADA, VOLUME DE CONCRETO DE 30 A 100 LITROS, TAXA DE AÇO APROXIMADA DE 30KG/M³. AF_03/2024</t>
  </si>
  <si>
    <t>101619</t>
  </si>
  <si>
    <t>PREPARO DE FUNDO DE VALA COM LARGURA MENOR QUE 1,5 M, COM CAMADA DE BRITA, LANÇAMENTO MANUAL. AF_08/2020</t>
  </si>
  <si>
    <t>00034653</t>
  </si>
  <si>
    <t>DISJUNTOR TERMOMAGNETICO PARA TRILHO DIN (IEC), MONOPOLAR, 6 - 32 A</t>
  </si>
  <si>
    <t>00001570</t>
  </si>
  <si>
    <t>TERMINAL A COMPRESSAO EM COBRE ESTANHADO PARA CABO 2,5 MM2, 1 FURO E 1 COMPRESSAO, PARA PARAFUSO DE FIXACAO M5</t>
  </si>
  <si>
    <t>00001571</t>
  </si>
  <si>
    <t>TERMINAL A COMPRESSAO EM COBRE ESTANHADO PARA CABO 4 MM2, 1 FURO E 1 COMPRESSAO, PARA PARAFUSO DE FIXACAO M5</t>
  </si>
  <si>
    <t>00034616</t>
  </si>
  <si>
    <t>DISJUNTOR TERMOMAGNETICO PARA TRILHO DIN (IEC), BIPOLAR, 6 - 32 A</t>
  </si>
  <si>
    <t>00001573</t>
  </si>
  <si>
    <t>TERMINAL A COMPRESSAO EM COBRE ESTANHADO PARA CABO 6 MM2, 1 FURO E 1 COMPRESSAO, PARA PARAFUSO DE FIXACAO M6</t>
  </si>
  <si>
    <t>00034709</t>
  </si>
  <si>
    <t>DISJUNTOR TERMOMAGNETICO PARA TRILHO DIN (IEC), TRIPOLAR, 10 - 50 A</t>
  </si>
  <si>
    <t>00002373</t>
  </si>
  <si>
    <t>DISJUNTOR TIPO NEMA, TRIPOLAR 60 ATE 100 A, TENSAO MAXIMA DE 415 V</t>
  </si>
  <si>
    <t>00001576</t>
  </si>
  <si>
    <t>TERMINAL A COMPRESSAO EM COBRE ESTANHADO PARA CABO 25 MM2, 1 FURO E 1 COMPRESSAO, PARA PARAFUSO DE FIXACAO M8</t>
  </si>
  <si>
    <t>00001620</t>
  </si>
  <si>
    <t>CONTATOR TRIPOLAR, CORRENTE DE *38* A, TENSAO NOMINAL DE *500* V, CATEGORIA AC-2 E AC-3</t>
  </si>
  <si>
    <t>00001574</t>
  </si>
  <si>
    <t>TERMINAL A COMPRESSAO EM COBRE ESTANHADO PARA CABO 10 MM2, 1 FURO E 1 COMPRESSAO, PARA PARAFUSO DE FIXACAO M6</t>
  </si>
  <si>
    <t>APARELHO SINALIZADOR LUMINOSO COM LED, PARA SAIDA GARAGEM, COM 2 LENTES EM POLICARBONATO, BIVOLT (INCLUI SUPORTE DE FIXACAO)</t>
  </si>
  <si>
    <t>00038061</t>
  </si>
  <si>
    <t>SINALIZADOR NOTURNO SIMPLES PARA PARA-RAIOS, SEM RELE FOTOELETRICO</t>
  </si>
  <si>
    <t>00021127</t>
  </si>
  <si>
    <t>FITA ISOLANTE ADESIVA ANTICHAMA, USO ATE 750 V, EM ROLO DE 19 MM X 5 M</t>
  </si>
  <si>
    <t>00002510</t>
  </si>
  <si>
    <t>RELE FOTOELETRICO INTERNO E EXTERNO BIVOLT 1000 W, DE CONECTOR, SEM BASE</t>
  </si>
  <si>
    <t>91946</t>
  </si>
  <si>
    <t>SUPORTE PARAFUSADO COM PLACA DE ENCAIXE 4" X 2" MÉDIO (1,30 M DO PISO) PARA PONTO ELÉTRICO - FORNECIMENTO E INSTALAÇÃO. AF_03/2023</t>
  </si>
  <si>
    <t>91998</t>
  </si>
  <si>
    <t>TOMADA BAIXA DE EMBUTIR (1 MÓDULO), 2P+T 10 A, SEM SUPORTE E SEM PLACA - FORNECIMENTO E INSTALAÇÃO. AF_03/2023</t>
  </si>
  <si>
    <t>91999</t>
  </si>
  <si>
    <t>TOMADA BAIXA DE EMBUTIR (1 MÓDULO), 2P+T 20 A, SEM SUPORTE E SEM PLACA - FORNECIMENTO E INSTALAÇÃO. AF_03/2023</t>
  </si>
  <si>
    <t>92006</t>
  </si>
  <si>
    <t>TOMADA BAIXA DE EMBUTIR (2 MÓDULOS), 2P+T 10 A, SEM SUPORTE E SEM PLACA - FORNECIMENTO E INSTALAÇÃO. AF_03/2023</t>
  </si>
  <si>
    <t>91950</t>
  </si>
  <si>
    <t>SUPORTE PARAFUSADO COM PLACA DE ENCAIXE 4" X 4" MÉDIO (1,30 M DO PISO) PARA PONTO ELÉTRICO - FORNECIMENTO E INSTALAÇÃO. AF_03/2023</t>
  </si>
  <si>
    <t>92018</t>
  </si>
  <si>
    <t>TOMADA BAIXA DE EMBUTIR (4 MÓDULOS), 2P+T 10 A, SEM SUPORTE E SEM PLACA - FORNECIMENTO E INSTALAÇÃO. AF_03/2023</t>
  </si>
  <si>
    <t>91954</t>
  </si>
  <si>
    <t>INTERRUPTOR PARALELO (1 MÓDULO), 10A/250V, SEM SUPORTE E SEM PLACA - FORNECIMENTO E INSTALAÇÃO. AF_03/2023</t>
  </si>
  <si>
    <t>00038112</t>
  </si>
  <si>
    <t>INTERRUPTOR SIMPLES 10A, 250V (APENAS MODULO)</t>
  </si>
  <si>
    <t>92028</t>
  </si>
  <si>
    <t>INTERRUPTOR PARALELO (1 MÓDULO) COM 1 TOMADA DE EMBUTIR 2P+T 10 A, SEM SUPORTE E SEM PLACA - FORNECIMENTO E INSTALAÇÃO. AF_03/2023</t>
  </si>
  <si>
    <t>ESPELHO / PLACA CEGA 4" X 2", PARA INSTALACAO DE TOMADAS E INTERRUPTORES</t>
  </si>
  <si>
    <t>00000977</t>
  </si>
  <si>
    <t>CABO DE COBRE, FLEXIVEL, CLASSE 4 OU 5, ISOLACAO EM PVC/A, ANTICHAMA BWF-B, COBERTURA PVC-ST1, ANTICHAMA BWF-B, 1 CONDUTOR, 0,6/1 KV, SECAO NOMINAL 70 MM2</t>
  </si>
  <si>
    <t>00001019</t>
  </si>
  <si>
    <t>CABO DE COBRE, FLEXIVEL, CLASSE 4 OU 5, ISOLACAO EM PVC/A, ANTICHAMA BWF-B, COBERTURA PVC-ST1, ANTICHAMA BWF-B, 1 CONDUTOR, 0,6/1 KV, SECAO NOMINAL 35 MM2</t>
  </si>
  <si>
    <t>00000996</t>
  </si>
  <si>
    <t>CABO DE COBRE, FLEXIVEL, CLASSE 4 OU 5, ISOLACAO EM PVC/A, ANTICHAMA BWF-B, COBERTURA PVC-ST1, ANTICHAMA BWF-B, 1 CONDUTOR, 0,6/1 KV, SECAO NOMINAL 25 MM2</t>
  </si>
  <si>
    <t>00000995</t>
  </si>
  <si>
    <t>CABO DE COBRE, FLEXIVEL, CLASSE 4 OU 5, ISOLACAO EM PVC/A, ANTICHAMA BWF-B, COBERTURA PVC-ST1, ANTICHAMA BWF-B, 1 CONDUTOR, 0,6/1 KV, SECAO NOMINAL 16 MM2</t>
  </si>
  <si>
    <t>00000981</t>
  </si>
  <si>
    <t>CABO DE COBRE, FLEXIVEL, CLASSE 4 OU 5, ISOLACAO EM PVC/A, ANTICHAMA BWF-B, 1 CONDUTOR, 450/750 V, SECAO NOMINAL 4 MM2</t>
  </si>
  <si>
    <t>00003379</t>
  </si>
  <si>
    <t>HASTE DE ATERRAMENTO EM ACO COM 3,00 M DE COMPRIMENTO E DN = 5/8", REVESTIDA COM BAIXA CAMADA DE COBRE, SEM CONECTOR</t>
  </si>
  <si>
    <t>00011250</t>
  </si>
  <si>
    <t>CAIXA DE PASSAGEM/ LUZ / TELEFONIA, DE EMBUTIR, EM CHAPA DE ACO GALVANIZADO, DIMENSOES 20 X 20 X *12* CM (PADRAO CONCESSIONARIA LOCAL)</t>
  </si>
  <si>
    <t>00043837</t>
  </si>
  <si>
    <t>RACK DE PISO PARA SERVIDOR, ABERTO, EM COLUNA, 44U X *570* MM</t>
  </si>
  <si>
    <t>00042422</t>
  </si>
  <si>
    <t>AR CONDICIONADO SPLIT INVERTER, HI-WALL (PAREDE), 18000 BTU/H, CICLO FRIO, 60HZ, CLASSIFICACAO A (SELO PROCEL), GAS HFC, CONTROLE S/FIO</t>
  </si>
  <si>
    <t>00011976</t>
  </si>
  <si>
    <t>CHUMBADOR DE ACO ZINCADO, DIAMETRO 1/4" COM PARAFUSO 1/4" X 40 MM</t>
  </si>
  <si>
    <t>00037591</t>
  </si>
  <si>
    <t>SUPORTE MAO-FRANCESA EM ACO, ABAS IGUAIS 40 CM, CAPACIDADE MINIMA 70 KG, BRANCO</t>
  </si>
  <si>
    <t>100308</t>
  </si>
  <si>
    <t>MECÂNICO DE REFRIGERAÇÃO COM ENCARGOS COMPLEMENTARES</t>
  </si>
  <si>
    <t>00042425</t>
  </si>
  <si>
    <t>AR CONDICIONADO SPLIT INVERTER, HI-WALL (PAREDE), 12000 BTU/H, CICLO FRIO, 60HZ, CLASSIFICACAO A (SELO PROCEL), GAS HFC, CONTROLE S/FIO</t>
  </si>
  <si>
    <t>00042424</t>
  </si>
  <si>
    <t>AR CONDICIONADO SPLIT INVERTER, HI-WALL (PAREDE), 9000 BTU/H, CICLO FRIO, 60HZ, CLASSIFICACAO A (SELO PROCEL), GAS HFC, CONTROLE S/FIO</t>
  </si>
  <si>
    <t>00013348</t>
  </si>
  <si>
    <t>ARRUELA EM ACO GALVANIZADO, DIAMETRO EXTERNO = 35MM, ESPESSURA = 3MM, DIAMETRO DO FURO= 18MM</t>
  </si>
  <si>
    <t>93288</t>
  </si>
  <si>
    <t>GUINDASTE HIDRÁULICO AUTOPROPELIDO, COM LANÇA TELESCÓPICA 40 M, CAPACIDADE MÁXIMA 60 T, POTÊNCIA 260 KW - CHI DIURNO. AF_03/2016</t>
  </si>
  <si>
    <t>93287</t>
  </si>
  <si>
    <t>GUINDASTE HIDRÁULICO AUTOPROPELIDO, COM LANÇA TELESCÓPICA 40 M, CAPACIDADE MÁXIMA 60 T, POTÊNCIA 260 KW - CHP DIURNO. AF_03/2016</t>
  </si>
  <si>
    <t>00039738</t>
  </si>
  <si>
    <t>TUBO DE BORRACHA ELASTOMERICA FLEXIVEL, PRETA, PARA ISOLAMENTO TERMICO DE TUBULACAO, DN 1/4" (6 MM), E= 9 MM, COEFICIENTE DE CONDUTIVIDADE TERMICA 0,036W/MK, VAPOR DE AGUA MAIOR OU IGUAL A 10.000</t>
  </si>
  <si>
    <t>00039662</t>
  </si>
  <si>
    <t>TUBO DE COBRE FLEXIVEL, D = 1/4 ", E = 0,79 MM, PARA AR-CONDICIONADO/ INSTALACOES GAS RESIDENCIAIS E COMERCIAIS</t>
  </si>
  <si>
    <t>00039741</t>
  </si>
  <si>
    <t>TUBO DE BORRACHA ELASTOMERICA FLEXIVEL, PRETA, PARA ISOLAMENTO TERMICO DE TUBULACAO, DN 3/8" (10 MM), E= 19 MM, COEFICIENTE DE CONDUTIVIDADE TERMICA 0,036W/MK, VAPOR DE AGUA MAIOR OU IGUAL A 10.000</t>
  </si>
  <si>
    <t>00039664</t>
  </si>
  <si>
    <t>TUBO DE COBRE FLEXIVEL, D = 3/8 ", E = 0,79 MM, PARA AR-CONDICIONADO/ INSTALACOES GAS RESIDENCIAIS E COMERCIAIS</t>
  </si>
  <si>
    <t>00039737</t>
  </si>
  <si>
    <t>TUBO DE BORRACHA ELASTOMERICA FLEXIVEL, PRETA, PARA ISOLAMENTO TERMICO DE TUBULACAO, DN 1/2" (12 MM), E= 19 MM, COEFICIENTE DE CONDUTIVIDADE TERMICA 0,036W/MK, VAPOR DE AGUA MAIOR OU IGUAL A 10.000</t>
  </si>
  <si>
    <t>00039660</t>
  </si>
  <si>
    <t>TUBO DE COBRE FLEXIVEL, D = 1/2 ", E = 0,79 MM, PARA AR-CONDICIONADO/ INSTALACOES GAS RESIDENCIAIS E COMERCIAIS</t>
  </si>
  <si>
    <t>00039853</t>
  </si>
  <si>
    <t>TUBO DE BORRACHA ELASTOMERICA FLEXIVEL, PRETA, PARA ISOLAMENTO TERMICO DE TUBULACAO, DN 5/8" (15 MM), E= 19 MM, COEFICIENTE DE CONDUTIVIDADE TERMICA 0,036W/MK, VAPOR DE AGUA MAIOR OU IGUAL A 10.000</t>
  </si>
  <si>
    <t>00039665</t>
  </si>
  <si>
    <t>TUBO DE COBRE FLEXIVEL, D = 5/8 ", E = 0,79 MM, PARA AR-CONDICIONADO/ INSTALACOES GAS RESIDENCIAIS E COMERCIAIS</t>
  </si>
  <si>
    <t>00004350</t>
  </si>
  <si>
    <t>BUCHA DE NYLON, DIAMETRO DO FURO 8 MM, COMPRIMENTO 40 MM, COM PARAFUSO DE ROSCA SOBERBA, CABECA CHATA, FENDA SIMPLES, 4,8 X 50 MM</t>
  </si>
  <si>
    <t>PLACA DE SINALIZACAO DE SEGURANCA CONTRA INCENDIO, FOTOLUMINESCENTE, RETANGULAR, *20 X 40* CM, EM PVC *2* MM ANTI-CHAMAS (SIMBOLOS, CORES E PICTOGRAMAS CONFORME NBR 16820)</t>
  </si>
  <si>
    <t>PLACA DE SINALIZACAO DE SEGURANCA CONTRA INCENDIO, FOTOLUMINESCENTE, QUADRADA, *20 X 20* CM, EM PVC *2* MM ANTI-CHAMAS (SIMBOLOS, CORES E PICTOGRAMAS CONFORME NBR 16820)</t>
  </si>
  <si>
    <t>100251</t>
  </si>
  <si>
    <t>TRANSPORTE HORIZONTAL MANUAL, DE TUBO DE AÇO CARBONO LEVE OU MÉDIO, PRETO OU GALVANIZADO, COM DIÂMETRO MAIOR QUE 32 MM E MENOR OU IGUAL A 65 MM (UNIDADE: MXKM). AF_07/2019</t>
  </si>
  <si>
    <t>MXKM</t>
  </si>
  <si>
    <t>RUFO (DE ENCOSTO E PINGADEIRA) EM CHAPA DE AÇO GALVANIZADO NÚMERO 24, CORTE DE 25 CM, INCLUSO TRANSPORTE VERTICAL. AF_07/2019</t>
  </si>
  <si>
    <t xml:space="preserve">
___________________________________________
ENGENHEIRO CIVIL
FELLIPE FERRARI FAKRI
CREA 506.970.406-3</t>
  </si>
  <si>
    <t>SECONCI (CAPITAL)</t>
  </si>
  <si>
    <t>8005508200SI104062</t>
  </si>
  <si>
    <t>CURVA LONGA, 90 GRAUS, PVC OCRE, JUNTA ELÁSTICA, DN 100 MM, PARA COLETOR PREDIAL DE ESGOTO. AF_06/2022</t>
  </si>
  <si>
    <t>8002008010SI93358</t>
  </si>
  <si>
    <t>8002008040SI101618</t>
  </si>
  <si>
    <t>8002008050SI93382</t>
  </si>
  <si>
    <t>8005508200SI104076</t>
  </si>
  <si>
    <t>SELIM, PVC OCRE, COM TRAVA, DN 125 X 100 MM OU 150 X 100 MM, PARA COLETOR PREDIAL DE ESGOTO. AF_06/2022</t>
  </si>
  <si>
    <t>8005508200SI104085</t>
  </si>
  <si>
    <t>TUBO, PVC OCRE, JUNTA ELÁSTICA, DN 100 MM, PARA COLETOR PREDIAL DE ESGOTO. AF_06/2022</t>
  </si>
  <si>
    <t>00037956</t>
  </si>
  <si>
    <t>JOELHO CPVC, SOLDAVEL, 90 GRAUS, 22 MM, PARA AGUA QUENTE</t>
  </si>
  <si>
    <t>00038431</t>
  </si>
  <si>
    <t>JOELHO DE TRANSICAO, CPVC, SOLDAVEL, 90 GRAUS, 22 MM X 1/2", PARA AGUA QUENTE</t>
  </si>
  <si>
    <t>00021124</t>
  </si>
  <si>
    <t>TUBO CPVC, SOLDAVEL, 22 MM, AGUA QUENTE PREDIAL (NBR 15884)</t>
  </si>
  <si>
    <t>M.04.000.024096</t>
  </si>
  <si>
    <t>Placa para sinalização tátil em braile (início ou final), para corrimão, com o verso auto-aderente, conforme NBR 9050-2015</t>
  </si>
  <si>
    <t>0127000200SI88326</t>
  </si>
  <si>
    <t>VIGIA NOTURNO COM ENCARGOS COMPLEMENTARES</t>
  </si>
  <si>
    <t>VIGIA DIURNO COM ENCARGOS COMPLEMENTARES</t>
  </si>
  <si>
    <t>ART DE EXECUÇÃO DE OBRA</t>
  </si>
  <si>
    <t>ALMOXARIFE COM ENCARGOS COMPLEMENTARES</t>
  </si>
  <si>
    <t>AMPLIFICADOR RECEIVER RESIDENCIAL THS 6000 TARAMPS 400W THS6000 400 RMS SOM CASA AMBIENTE HOME THEATER</t>
  </si>
  <si>
    <t>DEMOLIÇÃO E DESCARTES DA OBRA</t>
  </si>
  <si>
    <t>COT 01.001</t>
  </si>
  <si>
    <t>CONTATO</t>
  </si>
  <si>
    <t>PREÇO ORIGINAL</t>
  </si>
  <si>
    <t>CNPJ</t>
  </si>
  <si>
    <t>TELEFONE</t>
  </si>
  <si>
    <t>DATA ORIGINAL</t>
  </si>
  <si>
    <t>ARQUIVO</t>
  </si>
  <si>
    <t>COT 01.002</t>
  </si>
  <si>
    <t>FOTO - 02</t>
  </si>
  <si>
    <t>COT 01.003</t>
  </si>
  <si>
    <t>www.eletrotrafo.com.br</t>
  </si>
  <si>
    <t>80.224.785/0001-15</t>
  </si>
  <si>
    <t>(43) 3520-5000</t>
  </si>
  <si>
    <t>AQUE - 01</t>
  </si>
  <si>
    <t>www.allever.com</t>
  </si>
  <si>
    <t>43.757.816/0001-77</t>
  </si>
  <si>
    <t>(11) 4200-0010</t>
  </si>
  <si>
    <t>AQUE - 02</t>
  </si>
  <si>
    <t>AQUE - 03</t>
  </si>
  <si>
    <t>COT 01.004</t>
  </si>
  <si>
    <t>AMP - 01</t>
  </si>
  <si>
    <t>(69) 9217-3820</t>
  </si>
  <si>
    <t>AMP - 02</t>
  </si>
  <si>
    <t>AMP - 03</t>
  </si>
  <si>
    <t>COT 01.006</t>
  </si>
  <si>
    <t>VALOR UNITÁRIO</t>
  </si>
  <si>
    <t>VALOR TOTAL</t>
  </si>
  <si>
    <t>COT 01.005</t>
  </si>
  <si>
    <t>SLU</t>
  </si>
  <si>
    <t>www.slu.df.gov.br</t>
  </si>
  <si>
    <t>01.567.525/0001-76</t>
  </si>
  <si>
    <t>(61) 3213-0153</t>
  </si>
  <si>
    <t>TAXA SLU</t>
  </si>
  <si>
    <t>COT 01.007</t>
  </si>
  <si>
    <t>TAXA ART</t>
  </si>
  <si>
    <t>RESOLUÇÃO 1067/2015 CONFEA (art. 2°, §2° e §3°)</t>
  </si>
  <si>
    <t>(DISPOSIÇÃO FINAL DE RESÍDUOS DA CONSTRUÇÃO CIVIL SEGREGADOS)</t>
  </si>
  <si>
    <t>PRÓPRIO</t>
  </si>
  <si>
    <t>TX/T</t>
  </si>
  <si>
    <t>CCU 004</t>
  </si>
  <si>
    <t>CONSTRUÇÃO DE GUARITA/POSTO DE VIGIA PROVISÓRIO EM MADEIRA - FORNECIMENTO E MONTAGEM REF. 02.01.021/SP OBRAS</t>
  </si>
  <si>
    <t>CCU 107</t>
  </si>
  <si>
    <t>PLACA DE INAUGURAÇÃO DE OBRA EM ALUMÍNIO 0,15 X 0,39 M REF.S03239/ORSE</t>
  </si>
  <si>
    <t>CCU 005</t>
  </si>
  <si>
    <t>REMOÇÃO DE ENTULHO DE OBRA COM CAÇAMBA METÁLICA - MATERIAL VOLUMOSO E MISTURADO POR ALVENARIA, TERRA, MADEIRA, PAPEL, PLÁSTICO E METAL REF. 05.07.050/SP OBRAS</t>
  </si>
  <si>
    <t>CCU 108</t>
  </si>
  <si>
    <t>LOCAÇÃO DE MURO, INCLUSIVE EXECUÇÃO DE GABARITO DE MADEIRA REF. S04816/ORSE</t>
  </si>
  <si>
    <t>CCU 012</t>
  </si>
  <si>
    <t>CCU 015</t>
  </si>
  <si>
    <t>CCU 157</t>
  </si>
  <si>
    <t>ISOLACAO TERMOACUSTICA - LA DE VIDRO E=2" REF. 10.01.059/SP EDUCAÇÃO</t>
  </si>
  <si>
    <t>CCU 001</t>
  </si>
  <si>
    <t>CCU 002</t>
  </si>
  <si>
    <t>CCU 016</t>
  </si>
  <si>
    <t>REVESTIMENTO EM CHAPA DE AÇO INOXIDÁVEL PARA PROTEÇÃO DE PORTAS, ALTURA DE 40 CM REF. 30.04.060/SP OBRAS</t>
  </si>
  <si>
    <t>CCU 018</t>
  </si>
  <si>
    <t>CCU 019</t>
  </si>
  <si>
    <t>CCU 020</t>
  </si>
  <si>
    <t>EQUIPAMENTO AUTOMATIZADOR DE PORTAS DESLIZANTES PARA FOLHA DUPLA. FORNECIMENTO E INSTALAÇÃO COMPLETA (COM SENSOR DOS DOIS LADOS) REF. 28.20.800/SP OBRAS</t>
  </si>
  <si>
    <t>PELÍCULA ADESIVA PARA VIDROS - USO INTERNO REF. 32.06.240/SP OBRAS</t>
  </si>
  <si>
    <t>CCU 111</t>
  </si>
  <si>
    <t>CCU 112</t>
  </si>
  <si>
    <t>CCU 022</t>
  </si>
  <si>
    <t>CCU 159</t>
  </si>
  <si>
    <t>CCU 023</t>
  </si>
  <si>
    <t>CCU 024</t>
  </si>
  <si>
    <t>CCU 113</t>
  </si>
  <si>
    <t>CCU 115</t>
  </si>
  <si>
    <t>CCU 116</t>
  </si>
  <si>
    <t>CCU 025</t>
  </si>
  <si>
    <t>CCU 117</t>
  </si>
  <si>
    <t>CCU 118</t>
  </si>
  <si>
    <t>CCU 119</t>
  </si>
  <si>
    <t>CCU 121</t>
  </si>
  <si>
    <t>CCU 122</t>
  </si>
  <si>
    <t>CCU 123</t>
  </si>
  <si>
    <t>CCU 003</t>
  </si>
  <si>
    <t>CHUVEIRO C/DESVIADOR E DUCHA MANUAL EM LATÃO CROMADO DN 15MM REF. 100860/SINAPI</t>
  </si>
  <si>
    <t>CCU 027</t>
  </si>
  <si>
    <t>CCU 028</t>
  </si>
  <si>
    <t>CABIDE EM AÇO INOX, DECA 2060 C40, ACABAMENTO CROMADO OU SIMILAR REF. S03708/ORSE</t>
  </si>
  <si>
    <t>TAMPO/BANCADA EM GRANITO BRANCO SIENA, E=2CM REF. S12492/ORSE</t>
  </si>
  <si>
    <t>CCU 034</t>
  </si>
  <si>
    <t>AQUECEDOR DE PASSAGEM ELÉTRICO INDIVIDUAL, BAIXA PRESSÃO - 5.000 W / 6.400 W REF. 43.03.212/SP OBRAS</t>
  </si>
  <si>
    <t>CCU 160</t>
  </si>
  <si>
    <t>CCU 037</t>
  </si>
  <si>
    <t>REVESTIMENTO EM PLACA DE ALUMÍNIO COMPOSTO "ACM", ESPESSURA DE 4 MM E ACABAMENTO EM PVDF, CORES DIVERSAS REF. 21.03.151/SP OBRAS</t>
  </si>
  <si>
    <t>SINALIZAÇÃO PARA DEFICIENTES/IDOSO - PLACA METÁLICA 50 X 70 CM - "ESTACIONAMENTO RESERVADO" REF. S07319/ORSE</t>
  </si>
  <si>
    <t>SINALIZAÇÃO - PLACA EM BRAILLE E AMBIENTES - EM PVC, DIM: 23 X 15 CM REF. S07320/ORSE</t>
  </si>
  <si>
    <t>PLACA PARA SINALIZAÇÃO TÁTIL (INÍCIO OU FINAL) EM BRAILE PARA CORRIMÃO REF. 30.06.010/SP OBRAS</t>
  </si>
  <si>
    <t>PLACA DE IDENTIFICAÇÃO EM ALUMÍNIO PARA WC, COM DESENHO UNIVERSAL DE ACESSIBILIDADE REF. 30.06.080/SP OBRAS</t>
  </si>
  <si>
    <t>LIMITADOR DE GRAMA COM BORDA FINA, L=12,5CM REF. S07657/ORSE</t>
  </si>
  <si>
    <t>PERFILADO PERFURADO 38 X 38 MM EM CHAPA 14 PRÉ-ZINCADA, COM ACESSÓRIOS REF. 38.07.300/SP OBRAS</t>
  </si>
  <si>
    <t>TAMPA DE ENCAIXE PARA ELETROCALHA, GALVANIZADA A FOGO, L= 300 MM REF. 38.22.660/SP OBRAS</t>
  </si>
  <si>
    <t>QUADRO DE DISTRIBUIÇÃO EM CHAPA METALICA C/ PORTA 1200X600X600 MM, COM PLACA DE MONTAGEM REF. 37.06.014/SP OBRAS</t>
  </si>
  <si>
    <t>QUADRO DE DISTRIBUIÇÃO EM CHAPA METALICA C/ PORTA 600X400X250 MM, COM PLACA DE MONTAGEM REF. 37.06.014/SP OBRAS</t>
  </si>
  <si>
    <t>BARRAMENTO DE COBRE NU REF. 37.10.010/SP OBRAS</t>
  </si>
  <si>
    <t>CHAVE COMUTADORA/SELETORA COM 1 POLO E 3 POSIÇÕES PARA 63 A REF. 40.12.020/SP OBRAS</t>
  </si>
  <si>
    <t>TERMINAL DE PRESSÃO/COMPRESSÃO PARA CABO DE 70 MM² REF. 39.10.200/ SP OBRAS</t>
  </si>
  <si>
    <t>TERMINAL DE PRESSÃO/COMPRESSÃO PARA CABO DE 25 MM² REF. 39.10.120/SP OBRAS</t>
  </si>
  <si>
    <t>TERMINAL DE PRESSÃO/COMPRESSÃO PARA CABO DE 16 MM² REF. 39.10.080/SP OBRAS</t>
  </si>
  <si>
    <t>BARRA CONDUTORA CHATA EM ALUMÍNIO DE 7/8´ X 1/8´, INCLUSIVE ACESSÓRIOS DE FIXAÇÃO REF. 42.05.440/SP OBRAS</t>
  </si>
  <si>
    <t>TERMINAL DE PRESSÃO/COMPRESSÃO PARA CABO DE 50 MM² REF. 39.10.160/SP OBRAS</t>
  </si>
  <si>
    <t>SOLDA EXOTÉRMICA CONEXÃO CABO-CABO HORIZONTAL EM T, BITOLA DO CABO DE 16-16MM² A 50-35MM², 70-35MM² E 95-35MM² REF. 42.20.150/SP OBRAS</t>
  </si>
  <si>
    <t>SOLDA EXOTÉRMICA CONEXÃO CABO-HASTE NA LATERAL, BITOLA DO CABO DE 25MM² A 70MM² PARA HASTE DE 5/8" E 3/4" REF. 42.20.230/SP OBRAS</t>
  </si>
  <si>
    <t>CAIXA DE EQUALIZAÇÃO, DE EMBUTIR, EM AÇO COM BARRAMENTO, DE 400 X 400 MM E TAMPA REF. 42.05.370/SP OBRAS</t>
  </si>
  <si>
    <t>SWITCH GIGABIT 24 PORTAS COM CAPACIDADE DE 10/100/1000/MBPS REF. 66.20.225/SP OBRAS</t>
  </si>
  <si>
    <t>GUIA ORGANIZADORA DE CABOS PARA RACK, 19´ 1 U REF. 66.20.150/SP OBRAS</t>
  </si>
  <si>
    <t>RÉGUA COM 8 TOMADAS 2P+T 250 V, COM CABO TIPO FILTRO DE LINHA REF. P.13.000.030526/SP OBRAS</t>
  </si>
  <si>
    <t>CAIXA ACUSTICA QUADRADA EM ABS, TELA DE ALUMINIO MICROPERFURADA, PINTURA ELETROSTATICA C/POLIESTER, WOOFER COAXIAL 6" C/CARCAÇA DE ALUMINIO. POTENCIA 100W REF. I09325/ORSE</t>
  </si>
  <si>
    <t>UNIDADE GERENCIADORA DIGITAL VÍDEO EM REDE (NVR) DE ATÉ 32 CÂMERAS IP, ARMAZENAMENTO DE 48 TB, 2 INTERFACE DE REDE GIGABIT ETHERNET E 16 ENTRADAS DE ALARME REF. 66.08.620/SP OBRAS</t>
  </si>
  <si>
    <t>CABO PARALELO 2 X 2,5MM2 PARA SOM REF. I08331/ORSE</t>
  </si>
  <si>
    <t>CAIXA DE PASSAGEM POLAR PARA AR CONDICIONADO REF. I12184/ORSE</t>
  </si>
  <si>
    <t>DUTOS EM CHAPA DE AÇO GALVANIZADO - DIMENSÕES E EXECUÇÕES CONFORME O PROJETO REF. 61.20.450/SP OBRAS</t>
  </si>
  <si>
    <t>GRELHA DE INSUFLAÇÃO DE AR EM ALUMÍNIO ANODIZADO, DE DUPLA DEFLEXÃO, TAMANHO: ACIMA DE 0,10 M² ATÉ 0,50 M² REF. 61.10.565/SP OBRAS</t>
  </si>
  <si>
    <t>EXAUSTOR TUBULAR COM FILTRO REF. 3.91.11/SP EDUCAÇÃO</t>
  </si>
  <si>
    <t>CCU 029</t>
  </si>
  <si>
    <t>CCU 030</t>
  </si>
  <si>
    <t>CCU 031</t>
  </si>
  <si>
    <t>CCU 032</t>
  </si>
  <si>
    <t>CCU 033</t>
  </si>
  <si>
    <t>CCU 038</t>
  </si>
  <si>
    <t>CCU 039</t>
  </si>
  <si>
    <t>CCU 040</t>
  </si>
  <si>
    <t>CCU 046</t>
  </si>
  <si>
    <t>CCU 054</t>
  </si>
  <si>
    <t>CCU 055</t>
  </si>
  <si>
    <t>CCU 056</t>
  </si>
  <si>
    <t>CCU 058</t>
  </si>
  <si>
    <t>CCU 060</t>
  </si>
  <si>
    <t>CCU 061</t>
  </si>
  <si>
    <t>CCU 062</t>
  </si>
  <si>
    <t>CCU 065</t>
  </si>
  <si>
    <t>CCU 066</t>
  </si>
  <si>
    <t>CCU 067</t>
  </si>
  <si>
    <t>CCU 068</t>
  </si>
  <si>
    <t>CCU 069</t>
  </si>
  <si>
    <t>CCU 070</t>
  </si>
  <si>
    <t>CCU 071</t>
  </si>
  <si>
    <t>CCU 073</t>
  </si>
  <si>
    <t>CCU 074</t>
  </si>
  <si>
    <t>CCU 075</t>
  </si>
  <si>
    <t>CCU 076</t>
  </si>
  <si>
    <t>CCU 077</t>
  </si>
  <si>
    <t>CCU 078</t>
  </si>
  <si>
    <t>CCU 079</t>
  </si>
  <si>
    <t>CCU 080</t>
  </si>
  <si>
    <t>CCU 082</t>
  </si>
  <si>
    <t>CCU 083</t>
  </si>
  <si>
    <t>CCU 084</t>
  </si>
  <si>
    <t>CCU 086</t>
  </si>
  <si>
    <t>CCU 087</t>
  </si>
  <si>
    <t>CCU 089</t>
  </si>
  <si>
    <t>CCU 090</t>
  </si>
  <si>
    <t>CCU 091</t>
  </si>
  <si>
    <t>CCU 094</t>
  </si>
  <si>
    <t>CCU 095</t>
  </si>
  <si>
    <t>CCU 103</t>
  </si>
  <si>
    <t>CCU 124</t>
  </si>
  <si>
    <t>CCU 125</t>
  </si>
  <si>
    <t>CCU 127</t>
  </si>
  <si>
    <t>CCU 129</t>
  </si>
  <si>
    <t>CCU 133</t>
  </si>
  <si>
    <t>CCU 134</t>
  </si>
  <si>
    <t>CCU 135</t>
  </si>
  <si>
    <t>CCU 139</t>
  </si>
  <si>
    <t>CCU 141</t>
  </si>
  <si>
    <t>CCU 144</t>
  </si>
  <si>
    <t>CCU 146</t>
  </si>
  <si>
    <t>CCU 148</t>
  </si>
  <si>
    <t>CCU 149</t>
  </si>
  <si>
    <t>CCU 150</t>
  </si>
  <si>
    <t>CCU 151</t>
  </si>
  <si>
    <t>CCU 152</t>
  </si>
  <si>
    <t>CABO DE COBRE PP CORDPLAST 4 X 2,5 MM2 - FORNECIMENTO E INSTALAÇÃO REF. S11412/ORSE</t>
  </si>
  <si>
    <t>CCU 154</t>
  </si>
  <si>
    <t>CCU 165</t>
  </si>
  <si>
    <t>CCU 169</t>
  </si>
  <si>
    <t>CCU 170</t>
  </si>
  <si>
    <t>CCU 172</t>
  </si>
  <si>
    <t>conferencia de valor para casas decimais</t>
  </si>
  <si>
    <t>5</t>
  </si>
  <si>
    <t>totais</t>
  </si>
  <si>
    <t>1 - O valor estimado no orçamento são baseados em tabela referencial de preços do governo e públicas regularizadas e reconhecidas pelo mercado, como exemplo SINAPI.
2 -  Não fazem parte desta estimativa de preços os seguintes itens: mobiliário de marcenaria e equipamentos eletronicos das áreas de trabalho.
3 - A pesquisa de mercado foram seguidos os 3 orçamentos e retirado a média/mediana dos valores (todos contemplam fornecimento e instalação completa)</t>
  </si>
  <si>
    <t>HISTOGRAMA DOS OPERADORES EM OBRA</t>
  </si>
  <si>
    <t>PICO DE VALOR</t>
  </si>
  <si>
    <t>SOMATÓRIAS</t>
  </si>
  <si>
    <t>ENGENHEIRO CIVIL</t>
  </si>
  <si>
    <t>ENCARREGADO GERAL</t>
  </si>
  <si>
    <t>ALMOXARIFE</t>
  </si>
  <si>
    <t>VIGIA DIURNO</t>
  </si>
  <si>
    <t>VIGIA NOTURNO</t>
  </si>
  <si>
    <t>AUXILIAR DE CARPINTEIRO</t>
  </si>
  <si>
    <t>AJUDANTE DE PINTOR</t>
  </si>
  <si>
    <t>AUXILIAR DE ELETRICISTA</t>
  </si>
  <si>
    <t>CARPINTEIRO</t>
  </si>
  <si>
    <t>ELETRICISTA</t>
  </si>
  <si>
    <t>PEDREIRO</t>
  </si>
  <si>
    <t>PINTOR</t>
  </si>
  <si>
    <t>SERVENTE DE OBRA</t>
  </si>
  <si>
    <t>ENCANADOR</t>
  </si>
  <si>
    <t>AUXILIAR DE ENCANADOR</t>
  </si>
  <si>
    <t>AUXILIAR DE TOPOGRAFIA</t>
  </si>
  <si>
    <t>TOPÓGRAFO</t>
  </si>
  <si>
    <t>AUXILIAR GERAL</t>
  </si>
  <si>
    <t>OPERADOR DE MÁQUINAS PESADAS</t>
  </si>
  <si>
    <t>AUXILIAR DE ARMADOR</t>
  </si>
  <si>
    <t>ARMADOR</t>
  </si>
  <si>
    <t>AJUDANTE ESPECIALIZADO</t>
  </si>
  <si>
    <t>IMPERMEABILIZADOR</t>
  </si>
  <si>
    <t>MONTADOR DE ESTRUTURA METÁLICA</t>
  </si>
  <si>
    <t>SERVENTE  DE OBRA</t>
  </si>
  <si>
    <t>VIDRACEIRO</t>
  </si>
  <si>
    <t>SERVETE DE OBRA</t>
  </si>
  <si>
    <t>AUXILIAR DE TELHADISTA</t>
  </si>
  <si>
    <t>TELHADISTA</t>
  </si>
  <si>
    <t>AJUDANTE DE SERRALHEIRO</t>
  </si>
  <si>
    <t>SERRALHEIRO</t>
  </si>
  <si>
    <t>JARDINEIRO</t>
  </si>
  <si>
    <t>CALCETEIRO</t>
  </si>
  <si>
    <t>TÉCNICO EM INFORMÁTICA</t>
  </si>
  <si>
    <t>MECÂNICO DE REFRIGERAÇÃO</t>
  </si>
  <si>
    <t>AJUDANTE GERAL</t>
  </si>
  <si>
    <t>TÉCNICO EM SEGURANÇA DO TRABALHO COM ENCARGOS COMPLEMENTARES</t>
  </si>
  <si>
    <t>P.19.000.070864</t>
  </si>
  <si>
    <t>Captor tipo terminal aéreo, h = 300 mm, em alumínio, ref. Tagal da Gelcam, PK 1989 da Paraklin ou equivalente</t>
  </si>
  <si>
    <t>CCU 179</t>
  </si>
  <si>
    <t>P.17.000.092771</t>
  </si>
  <si>
    <t>Detector microprocessado metais tipo portal; ref. MAGXXI linha 300 / 3P da Magnetec; DMP-01/MP da Priel ou equivalente</t>
  </si>
  <si>
    <t>COT 01.008</t>
  </si>
  <si>
    <t>https://www.magazineluiza.com.br/</t>
  </si>
  <si>
    <t>CCU 180</t>
  </si>
  <si>
    <t>CCU 181</t>
  </si>
  <si>
    <t>COT 01.009</t>
  </si>
  <si>
    <t>ED CABOS</t>
  </si>
  <si>
    <t>NET COMPUTADORES</t>
  </si>
  <si>
    <t>SOLARIS TELEINFORMATICA LTDA</t>
  </si>
  <si>
    <t>https://www.edcabos.com/</t>
  </si>
  <si>
    <t>https://netcomputadores.com.br/index.php</t>
  </si>
  <si>
    <t>30.979.444/0001-81</t>
  </si>
  <si>
    <t>02.465.944/0001-60</t>
  </si>
  <si>
    <t>11.099.588/0001-07</t>
  </si>
  <si>
    <t>(11) 3331-6250</t>
  </si>
  <si>
    <t>(19) 3483-4607</t>
  </si>
  <si>
    <t>PATCH - 01</t>
  </si>
  <si>
    <t>PATCH - 02</t>
  </si>
  <si>
    <t>PATCH - 03</t>
  </si>
  <si>
    <t>S12802</t>
  </si>
  <si>
    <t>Placa cega para tomada RJ45, ref. Tablet, da Tramontina</t>
  </si>
  <si>
    <t>38.10.090</t>
  </si>
  <si>
    <t>Suporte de tomada para caixas com 2, 3 ou 4 vias</t>
  </si>
  <si>
    <t>P.10.000.050016</t>
  </si>
  <si>
    <t>Conector RJ-45, fêmea, categoria 6A, ref. BR ROHS da Furukawa, ou equivalente</t>
  </si>
  <si>
    <t>S10592</t>
  </si>
  <si>
    <t>Encargos Complementares - Cabista</t>
  </si>
  <si>
    <t>I12118</t>
  </si>
  <si>
    <t>Conector rj-45 macho, cat.6</t>
  </si>
  <si>
    <t>I00049</t>
  </si>
  <si>
    <t>Cabista para instalação telefônica</t>
  </si>
  <si>
    <t>CCU 182</t>
  </si>
  <si>
    <t>PATCH PANEL 24 PORTAS CAT.6A - FORNECIMENTO E INSTALAÇÃO REF. 98302/SINAPI</t>
  </si>
  <si>
    <t>CCU 184</t>
  </si>
  <si>
    <t>ESTACA BROCA DE CONCRETO, DIÂMETRO DE 20CM, ESCAVAÇÃO MANUAL COM TRADO CONCHA, SEM ARMAÇÃO. AF_05/2020 REF. 101173/SINAPI</t>
  </si>
  <si>
    <t>REFLET - 01</t>
  </si>
  <si>
    <t>REFLET - 02</t>
  </si>
  <si>
    <t>REFLET - 03</t>
  </si>
  <si>
    <t>COT 01.010</t>
  </si>
  <si>
    <t>COT 01.011</t>
  </si>
  <si>
    <t>PRISMA</t>
  </si>
  <si>
    <t>ALUMAX</t>
  </si>
  <si>
    <t>START PRINT</t>
  </si>
  <si>
    <t>www.prismacv.com.br</t>
  </si>
  <si>
    <t>20.824.159/0001-38</t>
  </si>
  <si>
    <t>(61) 3026-3225</t>
  </si>
  <si>
    <t>LETRA - 01</t>
  </si>
  <si>
    <t>www.alumax.com.br</t>
  </si>
  <si>
    <t>37.118.378/0001-02</t>
  </si>
  <si>
    <t>(62) 98161-0398</t>
  </si>
  <si>
    <t>LETRA - 02</t>
  </si>
  <si>
    <t>www.startprint.com.br</t>
  </si>
  <si>
    <t>39.441.709/0001-68</t>
  </si>
  <si>
    <t>(61) 3465-5301</t>
  </si>
  <si>
    <t>LETRA - 03</t>
  </si>
  <si>
    <t>REFLETOR RGB LED 400W COM MEMÓRIA</t>
  </si>
  <si>
    <t>ZERO 41 LED</t>
  </si>
  <si>
    <t>www.zero41led.com.br</t>
  </si>
  <si>
    <t>37.195.255/0001-67</t>
  </si>
  <si>
    <t>(41) 3117-4147</t>
  </si>
  <si>
    <t>www.isitron.com.br</t>
  </si>
  <si>
    <t>51.020.449/0001-52</t>
  </si>
  <si>
    <t>(11) 2924-4211</t>
  </si>
  <si>
    <t>ISITRON</t>
  </si>
  <si>
    <t>CCU 185</t>
  </si>
  <si>
    <t>TOTAL Mão de Obra</t>
  </si>
  <si>
    <t>4.1.2.1.15</t>
  </si>
  <si>
    <t>4.1.2.1.16</t>
  </si>
  <si>
    <t>COT 01.012</t>
  </si>
  <si>
    <t>S.03.000.028010</t>
  </si>
  <si>
    <t>Silicone para envidraçamento estrutural, 280g</t>
  </si>
  <si>
    <t>Vidro laminado temperado incolor de 8mm - material</t>
  </si>
  <si>
    <t>CCU 013</t>
  </si>
  <si>
    <t>CCU 014</t>
  </si>
  <si>
    <t>TOTAL Serviço</t>
  </si>
  <si>
    <t>AUXILIAR DE PINTOR</t>
  </si>
  <si>
    <t>4.1.5.2.1.9</t>
  </si>
  <si>
    <t>APLICAÇÃO MANUAL DE MASSA ACRÍLICA EM PANOS DE FACHADA COM PRESENÇA DE VÃOS, DE EDIFÍCIOS DE MÚLTIPLOS PAVIMENTOS, DUAS DEMÃOS. AF_03/2024</t>
  </si>
  <si>
    <t>COT 01.013</t>
  </si>
  <si>
    <t>BACIA - 01</t>
  </si>
  <si>
    <t>www.madeiramadeira.com.br</t>
  </si>
  <si>
    <t>10.490.181/0001-35</t>
  </si>
  <si>
    <t>0800 080 0099</t>
  </si>
  <si>
    <t>38.729.752/0001-60</t>
  </si>
  <si>
    <t>(31) 99137-3493</t>
  </si>
  <si>
    <t>BACIA - 03</t>
  </si>
  <si>
    <t xml:space="preserve">	Caixa de descarga acoplada para vaso sanitário da linha vogue plus conforto, ref.: CD. 01F, da DECA ou similar</t>
  </si>
  <si>
    <t>CABO ELETRÔNICO CATEGORIA 6A, INSTALADO EM EDIFICAÇÃO INSTITUCIONAL - FORNECIMENTO E INSTALAÇÃO. AF_11/2019</t>
  </si>
  <si>
    <t>AUDIO EXPRESSO</t>
  </si>
  <si>
    <t>NINJA SOM</t>
  </si>
  <si>
    <t>HZ SOM 01 (MAGAZINE LUIZA)</t>
  </si>
  <si>
    <t>https://www.audioexpresso.com.br/</t>
  </si>
  <si>
    <t>https://www.ninjasom.com.br/</t>
  </si>
  <si>
    <t>48.637.625/0001-95</t>
  </si>
  <si>
    <t>07.282.516/0001-15</t>
  </si>
  <si>
    <t>35.567.314/0001.55</t>
  </si>
  <si>
    <t>(14) 99119-3166</t>
  </si>
  <si>
    <t>(47) 99182-1695</t>
  </si>
  <si>
    <t>RELATÓRIO ANALÍTICO DE FONTES MODIFICADAS</t>
  </si>
  <si>
    <t>TORNEIRA CROMADA, 1/2", REF.1153 C39, DECA OU SIMILAR REF. S03682/ORSE</t>
  </si>
  <si>
    <t>2.1.1.5</t>
  </si>
  <si>
    <t>CCU 147</t>
  </si>
  <si>
    <t>CONSTRUÇÃO DE REFEITÓRIO PROVISÓRIO EM MADERIA - FORNECIMENTO E MONTAGEM REF. 02.01.021/SP OBRAS</t>
  </si>
  <si>
    <t>2.2.1.2</t>
  </si>
  <si>
    <t>CCU 158</t>
  </si>
  <si>
    <t>DEMOLIÇÃO DE CONSTRUÇÕES PROVISÓRIAS EM MADEIRA REF. 04.50.010/SP EDUCAÇÃO</t>
  </si>
  <si>
    <t>COT 01.014</t>
  </si>
  <si>
    <t>COEFICIENTE (POR TONELADA)</t>
  </si>
  <si>
    <t>VIDRO - 01</t>
  </si>
  <si>
    <t>VIDRO - 02</t>
  </si>
  <si>
    <t>VIDRO - 03</t>
  </si>
  <si>
    <t>00043651</t>
  </si>
  <si>
    <t>MASSA ACRILICA PARA SUPERFICIES INTERNAS E EXTERNAS</t>
  </si>
  <si>
    <t>00043832</t>
  </si>
  <si>
    <t>CABO ELETRONICO CATEGORIA 6A U/UTP 23AWG X 4P</t>
  </si>
  <si>
    <t>I13978</t>
  </si>
  <si>
    <t>POSTE DE AÇO GALVANIZADO CÔNICO CONTÍNO RETO, DIÂMETRO SUPERIOR 60MM, DIÂMETRO DA BASE 93MM, ALTURA UTIL 3M, CONIPOST REF. SÉRIE 0003/CLASSE 60 DA CONIPOST (orse código I13978)</t>
  </si>
  <si>
    <t>CCU 189</t>
  </si>
  <si>
    <t>P.15.000.034127</t>
  </si>
  <si>
    <t>Luminária pública LED retangular para poste, 14.200 a 18.000 lm, IRC&gt;=70, temperatura cor 5000K/6500K, eficiência mínima 120lm/W, IP&gt;=66; ref. P-702-SPXL2508100 SpledLux, LPMI-120W Mepó Ilumina, 7017570 Ledvance, FLEDSS21-5K Fortlight ou equivalente</t>
  </si>
  <si>
    <t>CCU 191</t>
  </si>
  <si>
    <t>001/2024-NAJ-SOLNASC-R00</t>
  </si>
  <si>
    <t>001/2024-NAJ-SOLNASC</t>
  </si>
  <si>
    <t>CONSTRUÇÃO DO NÚCLEO DE ASSISTÊNCIA JURÍDICA DE SOL NASCENTE - NAJSOL NASC</t>
  </si>
  <si>
    <t>NÚCLEO DE ASSISTÊNCIA JURÍDICA DE SOL NASCENTE - NAJSOLNASC</t>
  </si>
  <si>
    <t>OBRA:             NÚCLEO DE ASSISTÊNCIA JURÍDICA DE SOL NASCENTE - NAJSOLNASC</t>
  </si>
  <si>
    <t>O ORÇAMENTO CONTEMPLA A CONSTRUÇÃO COMPLETA DO NÚCLEO DE ASSISTÊNCIA JURÍDICA DE SOL NASCENTE - NAJSOLNASC. APRESENTANDO TODOS OS SERVIÇOS NECESSÁRIOS SEPARADOS POR ETAPAS CONSTRUTIVAS E BASEADO NO PRAZO DE CONSTRUÇÃO</t>
  </si>
  <si>
    <t>3.1.4.5</t>
  </si>
  <si>
    <t>ESTACA BROCA DE CONCRETO, DIÂMETRO DE 30CM, ESCAVAÇÃO MANUAL COM TRADO CONCHA, SEM ARMADURA. AF_05/2020 REF. 101175/SINAPI</t>
  </si>
  <si>
    <t>JOELHO 90 GRAUS, PVC, SOLDÁVEL, DN 32MM - FORNECIMENTO E INSTALAÇÃO. AF_06/2022</t>
  </si>
  <si>
    <t>ADAPTADOR COM FLANGE E ANEL DE VEDAÇÃO, PVC, SOLDÁVEL, DN 50 MM X 1 1/2" - FORNECIMENTO E INSTALAÇÃO. AF_04/2024</t>
  </si>
  <si>
    <t>ADAPTADOR COM FLANGE E ANEL DE VEDAÇÃO, PVC, SOLDÁVEL, DN 32 MM X 1" - FORNECIMENTO E INSTALAÇÃO. AF_04/2024</t>
  </si>
  <si>
    <t>ADAPTADOR COM FLANGE E ANEL DE VEDAÇÃO, PVC, SOLDÁVEL, DN 25 MM X 3/4" - FORNECIMENTO E INSTALAÇÃO. AF_04/2024</t>
  </si>
  <si>
    <t>TUBO PVC, SÉRIE R, ÁGUA PLUVIAL, DN 150 MM, FORNECIDO E INSTALADO. AF_06/2022</t>
  </si>
  <si>
    <t>Caixa sifonada redonda, corpo giratório, com 5 entradas de 40mm e 1 saida de 75mm, d=150x170x75mm, com grelha, Pvc branco, Tigre ou similar</t>
  </si>
  <si>
    <t>I07612</t>
  </si>
  <si>
    <t xml:space="preserve">	Adesivo plastico para pvc, bisnaga com 75 gr</t>
  </si>
  <si>
    <t>I00119S</t>
  </si>
  <si>
    <t>Corpo para caixa sifonada em pvc, 5 entradas, 100x140x50mm, modelo girafácil, Tigre ou similar</t>
  </si>
  <si>
    <t xml:space="preserve">	I14293</t>
  </si>
  <si>
    <t>CAIXA DE GORDURA PEQUENA (CAPACIDADE: 18 L), CIRCULAR, EM PVC, DIÂMETRO INTERNO= 0,3 M. AF_12/2020</t>
  </si>
  <si>
    <t>REGISTRO DE ESFERA, PVC, SOLDÁVEL, COM VOLANTE, DN 25 MM - FORNECIMENTO E INSTALAÇÃO. AF_08/2021</t>
  </si>
  <si>
    <t>PLANTIO DE ÁRVORE ORNAMENTAL AMOREIA COM ALTURA DE MUDA MAIOR QUE 2,00 M E MENOR OU IGUAL A 4,00 M . AF_07/2024</t>
  </si>
  <si>
    <t xml:space="preserve">	PINTURA DE DEMARCAÇÃO DE VAGA COM TINTA ACRÍLICA, E = 10 CM, APLICAÇÃO MANUAL. AF_05/2021</t>
  </si>
  <si>
    <t>B.02.000.093344</t>
  </si>
  <si>
    <t>O.12.000.092036</t>
  </si>
  <si>
    <t>Parafuso cabeça chata com bucha plástica de 8 mm - 5,5 x 50 mm</t>
  </si>
  <si>
    <t>N.04.000.039112</t>
  </si>
  <si>
    <t>Placa de identificação em alumínio para WC, com desenho universal de acessibilidade</t>
  </si>
  <si>
    <t>CAPTOR TIPO TERMINAL AÉREO, H= 300 MM EM ALUMÍNIO REF. 42.01.086/SP OBRAS</t>
  </si>
  <si>
    <t>ACM/LETREIRO FACHADA</t>
  </si>
  <si>
    <t>Chapa trapezpoidal de aço para laje steel deck MF75, e= 0,80mm</t>
  </si>
  <si>
    <t>I07896</t>
  </si>
  <si>
    <t>CCU 036</t>
  </si>
  <si>
    <t>CCU 045</t>
  </si>
  <si>
    <t>CCU 042</t>
  </si>
  <si>
    <t>CCU 051</t>
  </si>
  <si>
    <t>CCU 010</t>
  </si>
  <si>
    <t>4.3.15</t>
  </si>
  <si>
    <t>4.3.16</t>
  </si>
  <si>
    <t>4.3.17</t>
  </si>
  <si>
    <t>4.3.18</t>
  </si>
  <si>
    <t>4.3.19</t>
  </si>
  <si>
    <t>4.3.20</t>
  </si>
  <si>
    <t>4.3.21</t>
  </si>
  <si>
    <t>4.3.22</t>
  </si>
  <si>
    <t>4.3.23</t>
  </si>
  <si>
    <t>ALVENARIA DE VEDAÇÃO DE BLOCOS CERÂMICOS MACIÇOS DE 5X10X20CM (ESPESSURA 10CM) E ARGAMASSA DE ASSENTAMENTO COM PREPARO EM BETONEIRA. AF_05/2020 (ALVENARIA FLOREIRA)</t>
  </si>
  <si>
    <t>FUNDO SELADOR ACRÍLICO, APLICAÇÃO MANUAL EM PAREDE, UMA DEMÃO. AF_04/2023 (FLOREIRA - LATERAL EXTERNA)</t>
  </si>
  <si>
    <t>PINTURA LÁTEX ACRÍLICA PREMIUM, APLICAÇÃO MANUAL EM PAREDES, DUAS DEMÃOS. AF_04/2023 (FLOREIRA - LATERAL EXTERNA)</t>
  </si>
  <si>
    <t>IMPERMEABILIZAÇÃO DE SUPERFÍCIE COM MANTA ASFÁLTICA ANTI RAIZ, INCLUSIVE APLICAÇÃO DE PRIMER ASFÁLTICO, E=3MM E E=4MM (IMPERMEABILIZAÇÃO FLOREIRA - FUNDO E LATERAIS)</t>
  </si>
  <si>
    <t>4.4.4.3</t>
  </si>
  <si>
    <t>4.4.4.4</t>
  </si>
  <si>
    <t>4.4.4.5</t>
  </si>
  <si>
    <t>4.4.4.6</t>
  </si>
  <si>
    <t>CCU 017</t>
  </si>
  <si>
    <t>CCU 044</t>
  </si>
  <si>
    <t>VÍDEO PORTEIRO ELETRÔNICO COLORIDO, COM UM INTERFONE REF. 66.02.460/SP OBRAS</t>
  </si>
  <si>
    <t>KIT DE AUTOMATIZAÇÃO DE PORTÃO, INCLUSO: FERRAGENS (VIGA U, ROLDANAS COM PINO, CABO DE AÇO, CHAPA E MONTANTE, ETC.) E MOTOR PPA 1/4 CV - 220V REF. I01276/ORSE</t>
  </si>
  <si>
    <t>Video porteiro eletrônico colorido com um interfone; referência comercial HDL 90.02.01.033, 90.02.01.700 ou equivalente</t>
  </si>
  <si>
    <t>P.17.000.031495</t>
  </si>
  <si>
    <t>4.1.4.4</t>
  </si>
  <si>
    <t>CCU 047</t>
  </si>
  <si>
    <t>TUBO EM COBRE FLEXÍVEL, DN 5/8", COM ISOLAMENTO, INSTALADO EM RAMAL DE ALIMENTAÇÃO DE AR CONDICIONADO COM CONDENSADORA INDIVIDUAL - FORNECIMENTO E INSTALAÇÃO. AF_12/2015 (INCLUSO CONEXÕES)</t>
  </si>
  <si>
    <t>4.4.4.7</t>
  </si>
  <si>
    <t>CCU 052</t>
  </si>
  <si>
    <t>4.3.24</t>
  </si>
  <si>
    <t>4.3.25</t>
  </si>
  <si>
    <t>4.3.26</t>
  </si>
  <si>
    <t>CCU 085</t>
  </si>
  <si>
    <t>FORNECIMENTO DE PEÇAS DIVERSAS PARA ESTRUTURA EM MADEIRA (BANCO EXTERNO) REF. 15.20.020/SP OBRAS</t>
  </si>
  <si>
    <t>PINTURA VERNIZ (INCOLOR) ALQUÍDICO EM MADEIRA, USO INTERNO E EXTERNO, 3 DEMÃOS. AF_01/2021 (BANCO EXTERNO)</t>
  </si>
  <si>
    <t>D.02.000.021005</t>
  </si>
  <si>
    <t>AJUDANDE DE CARPINTEIRO COM ENCARGOS COMPLEMENTARES</t>
  </si>
  <si>
    <t>CARPINTEIRO COM ENCARGOS COMPLEMENTARES</t>
  </si>
  <si>
    <t>ORÇ. CONSTRUÇÃO  - NAJSOLNASC</t>
  </si>
  <si>
    <t>CONSTRUÇÃO DO NÚCLEO DE ASSISTÊNCIA JURÍDICA DE SOL NASCENTE - NAJSOLNASC</t>
  </si>
  <si>
    <t>NAJ SOL NASCENTE</t>
  </si>
  <si>
    <t>3.2.1.2</t>
  </si>
  <si>
    <t>3.2.1.3</t>
  </si>
  <si>
    <t>3.2.1.4</t>
  </si>
  <si>
    <t>3.3.1</t>
  </si>
  <si>
    <t>3.3.2</t>
  </si>
  <si>
    <t>3.3.3</t>
  </si>
  <si>
    <t>3.4.1.1.3</t>
  </si>
  <si>
    <t>ALVENARIA DE VEDAÇÃO DE BLOCOS VAZADOS DE CONCRETO DE 9X19X39 CM (ESPESSURA 9 CM) E ARGAMASSA DE ASSENTAMENTO COM PREPARO EM BETONEIRA. AF_12/2021</t>
  </si>
  <si>
    <t>2.4.1.2</t>
  </si>
  <si>
    <t>2.4.1.3</t>
  </si>
  <si>
    <t>2.4.1.4</t>
  </si>
  <si>
    <t>JOELHO 90 GRAUS, PVC, SOLDÁVEL, DN 50MM - FORNECIMENTO E INSTALAÇÃO. AF_06/2022</t>
  </si>
  <si>
    <t>JOELHO 45 GRAUS, PVC, SOLDÁVEL, DN 32MM - FORNECIMENTO E INSTALAÇÃO. AF_06/2022</t>
  </si>
  <si>
    <t>CURVA LONGA 90 GRAUS, PVC, SERIE NORMAL, ESGOTO PREDIAL, DN 100 MM, JUNTA ELÁSTICA, FORNECIDO E INSTALADO</t>
  </si>
  <si>
    <t>JOELHO DE TRANSIÇÃO, 90 GRAUS, CPVC, SOLDÁVEL, DN 22MM X 1/2" - FORNECIMENTO E INSTALAÇÃO. AF_06/2022</t>
  </si>
  <si>
    <t>JOELHO 90 GRAUS, CPVC, SOLDÁVEL, DN 22MM FORNECIMENTO E INSTALAÇÃO. AF_06/2022</t>
  </si>
  <si>
    <t>TÊ DE REDUÇÃO, PVC, SOLDÁVEL, DN 32MM X 25MM - FORNECIMENTO E INSTALAÇÃO. AF_06/2022</t>
  </si>
  <si>
    <t>JOELHO 90 GRAUS COM BUCHA DE LATÃO, PVC, SOLDÁVEL, DN 25MM, X 1/2 - FORNECIMENTO E INSTALAÇÃO. AF_06/2022</t>
  </si>
  <si>
    <t>JUNÇÃO SIMPLES, PVC, SERIE NORMAL, ESGOTO PREDIAL, DN 50 X 50 MM, JUNTA ELÁSTICA, FORNECIDO E INSTALADO</t>
  </si>
  <si>
    <t>TUBO, CPVC, SOLDÁVEL, DN 22MM - FORNECIMENTO E INSTALAÇÃO. AF_06/2022</t>
  </si>
  <si>
    <t>TORNEIRA DE BOIA PARA CAIXA D'ÁGUA, ROSCÁVEL, 1/2" - FORNECIMENTO E INSTALAÇÃO. AF_08/2021</t>
  </si>
  <si>
    <t>REGISTRO DE GAVETA BRUTO, LATÃO, ROSCÁVEL, 3/4", COM ACABAMENTO E CANOPLA CROMADOS - FORNECIMENTO E INSTALAÇÃO. AF_08/2021</t>
  </si>
  <si>
    <t>CAIXA DE INSPEÇÃO PARA ATERRAMENTO, CIRCULAR, EM POLIETILENO, DIÂMETRO INTERNO = 0,3 M. AF_12/2020</t>
  </si>
  <si>
    <t>CORPO PARA CAIXA SIFONADA EM PVC, 5 ENTRADAS, 100X140X50 MM, MODELO GIRAFÁCIL, TIGRE OU SIMILAR REF. S13553/ORSE</t>
  </si>
  <si>
    <t>CAIXA SIFONADA REDONDA, CORPO GIRATÓRIO, COM 5 ENTRADAS DE 40MM E 1 SAÍDA DE 75MM, D = 150X170X75 MM, COM GRELHA, PVC BRANCO, TIGRE OU SIMILAR REF. S07862/ORSE</t>
  </si>
  <si>
    <t>I08892</t>
  </si>
  <si>
    <t>Mini Rack de parede 19" x 9u x 470mm</t>
  </si>
  <si>
    <t>ELETRODUTO FLEXÍVEL CORRUGADO, PVC, DN 40 MM (1.1/2") - FORNECIMENTO E INSTALAÇÃO. AF_03/2023</t>
  </si>
  <si>
    <t>FORNECIMENTO E INSTALAÇÃO DE MINI RACK DE PAREDE 19" x 9U REF. S08439/ORSE</t>
  </si>
  <si>
    <t>P.04.000.042117</t>
  </si>
  <si>
    <t>Eletroduto com costura galvanizado por imersão a quente, DN = 1 1/2´ - NBR6323</t>
  </si>
  <si>
    <t xml:space="preserve">I03339 </t>
  </si>
  <si>
    <t>00001524</t>
  </si>
  <si>
    <t>CONCRETO USINADO BOMBEAVEL, CLASSE DE RESISTENCIA C20, BRITA 0 E 1, SLUMP = 100 +/- 20 MM, COM BOMBEAMENTO (DISPONIBILIZACAO DE BOMBA), SEM O LANCAMENTO (NBR 8953)</t>
  </si>
  <si>
    <t>00011447</t>
  </si>
  <si>
    <t>DOBRADICA EM LATAO, 3" X 2 1/2 ", E= 1,9 A 2 MM, COM ANEL, CROMADO, TAMPA BOLA, COM PARAFUSOS</t>
  </si>
  <si>
    <t>00002673</t>
  </si>
  <si>
    <t>ELETRODUTO DE PVC RIGIDO ROSCAVEL DE 1/2 ", SEM LUVA</t>
  </si>
  <si>
    <t>00002680</t>
  </si>
  <si>
    <t>ELETRODUTO DE PVC RIGIDO ROSCAVEL DE 1 1/2 ", SEM LUVA</t>
  </si>
  <si>
    <t>00020205</t>
  </si>
  <si>
    <t>RIPA APARELHADA *1,5 X 5* CM, EM MACARANDUBA/MASSARANDUBA, ANGELIM OU EQUIVALENTE DA REGIAO</t>
  </si>
  <si>
    <t>00006189</t>
  </si>
  <si>
    <t>TABUA NAO APARELHADA *2,5 X 30* CM, EM MACARANDUBA/MASSARANDUBA, ANGELIM OU EQUIVALENTE DA REGIAO - BRUTA</t>
  </si>
  <si>
    <t>00007194</t>
  </si>
  <si>
    <t>TELHA DE FIBROCIMENTO ONDULADA E = 6 MM, DE 2,44 X 1,10 M (SEM AMIANTO)</t>
  </si>
  <si>
    <t>00038075</t>
  </si>
  <si>
    <t>00039511</t>
  </si>
  <si>
    <t>FORRO DE FIBRA MINERAL EM PLACAS DE 625 X 625 MM, E = 15 MM, BORDA RETA, COM PINTURA ANTIMOFO, APOIADO EM PERFIL DE ACO GALVANIZADO COM 24 MM DE BASE - INSTALADO</t>
  </si>
  <si>
    <t>00000591</t>
  </si>
  <si>
    <t>CANTONEIRA EM ALUMINIO, ABAS IGUAIS, LARGURA DE 38,10 MM (1 1/2"), ESPESSURA DE 4,76 MM (3/16") E PESO LINEAR DE APROXIMADAMENTE 0,915 KG/M</t>
  </si>
  <si>
    <t>00044073</t>
  </si>
  <si>
    <t>TARUGO DELIMITADOR DE PROFUNDIDADE EM ESPUMA DE POLIETILENO DE BAIXA DENSIDADE 10 MM, CINZA</t>
  </si>
  <si>
    <t>Madeira serrada em cambará, cedrinho, cumaru, eucalipto-citriodora, eucalipto-saligna, garapa, tuari</t>
  </si>
  <si>
    <t>FITA ISOLANTE ADESIVA ANTICHAMA, USO ATE 750 V, EM ROLO DE 19 MM X 20 M</t>
  </si>
  <si>
    <t>00004006</t>
  </si>
  <si>
    <t>MADEIRA SERRADA EM PINUS, MISTA OU EQUIVALENTE DA REGIAO - BRUTA</t>
  </si>
  <si>
    <t>00006138</t>
  </si>
  <si>
    <t>ANEL DE VEDACAO, PVC FLEXIVEL, 100 MM, PARA SAIDA DE BACIA / VASO SANITARIO</t>
  </si>
  <si>
    <t>Vaso sanitário para caixa de descarga acoplada, linha vogue plus conforto, sem abertura frontal, P.515.17, DECA ou similar</t>
  </si>
  <si>
    <t>00011683</t>
  </si>
  <si>
    <t>ENGATE / RABICHO FLEXIVEL INOX 1/2" X 30 CM</t>
  </si>
  <si>
    <t>CCU 120</t>
  </si>
  <si>
    <t>00006157</t>
  </si>
  <si>
    <t>VALVULA EM METAL CROMADO PARA PIA AMERICANA 3.1/2 X 1.1/2"</t>
  </si>
  <si>
    <t>000034360</t>
  </si>
  <si>
    <t>CONCRETO FCK = 15MPA, TRAÇO 1:3,4:3,5 (EM MASSA SECA DE CIMENTO/ AREIA MÉDIA/ BRITA 1) - PREPARO MECÂNICO COM BETONEIRA 400 L. AF_05/2021</t>
  </si>
  <si>
    <t>00000979</t>
  </si>
  <si>
    <t>00034738</t>
  </si>
  <si>
    <t>DISJUNTOR TERMOMAGNETICO AJUSTAVEL, TRIPOLAR DE 450 ATE 600A, CAPACIDADE DE INTERRUPCAO DE 35KA</t>
  </si>
  <si>
    <t>00039479</t>
  </si>
  <si>
    <t>DISPOSITIVO DPS CLASSE II, 1 POLO, TENSAO MAXIMA DE 460 V, CORRENTE MAXIMA DE *45* KA (TIPO AC)</t>
  </si>
  <si>
    <t>PLACA DE SINALIZACAO DE SEGURANCA - ALERTA, TRIANGULAR, BASE DE *30* CM, EM PVC *2* MM ANTI-CHAMAS</t>
  </si>
  <si>
    <t>00001051</t>
  </si>
  <si>
    <t>CABECOTE PARA ENTRADA DE LINHA DE ALIMENTACAO PARA ELETRODUTO, EM LIGA DE ALUMINIO COM ACABAMENTO ANTI CORROSIVO, COM FIXACAO POR ENCAIXE LISO DE 360 GRAUS, DE 4"</t>
  </si>
  <si>
    <t>00041474</t>
  </si>
  <si>
    <t>CAIXA DE INSPECAO PARA ATERRAMENTO OU OUTRO USO, EM PVC, DN = 300 X *300* MM</t>
  </si>
  <si>
    <t>00002621</t>
  </si>
  <si>
    <t>CURVA 90 GRAUS PARA ELETRODUTO, EM ACO GALVANIZADO ELETROLITICO, COM ROSCA, DIAMETRO DE 100 MM (4")</t>
  </si>
  <si>
    <t>00000406</t>
  </si>
  <si>
    <t>FITA ACO INOX PARA CINTAR POSTE, L = 19 MM, E = 0,5 MM (ROLO DE 30M)</t>
  </si>
  <si>
    <t>00002641</t>
  </si>
  <si>
    <t>LUVA PARA ELETRODUTO, EM ACO GALVANIZADO ELETROLITICO, COM ROSCA, DIAMETRO DE 100 MM (4")</t>
  </si>
  <si>
    <t>CCU 167</t>
  </si>
  <si>
    <t>DISJUNTOR MONOPOLAR TIPO DIN, CORRENTE NOMINAL DE 16A - FORNECIMENTO E INSTALAÇÃO. AF_10/2020</t>
  </si>
  <si>
    <t>DISJUNTOR MONOPOLAR TIPO DIN, CORRENTE NOMINAL DE 25A - FORNECIMENTO E INSTALAÇÃO. AF_10/2020</t>
  </si>
  <si>
    <t>DISJUNTOR TRIPOLAR TIPO DIN, CORRENTE NOMINAL DE 25A - FORNECIMENTO E INSTALAÇÃO. AF_10/2020</t>
  </si>
  <si>
    <t>DISJUNTOR TRIPOLAR , CORRENTE NOMINAL DE 125A - FORNECIMENTO E INSTALAÇÃO. AF_10/2020</t>
  </si>
  <si>
    <t>DISJUNTOR TRIPOLAR , CORRENTE NOMINAL DE 150A - FORNECIMENTO E INSTALAÇÃO. AF_10/2020</t>
  </si>
  <si>
    <t>DISPOSITIVO DIFERENCIAL RESIDUAL DE 125 A X 30 MA - 4 POLOS REF. 37.17.114/SP OBRAS</t>
  </si>
  <si>
    <t>P.26.000.044032</t>
  </si>
  <si>
    <t>Dispositivo e/ou interruptor diferencial residual de 125 A x 30 mA - 4 polos - 380 V, ref. fabricação Siemens, Schneider ou equivalente</t>
  </si>
  <si>
    <t>INTERRUPTOR PARALELO (3 MÓDULOS), 10A/250V, INCLUINDO SUPORTE E PLACA - FORNECIMENTO E INSTALAÇÃO. AF_03/2023</t>
  </si>
  <si>
    <t>TERMINAL DE PRESSÃO/COMPRESSÃO PARA CABO DE 35 MM² REF. 39.10.130/SP OBRAS</t>
  </si>
  <si>
    <t>2.15.25</t>
  </si>
  <si>
    <t>00039236</t>
  </si>
  <si>
    <t>CABO DE COBRE, FLEXIVEL, CLASSE 4 OU 5, ISOLACAO EM PVC/A, ANTICHAMA BWF-B, 1 CONDUTOR, 450/750 V, SECAO NOMINAL 95 MM2</t>
  </si>
  <si>
    <t>00001580</t>
  </si>
  <si>
    <t>TERMINAL A COMPRESSAO EM COBRE ESTANHADO PARA CABO 95 MM2, 1 FURO E 1 COMPRESSAO, PARA PARAFUSO DE FIXACAO M12</t>
  </si>
  <si>
    <t>Cuba de sobrepor quadrada sem mesa em louça branca, *30*cm</t>
  </si>
  <si>
    <t>I14285</t>
  </si>
  <si>
    <t>FORNECIMENTO E INSTALAÇÃO DE CONECTOR RJ 45 MACHO CAT 6A REF. S11242/ORSE</t>
  </si>
  <si>
    <t>4.31.26</t>
  </si>
  <si>
    <t>CABO BLINDADO (4 X 4,0 MM²) BLINDAGEM METÁLICA 750 V NBR 7289 COLORIDO (ISOLAÇAO NAO HALOGENADO)</t>
  </si>
  <si>
    <t>CHAPAS VIDRO LAMINADO REFLETIVO 8MM (4+4) - MATERIAL</t>
  </si>
  <si>
    <t>TEMPER</t>
  </si>
  <si>
    <t>(61) 3403-5200</t>
  </si>
  <si>
    <t>07.842.195/0001-66</t>
  </si>
  <si>
    <t>TROCADOR DE FRALDAS ARTICULADO CI-100 SMART AIR OU EQUIVALENTE</t>
  </si>
  <si>
    <t>BRAKEY</t>
  </si>
  <si>
    <t>www.loja.brakey.com.br</t>
  </si>
  <si>
    <t>15.462.217/0001-90</t>
  </si>
  <si>
    <t>(11) 3095-9600</t>
  </si>
  <si>
    <t>FRAL - 01</t>
  </si>
  <si>
    <t>DR ONLINE</t>
  </si>
  <si>
    <t>www.dronline.com.br</t>
  </si>
  <si>
    <t>08.723.312/0001-35</t>
  </si>
  <si>
    <t>(44) 3525-0177</t>
  </si>
  <si>
    <t>FRAL - 02</t>
  </si>
  <si>
    <t>OLIST STORE (MAGAZINE LUIZA)</t>
  </si>
  <si>
    <t>www.magazineluiza.com.br</t>
  </si>
  <si>
    <t>47.960.950/1088-36</t>
  </si>
  <si>
    <t>0800 773 3838</t>
  </si>
  <si>
    <t>FRAL - 03</t>
  </si>
  <si>
    <t>4.1.6.1.23</t>
  </si>
  <si>
    <t>SISTEMA FOTOVOLTÁICO COMPLETO - POTÊNCIA DE GERAÇÃO 43,45 KWp - CONFORME PROJETO ESPECÍFICO (FORNECIMENTO E INSTALAÇÃO)</t>
  </si>
  <si>
    <t>CHAPA 1,34 X 2,50 M</t>
  </si>
  <si>
    <t>MARIN BRASIL (MAGAZINE LUIZA)</t>
  </si>
  <si>
    <t>RIPA - 01</t>
  </si>
  <si>
    <t>LEROY MERLIN</t>
  </si>
  <si>
    <t>www.leroymerlin.com.br</t>
  </si>
  <si>
    <t>01.438.784/0048-60</t>
  </si>
  <si>
    <t>4020-5376</t>
  </si>
  <si>
    <t>RIPA - 02</t>
  </si>
  <si>
    <t>RIPA - 03</t>
  </si>
  <si>
    <t>MADEIRA MADEIRA</t>
  </si>
  <si>
    <t>DETECTOR DE METAIS, TIPO PORTAL, MICROPROCESSADO REF. 66.02.090/SP OBRAS</t>
  </si>
  <si>
    <t>TUBO EM AÇO INOX, ESCOVADO, D=1 1/2"</t>
  </si>
  <si>
    <t>COT 01.015</t>
  </si>
  <si>
    <t>LUMINÁRIA PLAFON LED QUADRADA 62X62 CM - 48W</t>
  </si>
  <si>
    <t>COMBINADO</t>
  </si>
  <si>
    <t>www.combinado.com.br</t>
  </si>
  <si>
    <t>66.591.843/0001-18</t>
  </si>
  <si>
    <t>(11) 4380-1698</t>
  </si>
  <si>
    <t>LUMI - 01</t>
  </si>
  <si>
    <t>LUMI - 02</t>
  </si>
  <si>
    <t>LUMI - 03</t>
  </si>
  <si>
    <t>I01691</t>
  </si>
  <si>
    <t>Parafuso metal 2 1/2" x 12 p/ bucha s-10</t>
  </si>
  <si>
    <t>Película adesiva liso fosco ou listra branca para vidros - uso interno</t>
  </si>
  <si>
    <t>MANTA LIQUIDA DE BASE ASFALTICA MODIFICADA COM A ADICAO DE ELASTOMEROS DILUIDOS EM SOLVENTE ORGANICO, APLICACAO A FRIO (MEMBRANA DE EMULSAO ASFALTICA PARA IMPERMEABILIZACAO FLEXIVEL)</t>
  </si>
  <si>
    <t>4.1.1.1.1</t>
  </si>
  <si>
    <t>4.1.5.3.2</t>
  </si>
  <si>
    <t>4.1.5.3.3</t>
  </si>
  <si>
    <t>4.1.5.3.4</t>
  </si>
  <si>
    <t>7.1.1.1.4</t>
  </si>
  <si>
    <t>7.1.1.1.5</t>
  </si>
  <si>
    <t>FOTO - 01</t>
  </si>
  <si>
    <t>CONSULT SOLAR</t>
  </si>
  <si>
    <t>www.consultsolar.net</t>
  </si>
  <si>
    <t>52.333.370/0001-44</t>
  </si>
  <si>
    <t>(61) 98368-1107</t>
  </si>
  <si>
    <t>3.1.4.6</t>
  </si>
  <si>
    <t>ARMAÇÃO DE BLOCO, SAPATA ISOLADA, VIGA BALDRAME E SAPATA CORRIDA UTILIZANDO AÇO CA-50 DE 20 MM - MONTAGEM. AF_01/2024</t>
  </si>
  <si>
    <t>TE-09 ENTRADA PRIMÁRIA SIMPLIF. POSTE ÚNICO - NEOENERGIA - 112,5 kVA 15kV- 220/127 V REF. 09.01.009/SP EDUCAÇÃO</t>
  </si>
  <si>
    <t>REFLETOR RGB LED 400W COM MEMÓRIA - FORNECIMENTO E INSTALAÇÃO REF. S12808/ORSE</t>
  </si>
  <si>
    <t>CAIXA RETANGULAR 4" X 4" PISO, METÁLICA - FORNECIMENTO E INSTALAÇÃO. AF_03/2023</t>
  </si>
  <si>
    <t>4.4.3.1</t>
  </si>
  <si>
    <t>91940.</t>
  </si>
  <si>
    <t>4.1.5.3.5</t>
  </si>
  <si>
    <t>00000359</t>
  </si>
  <si>
    <t>MUDA DE ARVORE ORNAMENTAL, OITI/AROEIRA SALSA/ANGICO/IPE/JACARANDA OU EQUIVALENTE DA REGIAO, H= *2* M</t>
  </si>
  <si>
    <t>00010481</t>
  </si>
  <si>
    <t>VERNIZ MARITIMO PREMIUM PARA MADEIRA, COM FILTRO SOLAR, BRILHANTE, USO INTERNO E EXTERNO</t>
  </si>
  <si>
    <t>00040524</t>
  </si>
  <si>
    <t>BLOQUETE/PISO INTERTRAVADO DE CONCRETO - MODELO ONDA/16 FACES/RETANGULAR/TIJOLINHO/PAVER/HOLANDES/PARALELEPIPEDO, *20 X 10* CM, E = 10 CM, RESISTENCIA DE 35 MPA, COR NATURAL</t>
  </si>
  <si>
    <t>00001970</t>
  </si>
  <si>
    <t>CURVA PVC LONGA 90 GRAUS, DN 100 MM, PARA ESGOTO PREDIAL</t>
  </si>
  <si>
    <t>00000099</t>
  </si>
  <si>
    <t>ADAPTADOR PVC SOLDAVEL, COM FLANGE E ANEL DE VEDACAO, 50 MM X 1 1/2", PARA CAIXA D'AGUA</t>
  </si>
  <si>
    <t>00000097</t>
  </si>
  <si>
    <t>ADAPTADOR PVC SOLDAVEL, COM FLANGE E ANEL DE VEDACAO, 32 MM X 1", PARA CAIXA D'AGUA</t>
  </si>
  <si>
    <t>00000096</t>
  </si>
  <si>
    <t>ADAPTADOR PVC SOLDAVEL, COM FLANGE E ANEL DE VEDACAO, 25 MM X 3/4", PARA CAIXA D'AGUA</t>
  </si>
  <si>
    <t>00009840</t>
  </si>
  <si>
    <t>TUBO PVC, SERIE R, DN 150 MM, PARA ESGOTO OU AGUAS PLUVIAIS PREDIAL (NBR 5688)</t>
  </si>
  <si>
    <t>00011829</t>
  </si>
  <si>
    <t>TORNEIRA DE BOIA CONVENCIONAL PARA CAIXA D'AGUA, AGUA FRIA, 1/2", COM HASTE E TORNEIRA METALICOS E BALAO PLASTICO</t>
  </si>
  <si>
    <t>00006005</t>
  </si>
  <si>
    <t>00011674</t>
  </si>
  <si>
    <t>REGISTRO DE ESFERA, PVC, COM VOLANTE, VS, SOLDAVEL, DN 25 MM, COM CORPO DIVIDIDO</t>
  </si>
  <si>
    <t>00001575</t>
  </si>
  <si>
    <t>TERMINAL A COMPRESSAO EM COBRE ESTANHADO PARA CABO 16 MM2, 1 FURO E 1 COMPRESSAO, PARA PARAFUSO DE FIXACAO M6</t>
  </si>
  <si>
    <t>00002391</t>
  </si>
  <si>
    <t>DISJUNTOR TERMOMAGNETICO TRIPOLAR 125 A / 425 V / ICC - 25 KA</t>
  </si>
  <si>
    <t>00001578</t>
  </si>
  <si>
    <t>TERMINAL A COMPRESSAO EM COBRE ESTANHADO PARA CABO 50 MM2, 1 FURO E 1 COMPRESSAO, PARA PARAFUSO DE FIXACAO M8</t>
  </si>
  <si>
    <t>00002377</t>
  </si>
  <si>
    <t>DISJUNTOR TERMOMAGNETICO TRIPOLAR 200 A / 600 V, TIPO FXD / ICC - 35 KA</t>
  </si>
  <si>
    <t>91968</t>
  </si>
  <si>
    <t>INTERRUPTOR PARALELO (3 MÓDULOS), 10A/250V, SEM SUPORTE E SEM PLACA - FORNECIMENTO E INSTALAÇÃO. AF_03/2023</t>
  </si>
  <si>
    <t>00002557</t>
  </si>
  <si>
    <t>CAIXA DE LUZ "4 X 4" EM ACO ESMALTADA</t>
  </si>
  <si>
    <t>PRATELEIRA METÁLICA REF LINHA POLO 2031.C33, DECA OU EQUIVALENTE</t>
  </si>
  <si>
    <t>PADOVANI</t>
  </si>
  <si>
    <t>FRANPISOS</t>
  </si>
  <si>
    <t>www.padovani.com.br</t>
  </si>
  <si>
    <t>www.franpisos.com.br</t>
  </si>
  <si>
    <t>50.223.692/0004-58</t>
  </si>
  <si>
    <t>00.246.147/0001-66</t>
  </si>
  <si>
    <t>(11) 4013-7000</t>
  </si>
  <si>
    <t>(16) 3724-0024</t>
  </si>
  <si>
    <t>PRAT - 01</t>
  </si>
  <si>
    <t>PRAT - 02</t>
  </si>
  <si>
    <t>PRAT - 03</t>
  </si>
  <si>
    <t>4.1.6.1.24</t>
  </si>
  <si>
    <t>CCU 188</t>
  </si>
  <si>
    <t>PRATELEIRA METÁLICA REF LINHA POLO 2031.C33, DECA OU EQUIVALENTE REF. S09494/ORSE</t>
  </si>
  <si>
    <t>ENERGIA SOLAR ECOLÓGICA</t>
  </si>
  <si>
    <t>www.energiasolarecologica.com.br</t>
  </si>
  <si>
    <t>12.376.985/0001-33</t>
  </si>
  <si>
    <t>(61) 99235-7002</t>
  </si>
  <si>
    <t>FOTO - 03</t>
  </si>
  <si>
    <t>PAREDE COM SISTEMA EM CHAPAS DE GESSO PARA DRYWALL, USO INTERNO COM DUAS FACES DUPLAS E ESTRUTURA METÁLICA COM GUIAS DUPLAS, SEM VÃOS. AF_07/2023_PS</t>
  </si>
  <si>
    <t>4.1.1.2.3</t>
  </si>
  <si>
    <t>AJUDANTE DE CARPINTEIRO</t>
  </si>
  <si>
    <t>MONTATOR DE ESTRUTURA METÁLICA</t>
  </si>
  <si>
    <t>ELETROTÉCNICO</t>
  </si>
  <si>
    <t>CABISTA</t>
  </si>
  <si>
    <t>SETOR HAB. SOL NASCENTE, TRECHO 2, QUADRA 209, CONJUNTO K AE1 - SOL NASCENTE</t>
  </si>
  <si>
    <t>ÁREA DE CONSTRUÇÃO: 390,07 m²</t>
  </si>
  <si>
    <t>ENDEREÇO:  SETOR HAB. SOL NASCENTE, TRECHO 2, QUADRA 209, CONJUNTO K AE1 - SOL NASCENTE</t>
  </si>
  <si>
    <t>RELATÓRIO ANALÍTICO - COMPOSIÇOES DE CUSTOS - COMPOSIÇÕES PRÓPRIAS</t>
  </si>
  <si>
    <t>RELATÓRIO ANALÍTICO - COMPOSIÇOES DE CUSTOS</t>
  </si>
  <si>
    <t>PINTURA COM TINTA ALQUÍDICA DE ACABAMENTO (ESMALTE SINTÉTICO ACETINADO) PULVERIZADA SOBRE SUPERFÍCIES METÁLICAS EXECUTADO EM OBRA (02 DEMÃOS). AF_01/2020_PE</t>
  </si>
  <si>
    <t>PAINEL RIPADO EM MDF - FIXAÇÃO EM PORTAS E PAREDES (CHAPAS DE 1,34 x 2,50 m)</t>
  </si>
  <si>
    <t>LETREIRO EM ACABAMENTO ACRÍLICO E ADESIVADO NA COR CONFORME LOGOTIPO, COM LOGO ILUMINADOS E LETRAS EM ILUMINAÇÃO INDIRETA</t>
  </si>
  <si>
    <t>TOMADA 2P+T 20A 250V, CONJUNTO MONTADO PARA EMBUTIR 4" X 2" (PLACA + SUPORTE + MODULO)</t>
  </si>
  <si>
    <t>100301</t>
  </si>
  <si>
    <t>90775</t>
  </si>
  <si>
    <t>CHO</t>
  </si>
  <si>
    <t>AZULEJISTA OU LADRILHISTA COM ENCARGOS COMPLEMENTARES</t>
  </si>
  <si>
    <t>4.1.5.3.1</t>
  </si>
  <si>
    <t>FORRO EM FIBRA MINERAL NRC 0.65, EM PLACAS ACÚSTICAS REMOVÍVEIS DE 625MM X 625MM REF. 104757/SINAPI</t>
  </si>
  <si>
    <t xml:space="preserve">	ENCANADOR OU BOMBEIRO HIDRÁULICO COM ENCARGOS COMPLEMENTARES</t>
  </si>
  <si>
    <t>DISPENSER PAPEL HIGIÊNICO EM ABS PARA ROLÃO 300 / 600 M, COM VISOR REF. 95544/SINAPI</t>
  </si>
  <si>
    <t>SABONETEIRA TIPO DISPENSER, PARA REFIL DE 800 ML REF. 95545/SINAPI</t>
  </si>
  <si>
    <t>ESPELHO COMUM DE 3 MM COM MOLDURA EM ALUMÍNIO REF. 102148/SINAPI</t>
  </si>
  <si>
    <t>DISPENSER TOALHEIRO EM ABS, PARA FOLHAS REF. 95544/SINAPI</t>
  </si>
  <si>
    <t>MARTELETE OU ROMPEDOR PNEUMÁTICO MANUAL, 28 KG, COM SILENCIADOR - CHI DIURNO. AF_07/2016</t>
  </si>
  <si>
    <t xml:space="preserve">	MARTELETE OU ROMPEDOR PNEUMÁTICO MANUAL, 28 KG, COM SILENCIADOR - CHP DIURNO. AF_07/2016</t>
  </si>
  <si>
    <t xml:space="preserve">	PEDRA BRITADA N. 1 (9,5 A 19 MM) POSTO PEDREIRA/FORNECEDOR, SEM FRETE</t>
  </si>
  <si>
    <t>S12803</t>
  </si>
  <si>
    <t>SUPORTE PARA ELETROCALHA LISA OU PERFURADA EM AÇO GALVANIZADO, LARGURA 400 MM, EM PERFILADO COM COMPRIMENTO DE 45 CM FIXADO EM LAJE, POR METRO DE ELETROCALHA FIXADA. AF_09/2023</t>
  </si>
  <si>
    <t>Emenda interna 300 x 100 mm com base lisa perfurada para eletrocalha metálica (ref. Mopa ou similar)</t>
  </si>
  <si>
    <t>ELETROCALHA PERFURADA GALVANIZADA A FOGO, 300X100 MM, COM ACESSÓRIOS REF. 97243/SINAPI</t>
  </si>
  <si>
    <t>FIXAÇÃO DE TUBOS HORIZONTAIS DE PVC ÁGUA, PVC ESGOTO, PVC ÁGUA PLUVIAL, CPVC, PPR, COBRE OU AÇO, DIÂMETROS MENORES OU IGUAIS A 40 MM, COM ABRAÇADEIRA METÁLICA RÍGIDA TIPO U PERFIL 1 1/4", FIXADA EM PERFILADO EM LAJE. AF_09/2023_PS</t>
  </si>
  <si>
    <t>ELETRODUTO GALVANIZADO A QUENTE CONFORME NBR5598 - 1´ COM ACESSÓRIOS REF. 104407/SINAPI</t>
  </si>
  <si>
    <t>CABO COAXIAL RG11 95% - FORNECIMENTO E INSTALAÇÃO. AF_11/2019</t>
  </si>
  <si>
    <t>CABO COAXIAL RG11 95% DE MALHA</t>
  </si>
  <si>
    <t>00043834</t>
  </si>
  <si>
    <t>TOMADA RJ-45 - CATEGORIA 6A (PLACA, MÓDULO E CONECTOR) REF. 98307/SINAPI</t>
  </si>
  <si>
    <t>GUINDAUTO HIDRÁULICO, CAPACIDADE MÁXIMA DE CARGA 6200 KG, MOMENTO MÁXIMO DE CARGA 11,7 TM, ALCANCE MÁXIMO HORIZONTAL 9,70 M, INCLUSIVE CAMINHÃO TOCO PBT 16.000 KG, POTÊNCIA DE 189 CV - CHP DIURNO. AF_06/2014</t>
  </si>
  <si>
    <t>LUMINÁRIA PÚBLICA LED RETANGULAR PARA POSTE, FLUXO LUMINOSO DE 14200 A 18000 LM, EFICIÊNCIA MÍNIMA DE 120 LM/W - POTÊNCIA DE 100 W/120 W (UN) REF. 101657/SINAPI</t>
  </si>
  <si>
    <t>Madeira mista serrada (barrote) 6 x 6cm - 0,0036 m3/m (angelim, louro)</t>
  </si>
  <si>
    <t>I01569</t>
  </si>
  <si>
    <t>00038774</t>
  </si>
  <si>
    <t>LUMINARIA DE EMERGENCIA 30 LEDS, POTENCIA 2 W, BATERIA DE LITIO, AUTONOMIA DE 6 HORAS</t>
  </si>
  <si>
    <t>LUMINÁRIA DE EMERGÊNCIA, COM 30 LÂMPADAS LED DE 2 W, SEM REATOR - FORNECIMENTO E INSTALAÇÃO. AF_02/2020</t>
  </si>
  <si>
    <t>LOCACAO DE ANDAIME METALICO TUBULAR DE ENCAIXE, TIPO DE TORRE, CADA PAINEL COM LARGURA DE 1 ATE 1,5 M E ALTURA DE *1,00* M, INCLUINDO DIAGONAL, BARRAS DE LIGACAO, SAPATAS OU RODIZIOS E DEMAIS ITENS NECESSARIOS A MONTAGEM (NAO INCLUI INSTALACAO)</t>
  </si>
  <si>
    <t>MARMORISTA/GRANITEIRO COM ENCARGOS COMPLEMENTARES</t>
  </si>
  <si>
    <t>KH</t>
  </si>
  <si>
    <t>SOLEIRA EM GRANITO BRANCO SIENA, POLIDO, L = 15 CM, E = 2 CM REF. 98689/SINAPI</t>
  </si>
  <si>
    <t>ARGAMASSA TRAÇO 1:6 (EM VOLUME DE CIMENTO E AREIA MÉDIA ÚMIDA) COM ADIÇÃO DE PLASTIFICANTE PARA EMBOÇO/MASSA ÚNICA/ASSENTAMENTO DE ALVENARIA DE VEDAÇÃO, PREPARO MECÂNICO COM BETONEIRA 400 L. AF_08/2019</t>
  </si>
  <si>
    <t>Obs: ...............................................................................................................................................................................................................................</t>
  </si>
  <si>
    <t>Obs: Foi adotado o item 100897 do SINAPI como base por similaridade ao que pede o projeto e retirado apenas o serviço das armaduras, por já estar contemplado na etapa das Armaduras Totais</t>
  </si>
  <si>
    <t>Obs: Foi adotado o item 87262 do SINAPI como base por similaridade ao que pede em projeto e alterado apenas o material pelo do item 18.08.170 do SP Obras</t>
  </si>
  <si>
    <t>Obs: Foi adotado o item 95544 do SINAPI como base por similaridade ao que pede em projeto e alterado apenas o material pelo do item 44.03.050 do SP Obras</t>
  </si>
  <si>
    <t>Obs: Foi adotado o item 95545 do SINAPI como base por similaridade ao que pede em projeto e alterado apenas o material pelo do item 44.03.130 do SP Obras</t>
  </si>
  <si>
    <t>Obs: Foi adotado o item 95544 do SINAPI como base por similaridade ao que pede em projeto e alterado apenas o material pelo do item 44.03.180 do SP Obras</t>
  </si>
  <si>
    <t>Obs: Foi adotado o item 102148 do SINAPI como base e trocados os materiais por existir material com o valor zerado e sem possibilidade de troca e foram substituídos pelos materiais do item 26.04.030 do SP Obras, por questões de similaridade ao projeto</t>
  </si>
  <si>
    <t>Obs: Foi adotado o item 103308 do SINAPI e alterado o material pelo do item 34.20.382 do SP Obras por questões de similaridade para melhor atender ao projeto.</t>
  </si>
  <si>
    <t>Obs: Foi adotado o item 97243 do SINAPI como base por similaridade ao que pede em projeto e alterado apenas o material pelo do item 38.22.150 do SP Obras</t>
  </si>
  <si>
    <t>Obs: Foi adotado o item 104407 do SINAPI como base por similaridade ao que pede em projeto e alterado apenas o material pelo do item 38.06.060 do SP Obras</t>
  </si>
  <si>
    <t>Obs: Foi adotado o item 97238 do SINAPI como base por similaridade ao que pede em projeto e alterado apenas o material pelo do item 38.21.920 do SP Obras</t>
  </si>
  <si>
    <t>Obs: Foi adotado o item 98307 do SINAPI como base e para atender o que está em projeto, foi substituído o material pelo do item 69.03.360 do SP Obras e acrescentados os Serviços S12802 da fonte ORSE e 38.10.090 do SP Obras.</t>
  </si>
  <si>
    <t>Obs: Foi adotado o item 101657 do SINAPI como base por similaridade ao que pede em projeto e alterado apenas o material pelo do item 41.11.703 do SP Obras</t>
  </si>
  <si>
    <t>Obs: Foi adotado o item 98689 do SINAPI como base por similaridade ao que pede em projeto e alterado apenas o material pelo do item S12445 do ORSE</t>
  </si>
  <si>
    <t>Obs: Foi adotado o item 101965 do SINAPI como base por similaridade ao que pede em projeto e alterado apenas o material pelo do item S12446 do ORSE</t>
  </si>
  <si>
    <t>PEITORIL EM GRANITO BRANCO SIENA, POLIDO, C/ LARGURA = 22 CM, ESP = 2 CM REF. 101965/SINAPI</t>
  </si>
  <si>
    <t xml:space="preserve">	00039432</t>
  </si>
  <si>
    <t>Obs: Foi adotado o item 102176 do SINAPI como base, retirados alguns materiais e substituídos pelos materiais de Silicone e Vidro do item 26.03.070 do SP Obras</t>
  </si>
  <si>
    <t xml:space="preserve">90674	</t>
  </si>
  <si>
    <t>00043360</t>
  </si>
  <si>
    <t>Obs: Foi adotado o item 10652 do SINAPI como base e alterados por serem os materiais, equipamentos, serviços e mão de obra os mesmo, alterando apenas os coeficientes para o do item</t>
  </si>
  <si>
    <t>ARGAMASSA COLANTE AC I PARA CERAMICAS</t>
  </si>
  <si>
    <t>00000536</t>
  </si>
  <si>
    <t>Obs: Foi adotado o item 87273 do SINAPI como base por similaridade ao que pede em projeto e alterado apenas o material pelo do item S12418 do ORSE</t>
  </si>
  <si>
    <t>REVESTIMENTO CERÂMICO PARA PISO OU PAREDE, 30 X 60 CM, LINHA CETIM BIANCO OU SIMILAR, PORTOBELLO OU SIMILAR, APLICADO COM ARGAMASSA INDUSTRIALIZADA AC-I, REJUNTADO, EXCLUSIVE REGULARIZAÇÃO DE BASE OU EMBOÇO REF. 87273/SINAPI</t>
  </si>
  <si>
    <t>PARAFUSO NIQUELADO COM ACABAMENTO CROMADO PARA FIXAR PECA SANITARIA, INCLUI PORCA CEGA, ARRUELA E BUCHA DE NYLON TAMANHO S-10</t>
  </si>
  <si>
    <t>00004384</t>
  </si>
  <si>
    <t xml:space="preserve">	00037329</t>
  </si>
  <si>
    <t>REJUNTE EPOXI, QUALQUER COR</t>
  </si>
  <si>
    <t>Fita veda rosca 18mm</t>
  </si>
  <si>
    <t>I00981</t>
  </si>
  <si>
    <t>Obs: Foi adotado o item 100878 do SINAPI como base e por similaridade ao que se pede em projeto, foram feitas alterações nos materias, mantendo alguns materiais do item S12099 da fonte ORSE e COTAÇÃO externa, como o Assento, a caixa de descarga e a bacia.</t>
  </si>
  <si>
    <t>VASO SANITÁRIO COM CAIXA DE DESCARGA ACOPLADA, LINHA VOGUE PLUS REFERÊNCIA P.505.17, DECA OU SIMILAR, COM CAIXA ACOPLADA, COR BRANCA, REFERÊNCIA CD 01F 17, DECA OU SIMILAR REF. 100878/SINAPI</t>
  </si>
  <si>
    <t>VASO SANITÁRIO COM CAIXA DE DESCARGA ACOPLADA, PARA SANITÁRIO ACESSÍVEL, LINHA VOGUE PLUS CONFORTO, SEM ABERTURA FRONTAL P.515.17, DECA OU SIMILAR, COM CAIXA ACOPLADA LINHA VOGUE PLUS CONFORTO, COR BRANCA, REFERÊNCIA CDC 01F 17, DECA OU SIMILAR REF. 100878/SINAPI</t>
  </si>
  <si>
    <t>00037329</t>
  </si>
  <si>
    <t>Obs: Foi adotado o item 100852 do SINAPI como base e por similaridade ao que se pede em projeto, foram feitas alterações nos materias, mantendo alguns materiais do item S13541 da fonte ORSE, como a Cuba e a Fita veda rosca, além do acréscimo de outros materiasi da fonte SINAPI</t>
  </si>
  <si>
    <t>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t>
  </si>
  <si>
    <t>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t>
  </si>
  <si>
    <t>Obs: Foi adotado o item 100853 do SINAPI como base e por similaridade ao que se pede em projeto, susbtituído o material da torneira pelo do item S09676 do ORSE.</t>
  </si>
  <si>
    <t>Obs: Foi adotado o item 100852 do SINAPI como base e por similaridade ao que se pede em projeto, foi alterado o material da cuba pelo do item S13541 da fonte ORSE.</t>
  </si>
  <si>
    <t>TORNEIRA DE MESA COM FECHAMENTO AUTOMÁTICO, LINHA DECAMATIC ECO, REF.1173.C, DECA OU SIMILAR REF. 100853/SINAPI</t>
  </si>
  <si>
    <t>CUBA DE AÇO INOX 304, DIMENSÕES 34 X 56 X 17CM, PARA INSTALAÇÃO EM BANCADA, C/VÁLVULA CROMADA 3 1/2", REF.94024-207, TRAMONTINA OU SIMILAR REF. 100852/SINAPI</t>
  </si>
  <si>
    <t>MASSA PLASTICA PARA MARMORE/GRANITO</t>
  </si>
  <si>
    <t>00004823</t>
  </si>
  <si>
    <t>Obs: Foi adotado o item 86872 do SINAPI como base e por similaridade ao que se pede em projeto, foram feitas alterações nos materias, mantendo alguns materiais do item S02016 da fonte ORSE, como a Coluna, a Fita veda rosca, o Sifão, o Tanque e a Torneira Metálica.</t>
  </si>
  <si>
    <t>TANQUE DE LOUÇA (DECA REFTQ 03) COM COLUNA (DECA REFCT 25), COM TORNEIRA METÁLICA (DECA LINHA C23 REF 1153), C/ VÁLVULA E CONJUNTO DE FIXAÇÃO OU SIMILARES REF. 86872/SINAPI</t>
  </si>
  <si>
    <t>Obs: Foi adotado o item 100853 do SINAPI como base e por similaridade ao que se pede em projeto, susbtituído o material da torneira pelo do item S12209 do ORSE.</t>
  </si>
  <si>
    <t>TORNEIRA PRESSMATIC BENEFIT DOCOL, OU SIMILAR REF. 100853/SINAPI</t>
  </si>
  <si>
    <t>Obs: Foi adotado o item 100853 do SINAPI como base e por similaridade ao que se pede em projeto, susbtituído o material da torneira pelo do item S03682 do ORSE.</t>
  </si>
  <si>
    <t>Obs: Foi adotado o item 103293 do SINAPI como base e por questão de similaridade ao projeto, foram alterados os serviços e material, acrescentando alguns do prórpio SINAPI e adicionado serviços do item S03224 do ORSE, como o Concreto e a Pintura Verniz</t>
  </si>
  <si>
    <t>BANCO DE CONCRETO PRE-MOLDADO COM PINTURA VERNIZ REF. 103293/SINAPI</t>
  </si>
  <si>
    <t>Obs: Foi adotado o item 103788 do SINAPI como base e por questão de similaridade ao que se pede em projeto, foi alterado o material da luminária para um material de Cotação Externa</t>
  </si>
  <si>
    <t>LUMINÁRIA PLAFON (EMBUTIR) - 48 W REF. 103788/SINAPI</t>
  </si>
  <si>
    <t xml:space="preserve">	REJUNTE CIMENTICIO, QUALQUER COR</t>
  </si>
  <si>
    <t>I13169</t>
  </si>
  <si>
    <t xml:space="preserve">	00034357</t>
  </si>
  <si>
    <t>Obs: Foi adotado o item 98685 do SINAPI como base e por questão de similaridade, alterado o material do rodapá para o material I13169 do ORSE.</t>
  </si>
  <si>
    <t>Rodapé em granito branco Siena 10cm x 2cm</t>
  </si>
  <si>
    <t>RODAPÉ EM GRANITO BRANCO SIENA 10CM X 2CM REF. 98685/SINAPI</t>
  </si>
  <si>
    <t>CAIXA DE PASSAGEM EM ALVENARIA DE TIJOLOS MACIÇOS ESP = 0,12M, DIM. INT. = 0,50 X 0,50 X 0,60 M, COM GRELHA DE FERRO FUNDIDO</t>
  </si>
  <si>
    <t xml:space="preserve">	AUXILIAR DE ELETRICISTA COM ENCARGOS COMPLEMENTARES</t>
  </si>
  <si>
    <t>Obs: Foi adotado o item 93666 do SINAPI como base e por questão de similaridade, foram retirados os materiasi do SINAPI e adotado o material do item S09041 do ORSE.</t>
  </si>
  <si>
    <t>DISPOSITIVO DE PROTEÇÃO CONTRA SURTO DE TENSÃO DPS 40KA - 275V REF. 93666/SINAPI</t>
  </si>
  <si>
    <t>Obs: Foi adotado o item 97603 do SINAPI como base e por questão de similaridade ao que se pede e projeto, foi alterado o material da Câmera pelo do item S13597 do ORSE.</t>
  </si>
  <si>
    <t>CÂMERA DE VÍDEO DIGITAL, BULLET POE, FULL HD 1080P, COM INFRAVERMELHO E ALCANCE DE 30M, IP67, HIKVISION OU SIMILAR. EXCLUSIVE PONTO DE LÓGICA E PONTO DE ENERGIA REF. 97603/SINAPI</t>
  </si>
  <si>
    <t>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t>
  </si>
  <si>
    <t>Obs: Foi adotado o item 94216 do SINAPI como base e por questão de similaridade ao que se pede em projeto, foram retirados os materiais e adicionado o material de Parafuso e o serviço de Telha Galvalume do item 07.03.136 do SP EDUCAÇÃO.</t>
  </si>
  <si>
    <t>POSTE DE AÇO GALVANIZADO CÔNICO CONTÍNO RETO, DIÂMETRO SUPERIOR 60MM, DIÂMETRO DA BASE 115MM, ALTURA TOTAL 5M, CONIPOST REF. SÉRIE 0005/CLASSE 60 DA CONIPOST OU SIMILAR REF. 100622/SINAPI</t>
  </si>
  <si>
    <t>TELHA GALVALUME / ACO GALV SANDUICHE E=50MM (PIR) TRAPEZ H=40MM NAS DUAS FACES E= 0,50MM COM PINT FACES APARENTES REF. 94216/SINAPI</t>
  </si>
  <si>
    <t>I03339</t>
  </si>
  <si>
    <t>Corrimão em aço inox, escovado, d=1 1/2"</t>
  </si>
  <si>
    <t>Obs: Foi adotado o item 99859 do SINAPI como base e por questão de similaridade ao que se pede em projeto, foi substituído o material do corrimão pelo material I03339 do ORSE.</t>
  </si>
  <si>
    <t>CORRIMÃO DUPLO AÇO INOX FORNECIDO E INSTALADO NO GUARDA-CORPO DE VIDRO REF. 99859/SINAPI</t>
  </si>
  <si>
    <t>9.1.3</t>
  </si>
  <si>
    <t>9.1.4</t>
  </si>
  <si>
    <t>9.1.5</t>
  </si>
  <si>
    <t>9.1.6</t>
  </si>
  <si>
    <t>9.1.7</t>
  </si>
  <si>
    <t>9.1.8</t>
  </si>
  <si>
    <t>9.1.9</t>
  </si>
  <si>
    <t>9.1.10</t>
  </si>
  <si>
    <t>9.1.11</t>
  </si>
  <si>
    <t>LIMPEZA DE BACIA SANITÁRIA, BIDÊ OU MICTÓRIO EM LOUÇA, INCLUSIVE METAIS CORRESPONDENTES. AF_04/2019</t>
  </si>
  <si>
    <t>LIMPEZA DE FORRO REMOVÍVEL COM PANO ÚMIDO. AF_04/2019</t>
  </si>
  <si>
    <t>LIMPEZA DE LAVATÓRIO DE LOUÇA COM BANCADA DE PEDRA, INCLUSIVE METAIS CORRESPONDENTES. AF_04/2019</t>
  </si>
  <si>
    <t>LIMPEZA DE PIA INOX COM BANCADA DE PEDRA, INCLUSIVE METAIS CORRESPONDENTES. AF_04/2019</t>
  </si>
  <si>
    <t>LIMPEZA DE JANELA DE VIDRO COM CAIXILHO EM AÇO/ALUMÍNIO/PVC. AF_04/2019</t>
  </si>
  <si>
    <t>LIMPEZA DE PISO CERÂMICO OU PORCELANATO COM PANO ÚMIDO. AF_04/2019</t>
  </si>
  <si>
    <t>LIMPEZA DE PORTA DE MADEIRA. AF_04/2019</t>
  </si>
  <si>
    <t>LIMPEZA DE PORTA DE VIDRO COM CAIXILHO EM AÇO/ ALUMÍNIO/ PVC. AF_04/2019</t>
  </si>
  <si>
    <t>LIMPEZA DE REVESTIMENTO CERÂMICO EM PAREDE COM PANO ÚMIDO AF_04/2019</t>
  </si>
  <si>
    <t>LIMPEZA DE TANQUE OU LAVATÓRIO DE LOUÇA ISOLADO, INCLUSIVE METAIS CORRESPONDENTES. AF_04/2019</t>
  </si>
  <si>
    <t>LIMPEZA DE SUPERFÍCIE COM JATO DE ALTA PRESSÃO. AF_04/2019</t>
  </si>
  <si>
    <t>Obs: Foi retirado apenas as armaduras do item, por já estar contemplado separadamente</t>
  </si>
  <si>
    <t>Obs: Foi adotado o item 98302 do SINAPI como base e por questão de similaridade com o que se pede em projeto, foi alterado o material para um de Cotação Externa</t>
  </si>
  <si>
    <t>Obs: Foi adotado o item 38.07.300 do SP Obras como base e por questão de similaridade com o que se pede em projeto e ajuste para a fonte SINAPI, foram alterados o Material e a Mão de Obra</t>
  </si>
  <si>
    <t>EXTINTOR PORTATIL DE PO QUIMICO ABC CAPACIDADE 6 KG REF. 101909/SINAPI</t>
  </si>
  <si>
    <t>Obs: Foi adotado o item 104409 do SINAPI como base e por questão de similaridade ao que se pede em projeto, foi alterado o material do Eletroduto para o do item 38.06.120 do SP Obras</t>
  </si>
  <si>
    <t>Obs: Foi adotado o item 101909 do SINAPI como base e por questão de similaridade ao que se pede em projeto, foi alterado o material do Extintor para o do item 08.08.051 do SP EDUCAÇÃO</t>
  </si>
  <si>
    <t>00001577</t>
  </si>
  <si>
    <t>TERMINAL A COMPRESSAO EM COBRE ESTANHADO PARA CABO 35 MM2, 1 FURO E 1 COMPRESSAO, PARA PARAFUSO DE FIXACAO M8</t>
  </si>
  <si>
    <t>PERFILADO PERFURADO SIMPLES 38 X 38 MM, CHAPA 22</t>
  </si>
  <si>
    <t>00039028</t>
  </si>
  <si>
    <t>Obs: Foi adotado o item 39.10.130 do SP Obras como base e por questão de similaridade com o que se pede em projeto e ajuste para a fonte SINAPI, foram alterados o Material e a Mão de Obra</t>
  </si>
  <si>
    <t>Obs: Foi adotado o item 39.10.200 do SP Obras como base e por questão de similaridade com o que se pede em projeto e ajuste para a fonte SINAPI, foram alterados o Material e a Mão de Obra</t>
  </si>
  <si>
    <t>Obs: Foi adotado o item 39.10.120 do SP Obras como base e por questão de similaridade com o que se pede em projeto e ajuste para a fonte SINAPI, foram alterados o Material e a Mão de Obra</t>
  </si>
  <si>
    <t>00001579</t>
  </si>
  <si>
    <t>TERMINAL A COMPRESSAO EM COBRE ESTANHADO PARA CABO 70 MM2, 1 FURO E 1 COMPRESSAO, PARA PARAFUSO DE FIXACAO M10</t>
  </si>
  <si>
    <t>Obs: Foi adotado o item 42.05.440 do SP Obras, pois o item do SINAPI similar está com o valor zerado</t>
  </si>
  <si>
    <t>Obs: Será utilizado o item 37.06.014 do SP Obras para melhor atender as dimensões de projeto, visto que não existe nenhum item na fonte SINAPI que contemple o que foi projetado.</t>
  </si>
  <si>
    <t>Obs: Foi adotado o item 104409 do SINAPI como base e por questão de similaridade ao que se pede em projeto, foi alterado o material do Eletroduto para o do item 38.05.100 do SP Obras</t>
  </si>
  <si>
    <t xml:space="preserve">	FIXAÇÃO DE TUBOS HORIZONTAIS DE PVC ÁGUA, PVC ESGOTO, PVC ÁGUA PLUVIAL, CPVC, PPR, COBRE OU AÇO, DIÂMETROS MENORES OU IGUAIS A 40 MM, COM ABRAÇADEIRA METÁLICA RÍGIDA TIPO U PERFIL 1 1/4", FIXADA EM PERFILADO EM LAJE. AF_09/2023_PS</t>
  </si>
  <si>
    <t>00011950</t>
  </si>
  <si>
    <t>BUCHA DE NYLON SEM ABA S6, COM PARAFUSO DE 4,20 X 40 MM EM ACO ZINCADO COM ROSCA SOBERBA, CABECA CHATA E FENDA PHILLIPS</t>
  </si>
  <si>
    <t>Obs: Foi adotado o item 95784 do SINAPI como base e por questão de similaridade, foi alterado o material do condulete para o do item 40.06.120 do SP Obras.</t>
  </si>
  <si>
    <t>6.1.2.10</t>
  </si>
  <si>
    <t>6.1.2.11</t>
  </si>
  <si>
    <t>6.1.2.12</t>
  </si>
  <si>
    <t>CONDULETE DE ALUMÍNIO, TIPO C, PARA ELETRODUTO DE AÇO GALVANIZADO DN 50 MM (2''), APARENTE - FORNECIMENTO E INSTALAÇÃO. AF_10/2022 ref. 95784/SINAPI</t>
  </si>
  <si>
    <t>CONDULETE DE ALUMÍNIO, TIPO T, PARA ELETRODUTO DE AÇO GALVANIZADO DN 50 MM (2''), APARENTE - FORNECIMENTO E INSTALAÇÃO. AF_10/2022 ref. 95797/SINAPI</t>
  </si>
  <si>
    <t>Obs: Foi adotado o item 95797 do SINAPI como base e por questão de similaridade, foi alterado o material do condulete para o do item 40.06.120 do SP Obras.</t>
  </si>
  <si>
    <t>CONDULETE DE ALUMÍNIO, TIPO C, PARA ELETRODUTO DE AÇO GALVANIZADO DN 25 MM (1''), APARENTE - FORNECIMENTO E INSTALAÇÃO. AF_10/2022</t>
  </si>
  <si>
    <t>CONDULETE DE ALUMÍNIO, TIPO LR, PARA ELETRODUTO DE AÇO GALVANIZADO DN 25 MM (1''), APARENTE - FORNECIMENTO E INSTALAÇÃO. AF_10/2022</t>
  </si>
  <si>
    <t>CONDULETE DE ALUMÍNIO, TIPO T, PARA ELETRODUTO DE AÇO GALVANIZADO DN 25 MM (1''), APARENTE - FORNECIMENTO E INSTALAÇÃO. AF_10/2022</t>
  </si>
  <si>
    <t>TOMADA - 01</t>
  </si>
  <si>
    <t>TOMADA - 02</t>
  </si>
  <si>
    <t>TOMADA - 03</t>
  </si>
  <si>
    <t>(17) 2139-5000</t>
  </si>
  <si>
    <t>48.539.548/0001-30</t>
  </si>
  <si>
    <t>AGROMETAL</t>
  </si>
  <si>
    <t>Obs: Foi adotado o item S09422 do ORSE como base e por questão de similaridade ao que se pede em projeto, foi alterado a Mão de Obra para o SINAPI e o material para Cotação Externa</t>
  </si>
  <si>
    <t>www.lojaagrometal.com.br</t>
  </si>
  <si>
    <t>TOMADA STECK DE SOBREPOR - 125A 3P+T</t>
  </si>
  <si>
    <t>TOMADA STECK DE SOBREPOR - 125A 3P+T REF. S09422/ORSE</t>
  </si>
  <si>
    <t>PISOS DE CONCRETO</t>
  </si>
  <si>
    <t>PISO INTERTRAVADO</t>
  </si>
  <si>
    <t>GUIA, SINALIZAÇÃO E ACESSIBILIDADE</t>
  </si>
  <si>
    <t>4.4.1.1.1</t>
  </si>
  <si>
    <t>4.4.1.1.2</t>
  </si>
  <si>
    <t>4.4.1.1.3</t>
  </si>
  <si>
    <t>4.4.1.2.1</t>
  </si>
  <si>
    <t>4.4.1.2.2</t>
  </si>
  <si>
    <t>4.4.1.2.3</t>
  </si>
  <si>
    <t>4.4.1.3.1</t>
  </si>
  <si>
    <t>4.4.1.3.2</t>
  </si>
  <si>
    <t>4.4.1.3.3</t>
  </si>
  <si>
    <t>4.1.4.5</t>
  </si>
  <si>
    <t>CHAPA XADREX 1/4" REF. S00226/ORSE</t>
  </si>
  <si>
    <t>I01337S</t>
  </si>
  <si>
    <t>Chapa de aco xadrez para pisos, e = 1/4" (6,30 mm) 54,53 kg/m2</t>
  </si>
  <si>
    <t>ELETRODUTO GALVANIZADO A QUENTE CONFORME NBR5598 - 2´ COM ACESSÓRIOS REF. 104409/SINAPI</t>
  </si>
  <si>
    <t>ELETRODUTO GALVANIZADO A QUENTE CONFORME NBR6323 - 1 1/2´ COM ACESSÓRIOS REF. 104409/SINAPI</t>
  </si>
  <si>
    <t>PATCH PANEL 24 PORTAS CAT.6A - FORNECIMENTO E INSTALAÇÃO</t>
  </si>
  <si>
    <t>CURVA S DA OBRA</t>
  </si>
  <si>
    <t>Obs: Foi adotado o item 86904 do SINAPI como base e por similaridade ao que se pede em projeto, foram feitas alterações nos materias, mantendo alguns materiais do item S13655 da fonte ORSE, como o Lavatório e Válvla de escoamento, além do acréscimo de outros materiais da fonte SINAPI</t>
  </si>
  <si>
    <t>4.1.6.1.25</t>
  </si>
  <si>
    <t>CCU 126</t>
  </si>
  <si>
    <t>Lavatório louça suspenso 39,5 x 29,5 cm , linha Izy, ref. L.15.17, DECA ou similar</t>
  </si>
  <si>
    <t>I14464</t>
  </si>
  <si>
    <t>CCU 128</t>
  </si>
  <si>
    <t>Obs: Foi adotado o item 100852 do SINAPI como base e por similaridade ao que se pede em projeto, foram feitas alterações nos materias, mantendo alguns materiais da fonte ORSE, como a Cuba e a Fita veda rosca, além do acréscimo de outros materiasi da fonte SINAPI</t>
  </si>
  <si>
    <t>I03573</t>
  </si>
  <si>
    <t>Cuba de semi-encaixe Deca ref L-830, quadrada, com mesa, 40x40 cm, branco ou similar</t>
  </si>
  <si>
    <t>CAESB / DF</t>
  </si>
  <si>
    <t>ORSE / SE</t>
  </si>
  <si>
    <t>SINAPI / DF</t>
  </si>
  <si>
    <t>SP Educação / SP</t>
  </si>
  <si>
    <t>SP Obras / SP</t>
  </si>
  <si>
    <t>ARQUIVOS DA PLANILHA</t>
  </si>
  <si>
    <t>CAPA</t>
  </si>
  <si>
    <t>RESUMO GLOBAL</t>
  </si>
  <si>
    <t>CURVA ABC DE EQUIPAMENTOS</t>
  </si>
  <si>
    <t>HISTOGRAMA</t>
  </si>
  <si>
    <t>CURVA S</t>
  </si>
  <si>
    <t>RELATÓRIO ANALÍTICO - ORIGINAIS</t>
  </si>
  <si>
    <t>RELATÓRIO ANALÍTICO - MODIFICADO</t>
  </si>
  <si>
    <t>COTAÇÃO MERCADO</t>
  </si>
  <si>
    <t>Foi retirado o insumo/mão de obra de Engenheiro Civil da composição do item, pois o mesmo já está sendo considerado na etapa de Serviços Técnicos desta planilha</t>
  </si>
  <si>
    <t>H.04.000.031390</t>
  </si>
  <si>
    <t>Tampa para alçapão em chapa de aço galvanizada de 14, com porta cadeado</t>
  </si>
  <si>
    <t>ESCAVAÇÃO MANUAL DE VALA. AF_09/2024</t>
  </si>
  <si>
    <t>00038124</t>
  </si>
  <si>
    <t>ESPUMA EXPANSIVA DE POLIURETANO, APLICACAO MANUAL - 500 ML</t>
  </si>
  <si>
    <t>I09092</t>
  </si>
  <si>
    <t>Mapa Tátil em acrílico 70 x 50cm</t>
  </si>
  <si>
    <t>I08103</t>
  </si>
  <si>
    <t>Suporte para Mapa Tátil h=1,00 ref.CSMPF000 em chapa galv. revestida com Alucobond</t>
  </si>
  <si>
    <t>00002560</t>
  </si>
  <si>
    <t>CONDULETE DE ALUMINIO TIPO C, PARA ELETRODUTO ROSCAVEL DE 1", COM TAMPA CEGA</t>
  </si>
  <si>
    <t>00002570</t>
  </si>
  <si>
    <t>CONDULETE DE ALUMINIO TIPO LR, PARA ELETRODUTO ROSCAVEL DE 1", COM TAMPA CEGA</t>
  </si>
  <si>
    <t>00002586</t>
  </si>
  <si>
    <t>CONDULETE DE ALUMINIO TIPO T, PARA ELETRODUTO ROSCAVEL DE 1", COM TAMPA CEGA</t>
  </si>
  <si>
    <t>00044330</t>
  </si>
  <si>
    <t>DESINFETANTE PRONTO USO</t>
  </si>
  <si>
    <t>00044329</t>
  </si>
  <si>
    <t>DETERGENTE NEUTRO USO GERAL, CONCENTRADO</t>
  </si>
  <si>
    <t>00044331</t>
  </si>
  <si>
    <t>LIMPA VIDROS COM PULVERIZADOR</t>
  </si>
  <si>
    <t>99833</t>
  </si>
  <si>
    <t>LAVADORA DE ALTA PRESSAO (LAVA-JATO) PARA AGUA FRIA, PRESSAO DE OPERACAO ENTRE 1400 E 1900 LIB/POL2, VAZAO MAXIMA ENTRE 400 E 700 L/H - CHP DIURNO. AF_05/2023</t>
  </si>
  <si>
    <t>00010527</t>
  </si>
  <si>
    <t>4.2.7</t>
  </si>
  <si>
    <t>MAPA TÁTIL EM ACRÍLICO MEDINDO 70 X 50CM, COM SUPORTE EM CHAPA GALVANIZADA REVESTIDA COM ALUCOBOND H=1,00M REF. S09691</t>
  </si>
  <si>
    <t>CCU 106</t>
  </si>
  <si>
    <t>7.1.2.3</t>
  </si>
  <si>
    <t>3.2.1.5</t>
  </si>
  <si>
    <t>ALÇAPÃO/TAMPA EM CHAPA DE FERRO COM PORTAS CADEADE REF. 24.03.100/SP OBRAS</t>
  </si>
  <si>
    <t>4.3.27</t>
  </si>
  <si>
    <t>FORRAÇÃO GRAMA-AMENDOIM</t>
  </si>
  <si>
    <t>CCU 137</t>
  </si>
  <si>
    <t>3.84.78</t>
  </si>
  <si>
    <t>SP EDUCAÇÃO</t>
  </si>
  <si>
    <t>PLANTIO DE GRAMA AMENDOIM, EM PLACAS. AF_07/2024 REF. 103946</t>
  </si>
  <si>
    <t>Obs: Foi adotado o item 103946 do SINAPI como base e por questão de similaridade, foi alterado o material da grama para o material 3.84.78 do SP EDUCAÇÃO.</t>
  </si>
  <si>
    <t>PLANTIO DE ÁRVORE ORNAMENTAL OITI COM ALTURA DE MUDA MAIOR QUE 2,00 M E MENOR OU IGUAL A 4,00 M . AF_07/2024</t>
  </si>
  <si>
    <t>Obs: Foi adotado o item 100675 do SINAPI como base e por questão de similaridade com o que se pede em projeto, foram adicionados os materiais de Maçaneta e Porta, feitos por Cotação Externa</t>
  </si>
  <si>
    <t>4.1.5.1.2.6</t>
  </si>
  <si>
    <t>4.1.5.1.2.7</t>
  </si>
  <si>
    <t>CCU 006</t>
  </si>
  <si>
    <t>CCU 007</t>
  </si>
  <si>
    <t>Obs: Foi adotado o item 87263 do SINAPI como base por similaridade ao que pede em projeto e alterado apenas o material pelo do item 18.08.170 do SP Obras</t>
  </si>
  <si>
    <t>Obs: Foi adotado o item 87261 do SINAPI como base por similaridade ao que pede em projeto e alterado apenas o material pelo do item 18.08.170 do SP Obras</t>
  </si>
  <si>
    <t>CURVA ABC - EQUIPAMENTOS</t>
  </si>
  <si>
    <t>EXECUÇÃO DE PISO DE CONCRETO COM CONCRETO MOLDADO IN LOCO, USINADO, ACABAMENTO CONVENCIONAL, ESPESSURA 6 CM, ARMADO. AF_08/2022</t>
  </si>
  <si>
    <t>REBOCO, EM ARGAMASSA TRAÇO 1:2:8 PREPARO MANUAL, APLICADA MANUALMENTE EM PAREDES EXTERNAS DE AMBIENTES COM ÁREA MAIOR QUE 10M², E = 10MM, COM TALISCAS. AF_03/2024</t>
  </si>
  <si>
    <t>PINTURA LÁTEX ACRÍLICA PREMIUM, APLICAÇÃO MANUAL EM PAREDES, DUAS DEMÃOS. AF_04/2023 (INTERNO)</t>
  </si>
  <si>
    <t>CHAPISCO APLICADO EM ALVENARIAS E ESTRUTURAS DE CONCRETO, COM COLHER DE PEDREIRO. ARGAMASSA TRAÇO 1:3 COM PREPARO MANUAL. AF_10/2022 (EXTERNO)</t>
  </si>
  <si>
    <t>FUNDO SELADOR ACRÍLICO, APLICAÇÃO MANUAL EM PAREDE, UMA DEMÃO. AF_04/2023 (INTERNO)</t>
  </si>
  <si>
    <t>4.1.5.2.1.10</t>
  </si>
  <si>
    <t>4.1.5.2.1.11</t>
  </si>
  <si>
    <t>4.1.5.2.1.12</t>
  </si>
  <si>
    <t>CCU 093</t>
  </si>
  <si>
    <t>CCU 104</t>
  </si>
  <si>
    <t>CURVA ABC - SERVIÇOS</t>
  </si>
  <si>
    <t>00038190</t>
  </si>
  <si>
    <t>DUCHA / CHUVEIRO METALICO, DE PAREDE, ARTICULAVEL, COM DESVIADOR E DUCHA MANUAL</t>
  </si>
  <si>
    <t>CESTO COLETOR RESÍDUO (LIXEIRA) METÁLICO DUPLO QUADRADO PADRÃO SLU MQD REF. 18.76.04/SUDECAP</t>
  </si>
  <si>
    <t>RELATÓRIO ANALÍTICO MODIFICADO - FONTE SUDECAP</t>
  </si>
  <si>
    <t>83.40.12</t>
  </si>
  <si>
    <t>CESTO COLETOR DE RESÍDUO LEVE MQD</t>
  </si>
  <si>
    <t>SUDECAP</t>
  </si>
  <si>
    <t>SUDECAP / MG</t>
  </si>
  <si>
    <t>Obs: Foi adotado o item 100860 do SINAPI como base e por questão de similaridade com o que se pede em projeto, foi alterado o material para o material 00038190 do SINAPI</t>
  </si>
  <si>
    <t>4.4.1.2.4</t>
  </si>
  <si>
    <t>MÃO DE OBRA COT 01.012</t>
  </si>
  <si>
    <t>MÃO DE OBRA COT 01.003</t>
  </si>
  <si>
    <t>MÃO DE OBRA COT 01.011</t>
  </si>
  <si>
    <t>00039498</t>
  </si>
  <si>
    <t>00039499</t>
  </si>
  <si>
    <t>CCU 041</t>
  </si>
  <si>
    <t>FECHADURA EM INOX LIXADO PARA PORTA DE BANHEIRO REF. ARCHITECT INOX 892, LA FONTE OU EQUIVALENTE - FORNECIMENTO E INSTALAÇÃO. REF. 91306/SINAPI</t>
  </si>
  <si>
    <t>Obs: Foi adotado o item 91306 do SINAPI e alterado o material para uma cotação externa para melhor atender ao projeto.</t>
  </si>
  <si>
    <t>CABO DE COBRE, FLEXIVEL, CLASSE 4 OU 5, ISOLACAO EM PVC/A, ANTICHAMA BWF-B, 1 CONDUTOR, 450/750 V, SECAO NOMINAL 25 MM2</t>
  </si>
  <si>
    <t>ESTACA HÉLICE CONTÍNUA, DIÂMETRO DE 40 CM, INCLUSO CONCRETO FCK=30MPA, SEM ARMADURA. REF. 100652/SINAPI</t>
  </si>
  <si>
    <t>CONTRAPISO (REGULARIZAÇÃO) EM ARGAMASSA PRONTA, PREPARO MANUAL, APLICADO EM ÁREAS SECAS SOBRE LAJE, ADERIDO, ACABAMENTO NÃO REFORÇADO, ESPESSURA 4CM. AF_07/2021</t>
  </si>
  <si>
    <t>CONCRETO FCK = 25MPA, TRAÇO 1:2,3:2,7 (EM MASSA SECA DE CIMENTO/ AREIA MÉDIA/ BRITA 1) - PREPARO MECÂNICO COM BETONEIRA 400 L. AF_05/2021</t>
  </si>
  <si>
    <t>BACIA PARA CAIXA ACOPLADA VOGUE PLUS BRANCA P.505.17, DECA OU SIMILAR</t>
  </si>
  <si>
    <t>PICO SOLAR</t>
  </si>
  <si>
    <t>www.picosolar.com.br</t>
  </si>
  <si>
    <t>39.655.874/0001-12</t>
  </si>
  <si>
    <t>(61) 3256-2626</t>
  </si>
  <si>
    <t>FIXAÇÃO (ENCUNHAMENTO) DE ALVENARIA DE VEDAÇÃO COM ARGAMASSA APLICADA COM BISNAGA. AF_03/2024</t>
  </si>
  <si>
    <t>00037587</t>
  </si>
  <si>
    <t>00036215</t>
  </si>
  <si>
    <t>BANCO ARTICULADO PARA BANHO, EM ACO INOX POLIDO, 70* CM X 45* CM</t>
  </si>
  <si>
    <t>4.1.5.2.2.4</t>
  </si>
  <si>
    <t>3.2.1.6</t>
  </si>
  <si>
    <t>CCU 009</t>
  </si>
  <si>
    <t>ESCADA TIPO MARINHEIRO EM TUBO ACO GALVANIZADO 1 1/2", SEM GUARDA-CORPO, FIXADA COM CHUMBADOR MECÂNICO. AF_11/2020</t>
  </si>
  <si>
    <t>00011975</t>
  </si>
  <si>
    <t>H.04.000.031375</t>
  </si>
  <si>
    <t>CHUMBADOR DE ACO ZINCADO, DIAMETRO 5/8", COMPRIMENTO 6", COM PORCA</t>
  </si>
  <si>
    <t>Escada marinheiro galvanizada</t>
  </si>
  <si>
    <t>Obs: Foi adotado o item 102081 do SINAPI como base e por similaridade ao que se pede em projeto, susbtituído o material da Escada pelo material H.04.000.031375 do SP OBRAS</t>
  </si>
  <si>
    <t>22,23% (Sem Desoneração)</t>
  </si>
  <si>
    <t>13,51% (Sem Desoneração)</t>
  </si>
  <si>
    <t>CCU 050</t>
  </si>
  <si>
    <t>FECHADURA EM INOX LIXADO PARA PORTA INTERNA REF. ARCHITECT INOX 892, LA FONTE OU EQUIVALENTE - FORNECIMENTO E INSTALAÇÃO. REF. 91306/SINAPI</t>
  </si>
  <si>
    <t>COT 01.016</t>
  </si>
  <si>
    <t>FECHADURA EM INOX LIXADO PARA PORTA DE BANHEIRO REF. ARCHITECT INOX 892, LA FONTE OU EQUIVALENTE</t>
  </si>
  <si>
    <t>OBRAMAX</t>
  </si>
  <si>
    <t>COPAFER</t>
  </si>
  <si>
    <t>www.obramax.com.br</t>
  </si>
  <si>
    <t>www.copafer.com.br</t>
  </si>
  <si>
    <t>23.476.033/0001-08</t>
  </si>
  <si>
    <t>55.728.224/0001-06</t>
  </si>
  <si>
    <t>3003-3400</t>
  </si>
  <si>
    <t>(11) 4996-6000</t>
  </si>
  <si>
    <t>MAC.WC - 01</t>
  </si>
  <si>
    <t>MAC.WC - 02</t>
  </si>
  <si>
    <t>MAC.WC - 03</t>
  </si>
  <si>
    <t>COT 01.017</t>
  </si>
  <si>
    <t>FECHADURA EM INOX LIXADO PARA PORTA INTERNA REF. ARCHITECT INOX 892, LA FONTE OU EQUIVALENTE</t>
  </si>
  <si>
    <t>MAC.INT - 01</t>
  </si>
  <si>
    <t>MAC.INT - 02</t>
  </si>
  <si>
    <t>MAC.INT - 03</t>
  </si>
  <si>
    <t>CCU 011</t>
  </si>
  <si>
    <t>TROCADOR DE FRALDAS ARTICULADO CI-100 SMART AIR OU EQUIVALENTE - FORNECIMENTO E INSTALAÇÃO REF. 100875/SINAPI</t>
  </si>
  <si>
    <t>Obs: Foi adotado o item 100875 do SINAPI como base e por similaridade ao que se pede em projeto, susbtituído o material do trocador pelo da cotação de mercado</t>
  </si>
  <si>
    <t>CCU 049</t>
  </si>
  <si>
    <t>PAINEL RIPADO EM MDF - FIXAÇÃO EM PORTAS E PAREDES - FORNECIMENTO E INSTALAÇÃO REF. 23.08.110/SP OBRAS</t>
  </si>
  <si>
    <t xml:space="preserve">	B.09.000.039075</t>
  </si>
  <si>
    <t>Cola para chapas melamínicas</t>
  </si>
  <si>
    <t>TUBO PVC, SÉRIE R, ÁGUA PLUVIAL, DN 100 MM, FORNECIDO E INSTALADO</t>
  </si>
  <si>
    <t>TUBO PVC, SERIE NORMAL, ESGOTO PREDIAL, DN 150 MM, FORNECIDO E INSTALADO</t>
  </si>
  <si>
    <t>00009841</t>
  </si>
  <si>
    <t>TUBO PVC, SERIE R, DN 100 MM, PARA ESGOTO OU AGUAS PLUVIAIS PREDIAL (NBR 5688)</t>
  </si>
  <si>
    <t>00020065</t>
  </si>
  <si>
    <t>REGISTRO DE GAVETA BRUTO, LATÃO, ROSCÁVEL, 1", COM ACABAMENTO E CANOPLA CROMADOS - FORNECIMENTO E INSTALAÇÃO. AF_08/2021</t>
  </si>
  <si>
    <t>00006013</t>
  </si>
  <si>
    <t>CCU 053</t>
  </si>
  <si>
    <t>I06698</t>
  </si>
  <si>
    <t>Técnico em informática - 40h - Rev 02</t>
  </si>
  <si>
    <t>CCU 057</t>
  </si>
  <si>
    <t>GA-01 GUIA LEVE OU SEPARADOR DE PISOS REF. 16.02.027/SP EDUCAÇÃO</t>
  </si>
  <si>
    <t>3.65.15</t>
  </si>
  <si>
    <t xml:space="preserve">	GUIA LEVE PRE-MOLDADA P/ JARDIM 5,0X23X100CM</t>
  </si>
  <si>
    <t>BDI-EDIFICAÇÕES - SEM DESON</t>
  </si>
  <si>
    <t>BDI-EQUIPAMENTO - SEM DESON</t>
  </si>
  <si>
    <t>3.1.1.6</t>
  </si>
  <si>
    <t>3.1.1.7</t>
  </si>
  <si>
    <t>MONTAGEM DE ARMADURA TRANVERSAL DE ESTACAS DE SEÇÃO RETANGULAR, DIÂMETRO = 5,0 MM. AF_09/2021_PS</t>
  </si>
  <si>
    <t>MONTAGEM DE ARMADURA DE ESTACAS, DIÂMETRO = 10,0 MM. AF_09/2021_PS</t>
  </si>
  <si>
    <t>CCU 026</t>
  </si>
  <si>
    <t>PLACA DE IDENTIFICAÇÃO EM PVC COM TEXTO/DESENHOS EM VINIL, 2 MM, PARA VISOS E PROIBIÇÕES (VARIADAS) REF. 97.02.036/SP OBRAS</t>
  </si>
  <si>
    <t>CAIXA ENTERRADA HIDRÁULICA RETANGULAR EM ALVENARIA COM TIJOLOS CERÂMICOS MACIÇOS, DIMENSÕES INTERNAS: 0,6X0,6X0,6 M PARA REDE DE DRENAGEM. AF_12/2020</t>
  </si>
  <si>
    <t>88628</t>
  </si>
  <si>
    <t>ARGAMASSA TRAÇO 1:3 (EM VOLUME DE CIMENTO E AREIA MÉDIA ÚMIDA), PREPARO MECÂNICO COM BETONEIRA 400 L. AF_08/2019</t>
  </si>
  <si>
    <t>CCU 166</t>
  </si>
  <si>
    <t>TELA DE ACO SOLDADA GALVANIZADA/ZINCADA PARA ALVENARIA, FIO D = *1,24 MM, MALHA 25 X 25 MM (LIGAÇÃO ENTRE ALVENARIA E PILAR METÁLICO) REF. 32.20.060/SP OBRAS</t>
  </si>
  <si>
    <t>4.1.5.2.2.5</t>
  </si>
  <si>
    <t>00037411</t>
  </si>
  <si>
    <t>TELA DE ACO SOLDADA GALVANIZADA/ZINCADA PARA ALVENARIA, FIO D = *1,24 MM, MALHA 25 X 25 MM</t>
  </si>
  <si>
    <t>CCU 100</t>
  </si>
  <si>
    <t>TELA DE ACO SOLDADA GALVANIZADA/ZINCADA PARA ALVENARIA, FIO D = *1,24 MM, MALHA 25 X 25 MM (LIGAÇÃO ENTRE ALVENARIA, PILARES  E VIGAS METÁLICOS) REF. 32.20.060/SP OBRAS</t>
  </si>
  <si>
    <t>LASTRO COM MATERIAL GRANULAR (PEDRA BRITADA N.1 E PEDRA BRITADA N.2), APLICADO EM PISOS OU LAJES SOBRE SOLO, ESPESSURA DE *8 CM*. AF_01/2024</t>
  </si>
  <si>
    <t>RASGO LINEAR MANUAL EM ALVENARIA, PARA RAMAIS/ DISTRIBUIÇÃO DE INSTALAÇÕES HIDRÁULICAS, DIÂMETROS MAIORES QUE 40 MM E MENORES OU IGUAIS A 150 MM. AF_09/2023</t>
  </si>
  <si>
    <t>RASGO LINEAR MANUAL EM ALVENARIA, PARA RAMAIS/ DISTRIBUIÇÃO DE INSTALAÇÕES HIDRÁULICAS, DIÂMETROS MENORES OU IGUAIS A 40 MM. AF_09/2023</t>
  </si>
  <si>
    <t>CHUMBAMENTO LINEAR EM ALVENARIA PARA RAMAIS/DISTRIBUIÇÃO DE INSTALAÇÕES HIDRÁULICAS COM DIÂMETROS MAIORES QUE 40 MM E MENORES OU IGUAIS A 150 MM. AF_09/2023</t>
  </si>
  <si>
    <t>CHUMBAMENTO LINEAR EM ALVENARIA PARA RAMAIS/DISTRIBUIÇÃO DE INSTALAÇÕES HIDRÁULICAS COM DIÂMETROS MENORES OU IGUAIS A 40 MM. AF_09/2023</t>
  </si>
  <si>
    <t>CCU 059</t>
  </si>
  <si>
    <t>CAIXA D´ÁGUA EM POLIETILENO, 100 LITROS - FORNECIMENTO E INSTALAÇÃO. AF_06/2021 REF. 102605/SINAPI</t>
  </si>
  <si>
    <t xml:space="preserve">Obs: O item usado como base para a precificação da estaca escavada do arrimo foi um item do SINAPI, que se trata de um item para estacas escavadas, porém o SINAPI trabalha apenas com estacas de 40 cm de diametro. Para que o </t>
  </si>
  <si>
    <t>valor do item esteja coerente com o valor de uma estaca com o diâmetro solicitado em projeto (30cm), foram feitos alguns cálculos para ajustar o coeficiente do item</t>
  </si>
  <si>
    <t>Obs: Foi adotado o item 102605 do SINAPI como base por similaridade ao que pede em projeto e alterado apenas o material por uma cotação própria</t>
  </si>
  <si>
    <t>COT 01.018</t>
  </si>
  <si>
    <t xml:space="preserve">CAIXA D'ÁGUA EM POLIETILENO 100L - FORTLEV OU EQUIVALENTE </t>
  </si>
  <si>
    <t>LOJAS 2001</t>
  </si>
  <si>
    <t>CONSTRUBEL</t>
  </si>
  <si>
    <t>HIDRALMARCHI</t>
  </si>
  <si>
    <t>www.lojas2001.com.br</t>
  </si>
  <si>
    <t>www.construbel.com.br</t>
  </si>
  <si>
    <t>www.hidralmarchi.com.br</t>
  </si>
  <si>
    <t>70.220.389/0001-66</t>
  </si>
  <si>
    <t>08.798.420/0001-77</t>
  </si>
  <si>
    <t>02.926.784/0001-09</t>
  </si>
  <si>
    <t>(81) 3622-3800</t>
  </si>
  <si>
    <t>(31) 3817-8888</t>
  </si>
  <si>
    <t>(19) 3841-6090</t>
  </si>
  <si>
    <t>CX - 01</t>
  </si>
  <si>
    <t>CX - 02</t>
  </si>
  <si>
    <t>CX - 03</t>
  </si>
  <si>
    <t>CINTA DE AMARRAÇÃO DE ALVENARIA MOLDADA IN LOCO COM UTILIZAÇÃO DE BLOCOS CANALETA, ESPESSURA DE *10* CM. AF_03/2024</t>
  </si>
  <si>
    <t>CINTA DE AMARRAÇÃO DE ALVENARIA MOLDADA IN LOCO COM UTILIZAÇÃO DE BLOCOS CANALETA, ESPESSURA DE *15* CM. AF_03/2024</t>
  </si>
  <si>
    <t>ARMAÇÃO DE CINTA DE ALVENARIA ESTRUTURAL; DIÂMETRO DE 10,0 MM. AF_09/2021</t>
  </si>
  <si>
    <t>00000659</t>
  </si>
  <si>
    <t>CANALETA DE CONCRETO 14 X 19 X 19 CM (CLASSE C - NBR 6136)</t>
  </si>
  <si>
    <t>3.4.1.4.5</t>
  </si>
  <si>
    <t>ARMAÇÃO DE BLOCO, ESTACA E VIGA BALDRAME UTILIZANDO AÇO CA-50 DE 12,5 MM - MONTAGEM. AF_01/2024</t>
  </si>
  <si>
    <t>RASGO LINEAR MANUAL EM ALVENARIA, PARA ELETRODUTOS, DIÂMETROS MAIORES QUE 40 MM E MENORES OU IGUAIS A 75 MM. AF_09/2023</t>
  </si>
  <si>
    <t>RASGO LINEAR MANUAL EM ALVENARIA, PARA ELETRODUTOS, DIÂMETROS MENORES OU IGUAIS A 40 MM. AF_09/2023</t>
  </si>
  <si>
    <t>CHUMBAMENTO LINEAR EM ALVENARIA PARA ELETRODUTOS COM DIÂMETROS MAIORES QUE 40 MM E MENORES OU IGUAIS A 75 MM. AF_09/2023</t>
  </si>
  <si>
    <t>CHUMBAMENTO LINEAR EM ALVENARIA PARA ELETRODUTOS COM DIÂMETROS MENORES OU IGUAIS A 40 MM. AF_09/2023</t>
  </si>
  <si>
    <t>3.4.3.10</t>
  </si>
  <si>
    <t>GRAUTEAMENTO VERTICAL EM ALVENARIA ESTRUTURAL, A CADA 1,80 M. AF_09/2021</t>
  </si>
  <si>
    <t>GRAUTE FGK=20 MPA; TRAÇO 1:0,04:1,8:2,1 (EM MASSA SECA DE CIMENTO/ CAL/ AREIA GROSSA/ BRITA 0) - PREPARO MECÂNICO COM BETONEIRA 400 L. AF_09/2021</t>
  </si>
  <si>
    <t>6.1.4.15</t>
  </si>
  <si>
    <t>CCU 063</t>
  </si>
  <si>
    <t>Luminária tipo balizador para ambiente aberto, corpo em alumínio pintado, difusor em vidro plano fosco, ref. F-5023/M da Projeto ou similar</t>
  </si>
  <si>
    <t>EXECUÇÃO DE PASSEIO (CALÇADA) OU PISO DE CONCRETO COM CONCRETO MOLDADO IN LOCO, USINADO, ACABAMENTO CONVENCIONAL, ESPESSURA 8 CM, ARMADO (RAMPA INTERNA) AF_08/2022</t>
  </si>
  <si>
    <t>MAIS VIDROS</t>
  </si>
  <si>
    <t>PÉROLA - VP</t>
  </si>
  <si>
    <t>www.temper.com.br</t>
  </si>
  <si>
    <t>https://www.maisvidros.com.br/</t>
  </si>
  <si>
    <t>https://vidracariaperola.com.br/</t>
  </si>
  <si>
    <t>27.742.183/0001-77</t>
  </si>
  <si>
    <t>37.153.139/0001-85</t>
  </si>
  <si>
    <t>(61) 3388-3637</t>
  </si>
  <si>
    <t>(61) 99459-7068</t>
  </si>
  <si>
    <t>3.4.1.1.4</t>
  </si>
  <si>
    <t>3.4.1.1.5</t>
  </si>
  <si>
    <t>3.3.4</t>
  </si>
  <si>
    <t>ARMAÇÃO DE ESTRUTURAS DIVERSAS DE CONCRETO ARMADO, EXCETO VIGAS, PILARES, LAJES E FUNDAÇÕES, UTILIZANDO AÇO CA-50 DE 6,3 MM - MONTAGEM (JUNÇÃO ALVENARIA E PILARES METÁLICOS)</t>
  </si>
  <si>
    <t>3.3.5</t>
  </si>
  <si>
    <t>CCU 081</t>
  </si>
  <si>
    <t>EXECUÇÃO DE SOLDA CONTÍNUA (JUNÇÃO ALVENARIA E PILARES METÁLICOS) REF. S13072/ORSE</t>
  </si>
  <si>
    <t>I11002S</t>
  </si>
  <si>
    <t>Eletrodo revestido aws - e6013, diametro igual a 2,50 mm</t>
  </si>
  <si>
    <t>SOLDADOR COM ENCARGOS COMPLEMENTARES</t>
  </si>
  <si>
    <t>I10997S</t>
  </si>
  <si>
    <t>Eletrodo revestido aws - e7018, diametro igual a 4,00 mm</t>
  </si>
  <si>
    <t>Valor Total com BDI:</t>
  </si>
  <si>
    <t>00043127</t>
  </si>
  <si>
    <t>TELA DE ACO SOLDADA NERVURADA, CA-60, Q-283 (4,48 KG/M2), DIAMETRO DO FIO = 6,0 MM, LARGURA = 2,45 X 6,00 M DE COMPRIMENTO, ESPACAMENTO DA MALHA = 10 X 10 CM</t>
  </si>
  <si>
    <t xml:space="preserve">	I34493S</t>
  </si>
  <si>
    <t>Concreto usinado bombeavel, classe de resistencia c25, com brita 0 e 1, slump = 100 +/- 20 mm, exclui servico de bombeamento (nbr 8953)</t>
  </si>
  <si>
    <t>CCU 064</t>
  </si>
  <si>
    <t>CCU 092</t>
  </si>
  <si>
    <t>CCU 096</t>
  </si>
  <si>
    <t>PISO PODOTÁTIL DE ALERTA OU DIRECIONAL, DE CONCRETO, *25 X 25* CM, ASSENTADO SOBRE ARGAMASSA. AF_03/2024 REF. 104658/SINAPI</t>
  </si>
  <si>
    <t>PISO PODOTÁTIL DE ALERTA OU DIRECIONAL, DE CONCRETO, *40 X 40*, ASSENTADO SOBRE ARGAMASSA. AF_03/2024</t>
  </si>
  <si>
    <t>I08261</t>
  </si>
  <si>
    <t>Quadro de distribuição de embutir em chapa de aço, p/até 70 disjuntores c/barramento, padrão DIN, Cemar ou similar</t>
  </si>
  <si>
    <t>Obs: Foi adotado o item 101881 do SINAPI como base por similaridade ao que pede em projeto e alterado apenas o material para o material I08261 do ORSE e alterado o coeficiente do serviço 87367 do SINAPI para o do item S12233 do ORSE para atender ao quadro</t>
  </si>
  <si>
    <t xml:space="preserve">	00034353</t>
  </si>
  <si>
    <t>00038135</t>
  </si>
  <si>
    <t>PISO TATIL / PODOTATIL, LADRILHO HIDRAULICO / CONCRETO, *25 X 25* CM, E= *2,5* CM, PADRAO TATIL ALERTA OU DIRECIONAL, COR AMARELA</t>
  </si>
  <si>
    <t>Obs: Foi adotado o item 104658 do SINAPI como base e por similaridade ao que se pede em projeto, susbtituído o material do piso tátil de 40x40 para o material de 25x25 e alterado o coeficiente, visto que o novo material adotado possui unidade por m².</t>
  </si>
  <si>
    <t>4.4.4.8</t>
  </si>
  <si>
    <t>BRISE QUADRICULADO EM TELA DE ARAME GALVANIZADO FIO 12, MALHA 2", COM SUPORTE EM TUBO GALVANIZADO 1 1/2" E REQUADROS EM BARRA CHATA 3/4" X 3/16" REF. S09580/ORSE</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</si>
  <si>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</si>
  <si>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</si>
  <si>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</si>
  <si>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</si>
  <si>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</si>
  <si>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00041936</t>
  </si>
  <si>
    <t>TUBO COLETOR DE ESGOTO, PVC, JEI, DN 150 MM (NBR 7362)</t>
  </si>
  <si>
    <t>88246</t>
  </si>
  <si>
    <t>ASSENTADOR DE TUBOS COM ENCARGOS COMPLEMENTARES</t>
  </si>
  <si>
    <t>00041930</t>
  </si>
  <si>
    <t>TUBO COLETOR DE ESGOTO PVC, JEI, DN 200 MM (NBR 7362)</t>
  </si>
  <si>
    <t>00041931</t>
  </si>
  <si>
    <t>TUBO COLETOR DE ESGOTO PVC, JEI, DN 250 MM (NBR 7362)</t>
  </si>
  <si>
    <t>00041932</t>
  </si>
  <si>
    <t>TUBO COLETOR DE ESGOTO PVC, JEI, DN 300 MM (NBR 7362)</t>
  </si>
  <si>
    <t>00041933</t>
  </si>
  <si>
    <t>TUBO COLETOR DE ESGOTO PVC, JEI, DN 350 MM (NBR 7362)</t>
  </si>
  <si>
    <t>QUADRO DE DISTRIBUIÇÃO DE ENERGIA EM CHAPA DE AÇO GALVANIZADO, DE EMBUTIR, COM BARRAMENTO TRIFÁSICO, PARA ATÉ 70 DISJUNTORES DIN 100A - FORNECIMENTO E INSTALAÇÃO. AF_10/2020 REF. 101881/SINAPI</t>
  </si>
  <si>
    <t>P.04.000.062133</t>
  </si>
  <si>
    <t>Eletrocalha perfurada galvanizada a fogo, 200x100mm</t>
  </si>
  <si>
    <t>S11295</t>
  </si>
  <si>
    <t>Emenda interna 200 x 100 mm com base lisa perfurada para eletrocalha metálica (ref. Mopa ou similar)</t>
  </si>
  <si>
    <t>TAMPA DE ENCAIXE PARA ELETROCALHA, GALVANIZADA A FOGO, L= 200 MM REF. 38.22.640/SP OBRAS</t>
  </si>
  <si>
    <t>P.04.000.062173</t>
  </si>
  <si>
    <t>Tampa encaixe para eletrocalha galvanizada a fogo, L= 200mm</t>
  </si>
  <si>
    <t>CCU 098</t>
  </si>
  <si>
    <t>Obs: Foi adotado o item 102184 do SINAPI como base e retirado o material do vidro por já estar contemplado separadamente em um item específico somente do vidro.</t>
  </si>
  <si>
    <t>CCU 097</t>
  </si>
  <si>
    <t xml:space="preserve">M </t>
  </si>
  <si>
    <t>Obs: Foi adotado o item 102176 do SINAPI como base e por similiaridade ao que se pede em projeto, alterado os materiais do Vidro e Silicone para os materiais 00034391 do SINAPI e S.03.000.028010 do SP OBRAS</t>
  </si>
  <si>
    <t>CCU 099</t>
  </si>
  <si>
    <t>SINALIZAÇÃO COM PICTOGRAMA PARA VAGA DE ESTACIONAMENTO (DEFICIENTE, IDOSO, GESTANTE) REF. 30.06.100/SP OBRAS</t>
  </si>
  <si>
    <t>J.02.000.038001</t>
  </si>
  <si>
    <t>Diluente aguarrás mineral; ref. Suvinil, Luksnova, Coral ou equivalente</t>
  </si>
  <si>
    <t>N.04.000.037601</t>
  </si>
  <si>
    <t>Matriz símbolo PSAI, poliestireno alto impacto, para vaga de estacionamento de pessoas com mobilidade reduzida, de acordo com a norma NBR 9050</t>
  </si>
  <si>
    <t>J.02.000.037528</t>
  </si>
  <si>
    <t>Tinta acrílica para sinalização visual de pisos, com acabamento fosco, várias cores, ref. Interlight da Indutil ou equivalente</t>
  </si>
  <si>
    <t>CURVA ABC DE MATERIAIS</t>
  </si>
  <si>
    <t>CURVA ABC - MATERIAIS</t>
  </si>
  <si>
    <t>CURVA ABC SERVIÇOS</t>
  </si>
  <si>
    <t>SP</t>
  </si>
  <si>
    <t>LUMINÁRIA PÚBLICA LED RETANGULAR PARA POSTE, 14.200 A 18.000 LM, IRC&gt;=70, TEMPERATURA COR 5000K/6500K, EFICIÊNCIA MÍNIMA 120LM/W, IP&gt;=66; REF. P-702-SPXL2508100 SPLEDLUX, LPMI-120W MEPÓ ILUMINA, 7017570 LEDVANCE, FLEDSS21-5K FORTLIGHT OU EQUIVALENTE</t>
  </si>
  <si>
    <t>00036886</t>
  </si>
  <si>
    <t>ARGAMASSA PRONTA PARA CONTRAPISO</t>
  </si>
  <si>
    <t>POSTE DE AÇO GALVANIZADO CÔNICO CONTÍNO RETO, DIÂMETRO SUPERIOR 60MM, DIÂMETRO DA BASE 93MM, ALTURA UTIL 3M, CONIPOST REF. SÉRIE 0003/CLASSE 60 DA CONIPOST</t>
  </si>
  <si>
    <t>00004221</t>
  </si>
  <si>
    <t>OLEO DIESEL COMBUSTIVEL COMUM METROPOLITANO S-10 OU S-500</t>
  </si>
  <si>
    <t>00000034</t>
  </si>
  <si>
    <t>ACO CA-50, 10,0 MM, VERGALHAO</t>
  </si>
  <si>
    <t>CERÂMICA 30 X 60 CM, PORTOBELLO, LINHA CETIM BIANCO OU SIMILAR</t>
  </si>
  <si>
    <t>CORRIMÃO EM AÇO INOX, ESCOVADO, D=1 1/2"</t>
  </si>
  <si>
    <t>CHAPA TRAPEZPOIDAL DE AÇO PARA LAJE STEEL DECK MF75, E= 0,80MM</t>
  </si>
  <si>
    <t>M²</t>
  </si>
  <si>
    <t>00043055</t>
  </si>
  <si>
    <t>ACO CA-50, 12,5 MM OU 16,0 MM, VERGALHAO</t>
  </si>
  <si>
    <t>PLACA DE ALUMÍNIO COMPOSTO "ACM", ESPESSURA DE 4 MM, ACABAMENTO EM PVDF, USO EXTERNO/INTERNO</t>
  </si>
  <si>
    <t>EQUIPAMENTO AUTOMATIZADOR DE PORTAS DESLIZANTES PARA FOLHA DUPLA, REF. ES200 EASY DA DORMA OU EQUIVALENTE</t>
  </si>
  <si>
    <t>DETECTOR MICROPROCESSADO METAIS TIPO PORTAL; REF. MAGXXI LINHA 300 / 3P DA MAGNETEC; DMP-01/MP DA PRIEL OU EQUIVALENTE</t>
  </si>
  <si>
    <t>SWITCH GIGABIT 24 PORTAS 10/100/1000 BASE TX LAYER 2 MÍNIMO COM PORTA DE SAÍDA EM FIBRA</t>
  </si>
  <si>
    <t>ELETRODO REVESTIDO AWS - E7018, DIAMETRO IGUAL A 4,00 MM</t>
  </si>
  <si>
    <t>CONECTOR RJ-45, FÊMEA, CATEGORIA 6A, REF. BR ROHS DA FURUKAWA, OU EQUIVALENTE</t>
  </si>
  <si>
    <t>UNIDADE GERENCIADORA DIGITAL DE VÍDEO EM REDE (NVR) DE ATÉ 32 CÂMERAS IP EM FULL HD A 30FPS, PARA ARMAZENAMENTO DE 48 TB, 2 INTERFACE DE REDE GIGABIT ETHERNET E 16 ENTRADAS DE ALARME; REFERÊNCIA NVD 7032 DA INTELBRAS OU EQUIVALENTE</t>
  </si>
  <si>
    <t>CAIXA DE DESCARGA ACOPLADA PARA VASO SANITÁRIO DA LINHA VOGUE PLUS CONFORTO, REF.: CDC. 01F, DA DECA OU SIMILAR</t>
  </si>
  <si>
    <t>00043059</t>
  </si>
  <si>
    <t>ACO CA-60, 4,2 MM, OU 5,0 MM, OU 6,0 MM, OU 7,0 MM, VERGALHAO</t>
  </si>
  <si>
    <t>TORNEIRA PRESSMATIC BENEFIT DOCOL OU SIMILAR</t>
  </si>
  <si>
    <t>VASO SANITÁRIO PARA CAIXA DE DESCARGA ACOPLADA, LINHA VOGUE PLUS CONFORTO, SEM ABERTURA FRONTAL, P.515.17, DECA OU SIMILAR</t>
  </si>
  <si>
    <t>DISPOSITIVO E/OU INTERRUPTOR DIFERENCIAL RESIDUAL DE 125 A X 30 MA - 4 POLOS - 380 V, REF. FABRICAÇÃO SIEMENS, SCHNEIDER OU EQUIVALENTE</t>
  </si>
  <si>
    <t>00000032</t>
  </si>
  <si>
    <t>ACO CA-50, 6,3 MM, VERGALHAO</t>
  </si>
  <si>
    <t>ESPELHO COMUM COM ESPESSURA DE 3MM, COM MOLDURA EM PERFIL DE ALUMÍNIO DE 1CM, FUNDO EM CHAPA COMPENSADA COM 3 MM DE ESPESSURA</t>
  </si>
  <si>
    <t>TAMPA ENCAIXE PARA ELETROCALHA GALVANIZADA A FOGO, L= 300MM</t>
  </si>
  <si>
    <t>ELETROCALHA PERFURADA GALVANIZADA A FOGO, 300X100MM</t>
  </si>
  <si>
    <t>CHAPA DE ACO XADREZ PARA PISOS, E = 1/4" (6,30 MM) 54,53 KG/M2</t>
  </si>
  <si>
    <t>CÂMERA DE VÍDEO DIGITAL, BULLET POE, FULL HD 1080P, COM INFRAVERMELHO E ALCANCE DE 30M, IP67, HIKVISION OU SIMILAR</t>
  </si>
  <si>
    <t>3.91.11</t>
  </si>
  <si>
    <t>I34493S</t>
  </si>
  <si>
    <t>CONCRETO USINADO BOMBEAVEL, CLASSE DE RESISTENCIA C25, COM BRITA 0 E 1, SLUMP = 100 +/- 20 MM, EXCLUI SERVICO DE BOMBEAMENTO (NBR 8953)</t>
  </si>
  <si>
    <t>MASTIQUE SILICONE SILIX 567; REFERÊNCIA COMERCIAL RHODIA / DOW CORNING 791 OU EQUIVALENTE</t>
  </si>
  <si>
    <t>REVESTIMENTO EM AÇO INOXIDÁVEL AISI304, LIGA18,8 EM CHAPA 20 COM ESPESSURA DE 1MM, ACABAMENTO ESCOVADO - INSTALADO</t>
  </si>
  <si>
    <t>00000367</t>
  </si>
  <si>
    <t>AREIA GROSSA - POSTO JAZIDA/FORNECEDOR (RETIRADO NA JAZIDA, SEM TRANSPORTE)</t>
  </si>
  <si>
    <t>BARRAMENTO DE COBRE NU (QUALQUER BITOLA)</t>
  </si>
  <si>
    <t>I01276</t>
  </si>
  <si>
    <t>CABO DE COBRE PP CORDPLAST 4 X 2,5 MM2, 450/750V</t>
  </si>
  <si>
    <t>REBITES DE FERRO ZINCADO N° 8, COMPRIMENTO DE 6,10 MM, DIÂMETRO NOMINAL DE 3 MM</t>
  </si>
  <si>
    <t>SUPORTE PARA MAPA TÁTIL H=1,00 REF.CSMPF000 EM CHAPA GALV. REVESTIDA COM ALUCOBOND</t>
  </si>
  <si>
    <t>ELETRODUTO GALVANIZADO POR IMERSÃO A QUENTE, DN = 1´ - NBR5598</t>
  </si>
  <si>
    <t>PAINEL AUTOPORTANTE/MODULAR EM CHAPA DE AÇO, COM PROTEÇÃO MÍNIMA IP-54, SEM COMPONENTES; REFERÊNCIA COMERCIAL TAUNUS, PRESS MAT OU EQUIVALENTE</t>
  </si>
  <si>
    <t>QUADRO DE DISTRIBUIÇÃO DE EMBUTIR EM CHAPA DE AÇO, P/ATÉ 70 DISJUNTORES C/BARRAMENTO, PADRÃO DIN, CEMAR OU SIMILAR</t>
  </si>
  <si>
    <t>00004720</t>
  </si>
  <si>
    <t>PEDRA BRITADA N. 0, OU PEDRISCO (4,8 A 9,5 MM) POSTO PEDREIRA/FORNECEDOR, SEM FRETE</t>
  </si>
  <si>
    <t>PRATELEIRA METÁLICA REF LINHA POLO 2031.C33.DECA OU EQUIVALENTE</t>
  </si>
  <si>
    <t>ESCADA MARINHEIRO GALVANIZADA</t>
  </si>
  <si>
    <t>00038101</t>
  </si>
  <si>
    <t>TOMADA 2P+T 10A, 250V (APENAS MODULO)</t>
  </si>
  <si>
    <t>ELETROCALHA PERFURADA GALVANIZADA A FOGO, 200X100MM</t>
  </si>
  <si>
    <t>CUBA DE SEMI-ENCAIXE DECA REF L-830, QUADRADA, COM MESA, 40X40 CM, BRANCO OU SIMILAR</t>
  </si>
  <si>
    <t>H.05.000.027642</t>
  </si>
  <si>
    <t>VIDEO PORTEIRO ELETRÔNICO COLORIDO COM UM INTERFONE; REFERÊNCIA COMERCIAL HDL 90.02.01.033, 90.02.01.700 OU EQUIVALENTE</t>
  </si>
  <si>
    <t>SOLEIRA EM GRANITO BRANCO SIENA, POLIDO, L = 15 CM, E = 2CM</t>
  </si>
  <si>
    <t>TAMPA ENCAIXE PARA ELETROCALHA GALVANIZADA A FOGO, L= 200MM</t>
  </si>
  <si>
    <t>ELETRODUTO COM COSTURA GALVANIZADO POR IMERSÃO A QUENTE, DN = 1 1/2´ - NBR6323</t>
  </si>
  <si>
    <t>GRANITO BRANCO SIENA E= 2CM</t>
  </si>
  <si>
    <t>PEITORIL GRANITO BRANCO SIENA, POLIDO, L = 22CM, E = 2CM</t>
  </si>
  <si>
    <t>SINALIZAÇÃO PARA DEFICIENTES - PLACA EM BRAILLE - EM PVC (PS), DIM: 23 X 15 CM</t>
  </si>
  <si>
    <t>BARRA CONDUTORA CHATA EM ALUMÍNIO DE 7/8´ X 1/8´ X 3 M; REF. TEL 771 DA TERMOTÉCNICA OU EQUIVALENTE</t>
  </si>
  <si>
    <t>GUIA LEVE PRE-MOLDADA P/ JARDIM 5,0X23X100CM</t>
  </si>
  <si>
    <t>FECHADURA EM INOX LIXADO PARA PORTA DE BANHEIRO REF. ARCHITEC INOX 892, LA FONTE OU EQUIVALENTE</t>
  </si>
  <si>
    <t>I14293</t>
  </si>
  <si>
    <t>CORPO PARA CAIXA SIFONADA EM PVC, 5 ENTRADAS, 100X140X50MM, MODELO GIRAFÁCIL, TIGRE OU SIMILAR</t>
  </si>
  <si>
    <t>00036205</t>
  </si>
  <si>
    <t>BARRA DE APOIO RETA, EM ACO INOX POLIDO, COMPRIMENTO 70CM, DIAMETRO MINIMO 3 CM</t>
  </si>
  <si>
    <t>I09325</t>
  </si>
  <si>
    <t>TUBO PVC SERIE NORMAL, DN 150 MM, PARA ESGOTO PREDIAL (NBR 5688)</t>
  </si>
  <si>
    <t>DISPOSITIVO DE PROTEÇÃO CONTRA SURTO DE TENSÃO DPS 60KA - 275V (PARA-RAIO)</t>
  </si>
  <si>
    <t>MAPA TÁTIL EM ACRÍLICO 70 X 50CM</t>
  </si>
  <si>
    <t>VIDRO FANTASIA DE 3/4 MM - MATERIAL</t>
  </si>
  <si>
    <t>I02096</t>
  </si>
  <si>
    <t>TANQUE LOUÇA, BRANCO, SEM COLUNA (DECA - REF. TQ-03 OU SIMILAR)</t>
  </si>
  <si>
    <t>00000033</t>
  </si>
  <si>
    <t>ACO CA-50, 8,0 MM, VERGALHAO</t>
  </si>
  <si>
    <t>00001381</t>
  </si>
  <si>
    <t>CHAVE COMUTADORA SELETORA COM 1 POLO E 3 POSIÇÕES PARA 63 A, REF. 5TW3063-1 SIEMENS OU EQUIVALENTE</t>
  </si>
  <si>
    <t>SINALIZAÇÃO PARA DEFICIENTES - PLACA METÁLICA 50 X 70 CM - "ESTACIONAMENTO RESERVADO"</t>
  </si>
  <si>
    <t>LAVATÓRIO LOUÇA, REF: L-510, VOGUE PLUS CONFORTO(45.5 X 35.5 CM), DECA OU SIMILAR</t>
  </si>
  <si>
    <t>SILICONE PARA ENVIDRAÇAMENTO ESTRUTURAL, 280G</t>
  </si>
  <si>
    <t>LIMITADOR DE GRAMA COM BORDA FINA, L=12,5CM</t>
  </si>
  <si>
    <t>CONECTOR RJ-45 MACHO, CAT.6</t>
  </si>
  <si>
    <t>TORNEIRA DE MESA COM FECHAMENTO AUTOMÁTICO, REF.1173, LINHA DECAMATIC ECO, DECA OU SIMILAR</t>
  </si>
  <si>
    <t>CABIDE EM AÇO INOX, DECA 2060 C40, ACABAMENTO CROMADO OU SIMILAR</t>
  </si>
  <si>
    <t>PLACA DE IDENTIFICAÇÃO EM PVC, COM TEXTO EM VINIL E ESPESSURA DE 2MM</t>
  </si>
  <si>
    <t>CHAPA DE AÇO GALVANIZADO NAS BITOLAS: Nº 22, N° 24 E N° 26</t>
  </si>
  <si>
    <t>TAMPA PARA ALÇAPÃO EM CHAPA DE AÇO GALVANIZADA DE 14, COM PORTA CADEADO</t>
  </si>
  <si>
    <t>RODAPÉ EM GRANITO BRANCO POLAR10CM X 2CM</t>
  </si>
  <si>
    <t>TOALHEIRO PLÁSTICO EM ABS BRANCO TIPO DISPENSER PARA PAPEL</t>
  </si>
  <si>
    <t>CUBA DE SOBREPOR QUADRADA SEM MESA EM LOUÇA BRANCA, *30*CM</t>
  </si>
  <si>
    <t>DISPENSER PAPEL HIGIÊNICO EM ABS PARA ROLÃO 300/600M, COM VISOR. REF. UNIK JSN, TRILHA OU EQUIVALENTE</t>
  </si>
  <si>
    <t>GRELHA DE INSUFLAÇÃO OU RETORNO, DUPLA DEFLEXÃO E REGISTRO, LÂMINAS CONVERGENTES, ALETAS VERTICAIS AJUSTÁVEIS INDIVIDUALMENTE, EM ALUMÍNIO ANODIZADO, TAMANHO: ACIMA DE 0,1 ATÉ 0,5 M²; REF. MOD. VAT-DG DA TROX OU EQUIVALENTE</t>
  </si>
  <si>
    <t>00038094</t>
  </si>
  <si>
    <t>ESPELHO / PLACA DE 3 POSTOS 4" X 2", PARA INSTALACAO DE TOMADAS E INTERRUPTORES</t>
  </si>
  <si>
    <t>00039029</t>
  </si>
  <si>
    <t>PERFILADO PERFURADO DUPLO 38 X 76 MM, CHAPA 22</t>
  </si>
  <si>
    <t>00004222</t>
  </si>
  <si>
    <t>GASOLINA COMUM</t>
  </si>
  <si>
    <t>ARGAMASSA COLANTE INDUSTRIALIZADA, RESISTÊNCIA QUÍMICA E TÉRMICAS, TIPO AC-III. REF. ARGAMASSA LIGAMAX GOLD PERFORMANCE BRANCA DA ELIANE OU EQUIVALENTE</t>
  </si>
  <si>
    <t>00043056</t>
  </si>
  <si>
    <t>ACO CA-50, 20,0 MM OU 25,0 MM, VERGALHAO</t>
  </si>
  <si>
    <t>00000392</t>
  </si>
  <si>
    <t>ABRACADEIRA EM ACO PARA AMARRACAO DE ELETRODUTOS, TIPO D, COM 1/2" E PARAFUSO DE FIXACAO</t>
  </si>
  <si>
    <t>COLUNA SUSPENSA DE LOUÇA PARA LAVATÓRIO, LINHA VOGUE PLUS CONFORTO, REF: C-510, DECA OU SIMILAR</t>
  </si>
  <si>
    <t>I11621</t>
  </si>
  <si>
    <t>PLACA CEGA PARA TOMADA RJ45, REF. TABLET, DA TRAMONTINA</t>
  </si>
  <si>
    <t>SABONETEIRA EM ABS, TIPO DISPENSER, PARA REFIL DE 800ML, REF. COLUMBUS SG 4000 OU EQUIVALENTE</t>
  </si>
  <si>
    <t>PARA-RAIOS OXIDOS METALICOS SEM CENTELHADOR POLIMERICO VM 10,2 KVEF NBR 16050</t>
  </si>
  <si>
    <t>CONDULETE DE 2´, CORPO E TAMPA EM ALUMÍNIO INJETADO OU FUNDIDO, COM SAÍDAS LATERAIS EM VÁRIOS MODELOS, COM OU SEM ROSCA; REF. DAISA, CONDULETZEL DA WETZEL OU EQUIVALENTE</t>
  </si>
  <si>
    <t>00000123</t>
  </si>
  <si>
    <t>ADITIVO IMPERMEABILIZANTE DE PEGA NORMAL PARA ARGAMASSAS E CONCRETOS SEM ARMACAO, LIQUIDO E ISENTO DE CLORETOS</t>
  </si>
  <si>
    <t>KIT SOLDA COM CARTUCHO PARA SOLDA EXOTÉRMICA Nº 65 A 115</t>
  </si>
  <si>
    <t>I08331</t>
  </si>
  <si>
    <t>MADEIRA SERRADA EM CAMBARÁ, CEDRINHO, CUMARU, EUCALIPTO-CITRIODORA, EUCALIPTO-SALIGNA, GARAPA, TUARI, (VIGA DE 6 X 12CM)</t>
  </si>
  <si>
    <t>CAIXA DE EQUALIZAÇÃO COM BARRA COBRE 6MM, EMBUTIR, CHAPA DE AÇO COM PINTURA ESMALTADA, DE 400X400MM E TAMPA, USO INTERNO, REF. TEL-900 TERMOTÉCNICA OU EQUIVALENTE</t>
  </si>
  <si>
    <t>MINI RACK DE PAREDE 19" X 9U X 470MM</t>
  </si>
  <si>
    <t>P.04.000.045015</t>
  </si>
  <si>
    <t>SUPORTE DE TOMADA EM CHAPA PRÉ-ZINCADA A FOGO, PARA FIXAÇÃO DE CAIXA COM 2, 3 OU 4 VIAS</t>
  </si>
  <si>
    <t>CUBA DE AÇO INOX RETANGULAR, 34X56X17CM, ALTO BRILHO, INCLUSIVE VALVULA 3 1/2", P/PIA DE COZINHA, REF.94024-207, TRAMONTINA OU SIMILAR</t>
  </si>
  <si>
    <t>00000863</t>
  </si>
  <si>
    <t>CABO DE COBRE NU 35 MM2 MEIO-DURO</t>
  </si>
  <si>
    <t>TIRANTE/VERGALHÃO AÇO ROSCA TOTAL DE 3/8´</t>
  </si>
  <si>
    <t>00038113</t>
  </si>
  <si>
    <t>INTERRUPTOR PARALELO 10A, 250V (APENAS MODULO)</t>
  </si>
  <si>
    <t>MATRIZ SÍMBOLO PSAI, POLIESTIRENO ALTO IMPACTO, PARA VAGA DE ESTACIONAMENTO DE PESSOAS COM MOBILIDADE REDUZIDA, DE ACORDO COM A NORMA NBR 9050</t>
  </si>
  <si>
    <t>TERMINAL DE PRESSÃO PARA CABO 16MM² (6AWG)</t>
  </si>
  <si>
    <t>00038099</t>
  </si>
  <si>
    <t>SUPORTE DE FIXACAO PARA ESPELHO / PLACA 4" X 2", PARA 3 MODULOS, PARA INSTALACAO DE TOMADAS E INTERRUPTORES (SOMENTE SUPORTE)</t>
  </si>
  <si>
    <t>00001020</t>
  </si>
  <si>
    <t>CABO DE COBRE, FLEXIVEL, CLASSE 4 OU 5, ISOLACAO EM PVC/A, ANTICHAMA BWF-B, COBERTURA PVC-ST1, ANTICHAMA BWF-B, 1 CONDUTOR, 0,6/1 KV, SECAO NOMINAL 10 MM2</t>
  </si>
  <si>
    <t>PLACA DE INAUGURAÇÃO EM ALUMÍNIO FUNDIDO MEDINDO 0,15 X 0,40 M</t>
  </si>
  <si>
    <t>I04081</t>
  </si>
  <si>
    <t>EMENDA INTERNA 300 X 100 MM COM BASE LISA PERFURADA PARA ELETROCALHA METÁLICA (REF. MOPA OU SIMILAR)</t>
  </si>
  <si>
    <t>VÁLVULA DE ESCOAMENTO PARA LAVATÓRIO, DECA 1602C OU SIMILAR</t>
  </si>
  <si>
    <t>8900103001SI36365</t>
  </si>
  <si>
    <t>TUBO COLETOR DE ESGOTO PVC, JEI, DN 100 MM (NBR 7362)</t>
  </si>
  <si>
    <t>LAVATÓRIO LOUÇA SUSPENSO 39,5 X 29,5 CM , LINHA IZY, REF. L.15.17, DECA OU SIMILAR</t>
  </si>
  <si>
    <t>PLACA DE IDENTIFICAÇÃO EM ALUMÍNIO PARA WC, COM DESENHO UNIVERSAL DE ACESSIBILIDADE</t>
  </si>
  <si>
    <t>CAIXA D'ÁGUA EM POLIETILENO 100L - FORTLEV OU EQUIVALENTE</t>
  </si>
  <si>
    <t>00004734</t>
  </si>
  <si>
    <t>SEIXO ROLADO PARA APLICACAO EM CONCRETO (POSTO PEDREIRA/FORNECEDOR, SEM FRETE)</t>
  </si>
  <si>
    <t>KIT SOLDA COM CARTUCHO PARA SOLDA EXOTÉRMICA N. 25 A 45</t>
  </si>
  <si>
    <t>TINTA ACRÍLICA PARA SINALIZAÇÃO VISUAL DE PISOS, COM ACABAMENTO FOSCO, VÁRIAS CORES, REF. INTERLIGHT DA INDUTIL OU EQUIVALENTE</t>
  </si>
  <si>
    <t>GUIA ORGANIZADORA DE CABOS PARA RACK, 19´ 1 U</t>
  </si>
  <si>
    <t>PARAFUSO AUTO-ATARRAXANTE/AUTO-BROCANTE EM AÇO MÉDIO CARBONO, COM ACABAMENTO ZINCADO BRANDO, DE 12 X 38 MM - COM ARRUELA DE VEDAÇÃO</t>
  </si>
  <si>
    <t>00001345</t>
  </si>
  <si>
    <t>CHAPA/PAINEL DE MADEIRA COMPENSADA PLASTIFICADA (MADEIRITE PLASTIFICADO) PARA FORMA DE CONCRETO, DE 2200 X 1100 MM, E = *17* MM</t>
  </si>
  <si>
    <t>00038098</t>
  </si>
  <si>
    <t>ESPELHO / PLACA DE 6 POSTOS 4" X 4", PARA INSTALACAO DE TOMADAS E INTERRUPTORES</t>
  </si>
  <si>
    <t>CAPTOR TIPO TERMINAL AÉREO, H = 300 MM, EM ALUMÍNIO, REF. TAGAL DA GELCAM, PK 1989 DA PARAKLIN OU EQUIVALENTE</t>
  </si>
  <si>
    <t>PERFILADO PERFURADO 38 X 38 MM EM CHAPA 14 PRÉ-ZINCADA</t>
  </si>
  <si>
    <t>CAIXA SIFONADA REDONDA, CORPO GIRATÓRIO, COM 5 ENTRADAS DE 40MM E 1 SAIDA DE 75MM, D=150X170X75MM, COM GRELHA, PVC BRANCO, TIGRE OU SIMILAR</t>
  </si>
  <si>
    <t>COLUNA DE LOUÇA BRANCA P/ TANQUE LAVAR (DECA - REF CT-25 OU SIMILAR)</t>
  </si>
  <si>
    <t>REJUNTE FLEXÍVEL PARA PORCELANATO, APLICADA EM ÁREAS INTERNAS E EXTERNAS COM JUNTA ATÉ 3MM, REF. REJUNTE LIGAMAX GOLD TOTAL DA ELIANE OU EQUIVALENTE</t>
  </si>
  <si>
    <t>PLACA 4" X 2" COM FURO, PARA SAÍDA DE FIOS</t>
  </si>
  <si>
    <t>PLACA PARA SINALIZAÇÃO TÁTIL EM BRAILE (INÍCIO OU FINAL), PARA CORRIMÃO, COM O VERSO AUTO-ADERENTE, CONFORME NBR 9050-2015</t>
  </si>
  <si>
    <t>00038102</t>
  </si>
  <si>
    <t>TOMADA 2P+T 20A, 250V (APENAS MODULO)</t>
  </si>
  <si>
    <t>00003378</t>
  </si>
  <si>
    <t>HASTE DE ATERRAMENTO EM ACO COM 3,00 M DE COMPRIMENTO E DN = 3/4", REVESTIDA COM BAIXA CAMADA DE COBRE, SEM CONECTOR</t>
  </si>
  <si>
    <t>FERRAGEM COMPLETA COM MAÇANETA TIPO ALAVANCA, COM MIOLO TIPO GORGES, PARA PORTA INTERNA COM 1 FOLHA; REFERÊNCIA 721/01 CR DA PADO, 402526/40 DA AROUCA OU EQUIVALENTE</t>
  </si>
  <si>
    <t>MOLDE PARA SOLDA EXOTÉRMICA CONEXÃO CABO-HASTE NA LATERAL, BITOLA DO CABO DE 25MM² A 70MM² PARA HASTE DE 5/8 E 3/4; REFERÊNCIA UGY DA UNISOLDA OU EQUIVALENTE</t>
  </si>
  <si>
    <t>I04037</t>
  </si>
  <si>
    <t>EMENDA INTERNA 200 X 100 MM COM BASE LISA PERFURADA PARA ELETROCALHA METÁLICA (REF. MOPA OU SIMILAR)</t>
  </si>
  <si>
    <t>GANCHO OLHAL EM ACO GALVANIZADO, ESPESSURA 16MM, ABERTURA 21MM</t>
  </si>
  <si>
    <t>00002685</t>
  </si>
  <si>
    <t>ELETRODUTO DE PVC RIGIDO ROSCAVEL DE 1 ", SEM LUVA</t>
  </si>
  <si>
    <t>LUMINÁRIA RETANGULAR DE SOBREPOR TIPO CALHA ABERTA PARA 4 LÂMPADAS FLUORESCENTES TUBULARES DE 32W, REF. CN10-S432 DA LUMICENTER OU EQUIVALENTE</t>
  </si>
  <si>
    <t>00007340</t>
  </si>
  <si>
    <t>IMUNIZANTE PARA MADEIRA, INCOLOR</t>
  </si>
  <si>
    <t>00038100</t>
  </si>
  <si>
    <t>SUPORTE DE FIXACAO PARA ESPELHO / PLACA 4" X 4", PARA 6 MODULOS, PARA INSTALACAO DE TOMADAS E INTERRUPTORES (SOMENTE SUPORTE)</t>
  </si>
  <si>
    <t>8900103001SI1863</t>
  </si>
  <si>
    <t>CURVA LONGA PVC, PB, JE, 90 GRAUS, DN 100 MM, PARA REDE COLETORA ESGOTO</t>
  </si>
  <si>
    <t>TINTA LATEX ACRILICA STANDARD, COR BRANCA</t>
  </si>
  <si>
    <t>00034360</t>
  </si>
  <si>
    <t>LÂMPADA FLUORESCENTE TUBULAR COMUM 40W, BASE BIPINO BILATERAL; REF. UNIVERSAL 85858 GE, L40LDE OSRAM, TLTRS40W-ELD-25 PHILIPS OU EQUIVALENTE</t>
  </si>
  <si>
    <t>GANCHO DE 1/4´ COM PORCA E ARRUELA, 550 MM</t>
  </si>
  <si>
    <t>8900103001SI370</t>
  </si>
  <si>
    <t>DILUENTE AGUARRÁS MINERAL; REF. SUVINIL, LUKSNOVA, CORAL OU EQUIVALENTE</t>
  </si>
  <si>
    <t>B.09.000.039075</t>
  </si>
  <si>
    <t>COLA PARA CHAPAS MELAMÍNICAS</t>
  </si>
  <si>
    <t>ADESIVO PLASTICO PARA PVC, BISNAGA COM 75 GR</t>
  </si>
  <si>
    <t>MADEIRA MISTA SERRADA (BARROTE) 6 X 6CM - 0,0036 M3/M (ANGELIM, LOURO)</t>
  </si>
  <si>
    <t>8900103001SI42699</t>
  </si>
  <si>
    <t>SELIM PVC, COM TRAVA, JE, 90 GRAUS, DN 125 X 100 MM OU 150 X 100 MM, PARA REDE COLETORA ESGOTO</t>
  </si>
  <si>
    <t>ALICATE PARA SOLDA EXOTÉRMICA; REFERÊNCIA U-L160 DA UNISOLDA OU EQUIVALENTE</t>
  </si>
  <si>
    <t>MOLDE PARA SOLDA EXOTÉRMICA CONEXÃO CABO-CABO HORIZONTAL EM T, BITOLA DO CABO 16-16MM² A 50-35MM², 70-35MM² E 95-35MM², REF. UTA DA UNISOLDA OU EQUIVALENTE</t>
  </si>
  <si>
    <t>ALICATE PARA SOLDA EXOTÉRMICA; REFERÊNCIA U-S84 DA UNISOLDA OU EQUIVALENTE</t>
  </si>
  <si>
    <t>PARAFUSO CABEÇA CHATA COM BUCHA PLÁSTICA DE 8 MM - 5,5 X 50 MM</t>
  </si>
  <si>
    <t>SIFAO COM VALVULA PARA TANQUE LAVAR, 1 1/4" X 40, AKROS Nº. 8 OU SIMILAR</t>
  </si>
  <si>
    <t>00000416</t>
  </si>
  <si>
    <t>GRAMPO METALICO TIPO OLHAL PARA HASTE DE ATERRAMENTO DE 3/4", CONDUTOR DE *10* A 50 MM2</t>
  </si>
  <si>
    <t>8900103001SI20078</t>
  </si>
  <si>
    <t>00039276</t>
  </si>
  <si>
    <t>CURVA 180 GRAUS, DE PVC RIGIDO ROSCAVEL, DE 1", PARA ELETRODUTO</t>
  </si>
  <si>
    <t>8900103001SI4222</t>
  </si>
  <si>
    <t>PARAFUSO METAL 2 1/2" X 12 P/ BUCHA S-10</t>
  </si>
  <si>
    <t>00013887</t>
  </si>
  <si>
    <t>8900103001SI4221</t>
  </si>
  <si>
    <t>00001884</t>
  </si>
  <si>
    <t>CURVA 90 GRAUS, LONGA, DE PVC RIGIDO ROSCAVEL, DE 1", PARA ELETRODUTO</t>
  </si>
  <si>
    <t>8900103001SI303</t>
  </si>
  <si>
    <t>ANEL BORRACHA, PARA TUBO PVC, REDE COLETOR ESGOTO, DN 100 MM (NBR 7362)</t>
  </si>
  <si>
    <t>FITA VEDA ROSCA 18MM</t>
  </si>
  <si>
    <t>00001892</t>
  </si>
  <si>
    <t>LUVA EM PVC RIGIDO ROSCAVEL, DE 1", PARA ELETRODUTO</t>
  </si>
  <si>
    <t>00043617</t>
  </si>
  <si>
    <t>ADITIVO PLASTIFICANTE E ESTABILIZADOR PARA ARGAMASSAS DE ASSENTAMENTO E REBOCO, LIQUIDO E ISENTO DE CLORETOS</t>
  </si>
  <si>
    <t>3.4.3.11</t>
  </si>
  <si>
    <t>3.4.3.12</t>
  </si>
  <si>
    <t>COMPACTAÇÃO MECÂNICA DE SOLO PARA EXECUÇÃO DE RADIER, PISO DE CONCRETO OU LAJE SOBRE SOLO, COM COMPACTADOR DE SOLOS A PERCUSSÃO (RAMPA INTERNA) AF_09/2021</t>
  </si>
  <si>
    <t>BLOQUETE/PISO DE CONCRETO - MODELO PISOGRAMA/CONCREGRAMA/PAVI-GRADE/GRAMEIRO, DIMENSOES APROXIMADAS DE *60 X 45* CM E ESPESSURA DE 8 CM (+/- 1 CM), COR NATURAL</t>
  </si>
  <si>
    <t>00040515</t>
  </si>
  <si>
    <t>4.4.1.4</t>
  </si>
  <si>
    <t>4.4.1.4.1</t>
  </si>
  <si>
    <t>4.4.1.4.2</t>
  </si>
  <si>
    <t>4.4.1.4.3</t>
  </si>
  <si>
    <t>4.4.1.4.4</t>
  </si>
  <si>
    <t>4.4.1.4.5</t>
  </si>
  <si>
    <t>4.4.1.4.6</t>
  </si>
  <si>
    <t>4.4.1.4.7</t>
  </si>
  <si>
    <t>CCU 105</t>
  </si>
  <si>
    <t>PISO FULGET</t>
  </si>
  <si>
    <t>4.4.3.3</t>
  </si>
  <si>
    <t>CCU 109</t>
  </si>
  <si>
    <t>PLATAFORMA COM 3 MASTROS GALVANIZADOS, SENDO 1 DE H= 6,00 M E DOIS DE H= 5,00 M REF. 35.07.030/SP EDUCAÇÃO</t>
  </si>
  <si>
    <t>S.01.000.080125</t>
  </si>
  <si>
    <t>Betoneira reversível com carregador, capacidade de 320 litros, acionamento do motor combustão interna (diesel e gasolina) ou motor elétrico Alfa 320</t>
  </si>
  <si>
    <t>00004722</t>
  </si>
  <si>
    <t>PEDRA BRITADA N. 3 (38 A 50 MM) POSTO PEDREIRA/FORNECEDOR, SEM FRETE</t>
  </si>
  <si>
    <t>00004415</t>
  </si>
  <si>
    <t>SARRAFO NAO APARELHADO *2,5 X 5* CM, EM MACARANDUBA/MASSARANDUBA, ANGELIM, PEROBA-ROSA OU EQUIVALENTE DA REGIAO - BRUTA</t>
  </si>
  <si>
    <t>I21013S</t>
  </si>
  <si>
    <t>Tubo aco galvanizado com costura, classe leve, dn 50 mm (2"), e = 3,00 mm, *4,40* kg/m (nbr 5580)</t>
  </si>
  <si>
    <t xml:space="preserve">	CIMENTO PORTLAND COMPOSTO CP II-32</t>
  </si>
  <si>
    <t>ARGILA OU BARRO PARA ATERRO/REATERRO (COM TRANSPORTE ATE 10 KM)</t>
  </si>
  <si>
    <t>CAIXA D´ÁGUA EM POLIETILENO, 1500 LITROS - FORNECIMENTO E INSTALAÇÃO. AF_06/2021</t>
  </si>
  <si>
    <t>00034639</t>
  </si>
  <si>
    <t>PINTURA DE FAIXA DE PEDESTRE OU ZEBRADA COM TINTA ACRÍLICA, E = 30 CM, APLICAÇÃO MANUAL. AF_05/2021</t>
  </si>
  <si>
    <t>PINTURA DE PISO/GUIA COM TINTA ACRÍLICA, APLICAÇÃO MANUAL, 2 DEMÃOS, INCLUSO FUNDO PREPARADOR. AF_05/2021</t>
  </si>
  <si>
    <t>4.4.1.4.8</t>
  </si>
  <si>
    <t>ALVENARIA DE VEDAÇÃO DE BLOCOS CERÂMICOS MACIÇOS DE 5X10X20CM (ESPESSURA 10CM) E ARGAMASSA DE ASSENTAMENTO COM PREPARO EM BETONEIRA. AF_05/2020 (SÓCULOS)</t>
  </si>
  <si>
    <t>4.1.5.1.2.8</t>
  </si>
  <si>
    <t>DISJUNTOR MONOPOLAR TIPO DIN, CORRENTE NOMINAL DE 32A - FORNECIMENTO E INSTALAÇÃO. AF_10/2020</t>
  </si>
  <si>
    <t>DISJUNTOR TRIPOLAR , CORRENTE NOMINAL DE 175A - FORNECIMENTO E INSTALAÇÃO. AF_10/2020</t>
  </si>
  <si>
    <t>CCU 114</t>
  </si>
  <si>
    <t>LUMINÁRIA PLAFON (EMBUTIR) - 24 W REF. 103788/SINAPI</t>
  </si>
  <si>
    <t>6.1.4.17</t>
  </si>
  <si>
    <t>CCU 130</t>
  </si>
  <si>
    <t>6.1.4.16</t>
  </si>
  <si>
    <t>I14478</t>
  </si>
  <si>
    <t>Obs: Foi adotado o item 103788 do SINAPI como base por similaridade ao que pede em projeto e alterado apenas o material para o material I14478 do ORSE</t>
  </si>
  <si>
    <t>Obs: Foi adotado o item 105546 do SINAPI como base por similaridade ao que pede em projeto e alterado apenas o material para o material I12920 do ORSE</t>
  </si>
  <si>
    <t>00004059</t>
  </si>
  <si>
    <t>I08853</t>
  </si>
  <si>
    <t>CCU 131</t>
  </si>
  <si>
    <t>CCU 132</t>
  </si>
  <si>
    <t>CCU 136</t>
  </si>
  <si>
    <t>FORNECIMENTO E INSTALAÇÃO DE CONCECTOR MACHO P10 REF. S11242/ORSE</t>
  </si>
  <si>
    <t>CERTIFICAÇÃO DE REDE CABEAMENTO ESTRUTURADO REF. I10322/ORSE</t>
  </si>
  <si>
    <t>CABO P10 XLR REF. 100553/SINAPI</t>
  </si>
  <si>
    <t>ELETROCALHA LISA OU PERFURADA EM AÇO GALVANIZADO, LARGURA 200MM E ALTURA 50MM, INCLUSIVE EMENDA E FIXAÇÃO - FORNECIMENTO E INSTALAÇÃO. AF_04/2023 REF. 97243/SINAPI</t>
  </si>
  <si>
    <t>I13768</t>
  </si>
  <si>
    <t>Conector P10 Macho</t>
  </si>
  <si>
    <t>I10322</t>
  </si>
  <si>
    <t>Certificação de rede cabeamento estruturado</t>
  </si>
  <si>
    <t>COT</t>
  </si>
  <si>
    <t>00040650</t>
  </si>
  <si>
    <t>PISO FULGET (GRANITO LAVADO) EM PLACAS DE *40 X 40* CM, E = 2,0 CM (SEM COLOCACAO)</t>
  </si>
  <si>
    <t>PISO FULGET (GRANITO LAVADO) 40 X 40 CM ASSENTADO SOBRE ARGAMASSA 1:3 (CIMENTO E AREIA). AF_09/2020 REF. 101732/SINAPI</t>
  </si>
  <si>
    <t>EXECUÇÃO DE PASSEIO (CALÇADA) OU PISO DE CONCRETO COM CONCRETO MOLDADO IN LOCO, FEITO EM OBRA, ACABAMENTO CONVENCIONAL, ESPESSURA 8 CM, ARMADO. AF_08/2022</t>
  </si>
  <si>
    <t>CONCRETO FCK = 20MPA, TRAÇO 1:2,7:3 (EM MASSA SECA DE CIMENTO/ AREIA MÉDIA/ BRITA 1) - PREPARO MECÂNICO COM BETONEIRA 400 L. AF_05/2021</t>
  </si>
  <si>
    <t>COT 01.019</t>
  </si>
  <si>
    <t>O ACUSTICO</t>
  </si>
  <si>
    <t>CONSTELAÇÃO</t>
  </si>
  <si>
    <t>MUNDOMAX</t>
  </si>
  <si>
    <t>www.loja.oacustico.com.br</t>
  </si>
  <si>
    <t>www.lojaconstelacao.com.br</t>
  </si>
  <si>
    <t>www.mundomax.com.br</t>
  </si>
  <si>
    <t>20.505.642/0001-50</t>
  </si>
  <si>
    <t>24.365.762/0001-50</t>
  </si>
  <si>
    <t>01.725.627/0002-53</t>
  </si>
  <si>
    <t>(11) 3477-7819</t>
  </si>
  <si>
    <t>(43) 99932-8373</t>
  </si>
  <si>
    <t>(43) 3377-6800</t>
  </si>
  <si>
    <t>P10 - 1</t>
  </si>
  <si>
    <t>P10  - 2</t>
  </si>
  <si>
    <t>P10 - 3</t>
  </si>
  <si>
    <t>CABO P10 XLR</t>
  </si>
  <si>
    <t>GOINFRA CIVIL/GO</t>
  </si>
  <si>
    <t>LUVA SIMPLES, PVC, SERIE R, ÁGUA PLUVIAL, DN 100 MM, JUNTA ELÁSTICA, FORNECIDO E INSTALADO</t>
  </si>
  <si>
    <t>LUVA SIMPLES, PVC, SERIE R, ÁGUA PLUVIAL, DN 75 MM, JUNTA ELÁSTICA, FORNECIDO E INSTALADO</t>
  </si>
  <si>
    <t>JUNÇÃO SIMPLES, PVC, SERIE R, ÁGUA PLUVIAL, DN 75 X 75 MM, JUNTA ELÁSTICA, FORNECIDO E INSTALADO</t>
  </si>
  <si>
    <t>JOELHO 90 GRAUS, PVC, SERIE R, ÁGUA PLUVIAL, DN 100 MM, JUNTA ELÁSTICA, FORNECIDO E INSTALADO</t>
  </si>
  <si>
    <t>JOELHO 90 GRAUS, PVC, SERIE R, ÁGUA PLUVIAL, DN 75 MM, JUNTA ELÁSTICA, FORNECIDO E INSTALADO</t>
  </si>
  <si>
    <t>JOELHO 45 GRAUS, PVC, SERIE R, ÁGUA PLUVIAL, DN 100 MM, JUNTA ELÁSTICA, FORNECIDO E INSTALADO</t>
  </si>
  <si>
    <t>JOELHO 45 GRAUS, PVC, SERIE R, ÁGUA PLUVIAL, DN 75 MM, JUNTA ELÁSTICA, FORNECIDO E INSTALADO</t>
  </si>
  <si>
    <t>00000299</t>
  </si>
  <si>
    <t>ANEL BORRACHA, DN 100 MM, PARA TUBO SERIE REFORCADA ESGOTO PREDIAL</t>
  </si>
  <si>
    <t>00020170</t>
  </si>
  <si>
    <t>LUVA SIMPLES, PVC SERIE R, 100 MM, PARA ESGOTO PREDIAL</t>
  </si>
  <si>
    <t>00000298</t>
  </si>
  <si>
    <t>00020169</t>
  </si>
  <si>
    <t>ANEL BORRACHA, DN 75 MM, PARA TUBO SERIE REFORCADA ESGOTO PREDIAL</t>
  </si>
  <si>
    <t>LUVA SIMPLES, PVC SERIE R, 75 MM, PARA ESGOTO PREDIAL</t>
  </si>
  <si>
    <t>00020142</t>
  </si>
  <si>
    <t>JUNCAO SIMPLES, PVC SERIE R, DN 75 X 75 MM, PARA ESGOTO PREDIAL</t>
  </si>
  <si>
    <t>00020157</t>
  </si>
  <si>
    <t>JOELHO, PVC SERIE R, 90 GRAUS, DN 100 MM, PARA ESGOTO PREDIAL</t>
  </si>
  <si>
    <t>00020156</t>
  </si>
  <si>
    <t>00020151</t>
  </si>
  <si>
    <t>JOELHO, PVC SERIE R, 45 GRAUS, DN 100 MM, PARA ESGOTO PREDIAL</t>
  </si>
  <si>
    <t>00020150</t>
  </si>
  <si>
    <t>JOELHO, PVC SERIE R, 45 GRAUS, DN 75 MM, PARA ESGOTO PREDIAL</t>
  </si>
  <si>
    <t>TUBO PVC, SÉRIE R, ÁGUA PLUVIAL, DN 75 MM, FORNECIDO E INSTALADO</t>
  </si>
  <si>
    <t>00009839</t>
  </si>
  <si>
    <t>TUBO PVC, SERIE R, DN 75 MM, PARA ESGOTO OU AGUAS PLUVIAIS PREDIAL (NBR 5688)</t>
  </si>
  <si>
    <t>CCU 162</t>
  </si>
  <si>
    <t>CA-22 CANALETA DE AGUAS PLUVIAIS EM CONCRETO (30CM) REF. 16.05.032/SP EDUCAÇÃO</t>
  </si>
  <si>
    <t>CCU 163</t>
  </si>
  <si>
    <t>2.05.30</t>
  </si>
  <si>
    <t>CONCRETO DOSADO (CONDICAO-A) FCK 15 MPA</t>
  </si>
  <si>
    <t>2.10.35</t>
  </si>
  <si>
    <t>PAINEL DE MADEIRA COMPENSADA RESINADA E=12MM G1-C8</t>
  </si>
  <si>
    <t>2.10.12</t>
  </si>
  <si>
    <t>SARRAFO BRUTO 5X2,5CM G1-C2</t>
  </si>
  <si>
    <t>CCU 138</t>
  </si>
  <si>
    <t>RELATÓRIO ANALÍTICO MODIFICADO - FONTE GOINFRA CIVIL</t>
  </si>
  <si>
    <t>H728</t>
  </si>
  <si>
    <t>BARRA DE APOIO LATERAL EM "U", EM AÇO INOX 1.1/4 COM PARAFUSOS E BUCHA PARA FIXAÇÃO</t>
  </si>
  <si>
    <t>GOINFRA CIVIL</t>
  </si>
  <si>
    <t>AJUDANTE DE PEDREIRO COM ENCARGOS COMPLEMENTARES</t>
  </si>
  <si>
    <t>H705</t>
  </si>
  <si>
    <t>BARRA DE APOIO EM AÇO INOX - 40 CM COM PARAFUSOS E BUCHAS PARA FIXAÇÃO</t>
  </si>
  <si>
    <t>BARRA DE APOIO LATERAL EM "U", EM AÇO INOX 1.1/4 - 30 CM REF. 230178/GOINFRA CIVIL</t>
  </si>
  <si>
    <t>BARRA DE APOIO EM AÇO INOX - 40 CM REF. 230174/GOINFRA CIVIL</t>
  </si>
  <si>
    <t>KIT DE ALARME PARA WC PNE, COMPOSTO POR BOTOEIRA E SIRENE AUDIOVISUAL - FORNECIMENTO E INSTALAÇÃO REF. S12514/ORSE</t>
  </si>
  <si>
    <t>I14209</t>
  </si>
  <si>
    <t>Fornecimento e montagem de porta de enrolar automática, em chapa 20 Transvision, com guias laterais, soleira T, motor para 1000Kg , PVC auto lubrificante nas guias, borracha de vedação de soleira, central com 02 controles e pintura eletrostática</t>
  </si>
  <si>
    <t>I13333</t>
  </si>
  <si>
    <t>Kit de alarme para WC PNE, composto por botoeira e sirene audiovisual - fornecimento e instalação</t>
  </si>
  <si>
    <t>CCU 142</t>
  </si>
  <si>
    <t>PORTA DE CORRER EM ALUMÍNIO COM PINTURA ELETROSTÁTICA, SOB MEDIDA - COR BRANCA REF. 25.02.240/SP OBRAS</t>
  </si>
  <si>
    <t>I00202</t>
  </si>
  <si>
    <t>Areia média adquirida em depósito, frete incluso (Areia Média Comercial)</t>
  </si>
  <si>
    <t>H.05.000.027640</t>
  </si>
  <si>
    <t>Porta de correr em alumínio anodizado, na cor branca, linha 30 - sem vidro</t>
  </si>
  <si>
    <t>PORTA DE ABRIR EM ALUMÍNIO COM PINTURA ELETROSTÁTICA, SOB MEDIDA - COR BRANCA REF. 25.02.300/SP OBRAS</t>
  </si>
  <si>
    <t>H.05.000.027644</t>
  </si>
  <si>
    <t>Porta de abrir em alumínio com pintura eletrostática branca, sob medida, instalada - sem vidro</t>
  </si>
  <si>
    <t>FORNECIMENTO E MONTAGEM DE PORTA DE ENROLAR AUTOMÁTICA, EM CHAPA 20 TRANSVISION, COM GUIAS LATERAIS, SOLEIRA T, MOTOR PARA 1000KG , PVC AUTO LUBRIFICANTE NAS GUIAS, BORRACHA DE VEDAÇÃO DE SOLEIRA, CENTRAL COM 02 CONTROLES E PINTURA ELETROSTÁTICA REF. S13468/ORSE</t>
  </si>
  <si>
    <t>CCU 143</t>
  </si>
  <si>
    <t>EXECUÇÃO DE PAVIMENTO EM PISO INTERTRAVADO, COM BLOCO RETANGULAR DE 20 X 10 CM, ESPESSURA 10 CM (INCLUSO LASTRO DE AREIA E PÓ DE PEDRA 6CM) REF. 92400/SINAPI</t>
  </si>
  <si>
    <t>CCU 145</t>
  </si>
  <si>
    <t>EXECUÇÃO DE PAVIMENTO EM PISO INTERTRAVADO, COM BLOCO PISOGRAMA DE 60 X 45 CM, ESPESSURA 8 CM (INCLUSO LASTRO DE AREIA E PÓ DE PEDRA 6CM) REF. 92392/SINAPI</t>
  </si>
  <si>
    <t>I1336</t>
  </si>
  <si>
    <t>Pó de pedra - incluso frete</t>
  </si>
  <si>
    <t>Obs: Foi adotado o item 92400 do SINAPI como base por similaridade ao que pede em projeto e alterado apenas os coeficientes e materiais referentes a areia e pó de pedra do item</t>
  </si>
  <si>
    <t>Obs: Foi adotado o item 92392 do SINAPI como base por similaridade ao que pede em projeto e alterado apenas o material da areia e do pó de pedra por não contemplar o transporte</t>
  </si>
  <si>
    <t>MEIO-FIO OU GUIA DE CONCRETO, PRE-MOLDADO, COMP 1 M, *30 X 12/15* CM (H X L1/L2)</t>
  </si>
  <si>
    <t>Obs: Foi adotado o item 94273 do SINAPI como base por similaridade ao que pede em projeto e alterado apenas o material da areia por não contemplar o transporte</t>
  </si>
  <si>
    <t>4.4.1.3.4</t>
  </si>
  <si>
    <t>EXECUÇÃO DE PASSEIO (CALÇADA) OU PISO DE CONCRETO COM CONCRETO MOLDADO IN LOCO, ESPESSURA 5 CM, FEITO EM OBRA, ACABAMENTO CONVENCIONAL, NÃO ARMADO. AF_08/2022</t>
  </si>
  <si>
    <t>CCU 153</t>
  </si>
  <si>
    <t>ASSENTAMENTO DE GUIA (MEIO-FIO) EM TRECHO RETO, CONFECCIONADA EM CONCRETO PRÉ-FABRICADO, DIMENSÕES 100X15X12X30 CM (COMPRIMENTO X BASE INFERIOR X BASE SUPERIOR X ALTURA). AF_01/2024 REF. 94273/SINAPI</t>
  </si>
  <si>
    <t>CCU 155</t>
  </si>
  <si>
    <t>ARGAMASSA TRAÇO 1:3 (EM VOLUME DE CIMENTO E AREIA MÉDIA ÚMIDA) PARA CONTRAPISO, ESP 3CM, PREPARO MANUAL. AF_08/2019 (SÓCULOS) REF. 87372/SINAPI</t>
  </si>
  <si>
    <t>ESCAVAÇÃO HORIZONTAL, INCLUINDO CARGA, DESCARGA, TRANSPORTE E ESPALHAMENTO DE SOLO DE 1A CATEGORIA COM TRATOR DE ESTEIRAS (150HP/LÂMINA: 3,18M3) E CAMINHÃO BASCULANTE DE 10M3, DMT ATÉ 200M AF_07/2020</t>
  </si>
  <si>
    <t>CARGA, MANOBRA E DESCARGA DE SOLOS E MATERIAIS GRANULARES EM CAMINHÃO BASCULANTE 10 M³ - CARGA COM PÁ CARREGADEIRA (CAÇAMBA DE 1,7 A 2,8 M³ / 128 HP) E DESCARGA LIVRE (UNIDADE: M3). AF_07/2020</t>
  </si>
  <si>
    <t>TRANSPORTE COM CAMINHÃO BASCULANTE DE 10 M³, EM VIA URBANA EM REVESTIMENTO PRIMÁRIO (UNIDADE: M3XKM). AF_07/2020</t>
  </si>
  <si>
    <t>CCU 156</t>
  </si>
  <si>
    <t>00043071</t>
  </si>
  <si>
    <t>TELHA TERMOISOLANTE REVESTIDA EM ACO GALVALUME, FACE SUPERIOR TRAPEZOIDAL E FACE INFERIOR PLANA (NAO INCLUI ACESSORIOS DE FIXACAO), REVEST COM ESPESSURA DE 0,50 MM, COM PRE-PINTURA DE COR BRANCA NAS DUAS FACES, NUCLEO EM POLIISOCIANURATO (PIR) COM ESPESSURA DE 50 MM</t>
  </si>
  <si>
    <t>AREIA MÉDIA ADQUIRIDA EM DEPÓSITO, FRETE INCLUSO (AREIA MÉDIA COMERCIAL)</t>
  </si>
  <si>
    <t>PORTA DE CORRER EM ALUMÍNIO ANODIZADO, NAS CORES BRONZE/PRETO, LINHA 30 - SEM VIDRO</t>
  </si>
  <si>
    <t>PORTA DE ABRIR EM ALUMÍNIO COM PINTURA ELETROSTÁTICA BRANCA, SOB MEDIDA, INSTALADA - SEM VIDRO</t>
  </si>
  <si>
    <t>CHAPA EXPANDIDA EM AÇO MALHA 40X100MM, ESP=1/4 (6,3MM) - 16,20 KG/M2</t>
  </si>
  <si>
    <t>KIT DE ALARME PARA WC PNE, COMPOSTO POR BOTOEIRA E SIRENE AUDIOVISUAL - FORNECIMENTO E INSTALAÇÃO</t>
  </si>
  <si>
    <t>CAIXA D'AGUA / RESERVATORIO EM POLIETILENO, 1500 LITROS, COM TAMPA</t>
  </si>
  <si>
    <t>PÓ DE PEDRA - INCLUSO FRETE</t>
  </si>
  <si>
    <t>TUBO ACO GALVANIZADO COM COSTURA, CLASSE LEVE, DN 50 MM (2"), E = 3,00 MM, *4,40* KG/M (NBR 5580)</t>
  </si>
  <si>
    <t>CABO P10</t>
  </si>
  <si>
    <t>GOINFRA</t>
  </si>
  <si>
    <t>LUMINÁRIA PLAFON DE SOBREPOR EM LED 29.5X29.5 CM, 24W 4000K BIVOLT, AVANT OU SIMILAR</t>
  </si>
  <si>
    <t>CONECTOR P10 MACHO</t>
  </si>
  <si>
    <t>JOELHO, PVC SERIE R, 90 GRAUS, DN 75 MM, PARA ESGOTO PREDIAL</t>
  </si>
  <si>
    <t>I11336</t>
  </si>
  <si>
    <t xml:space="preserve">AUXÍL IO - ENFERMIDADE </t>
  </si>
  <si>
    <t xml:space="preserve">AUXÍL IO ACIDENTE DE TRABALHO </t>
  </si>
  <si>
    <t>ÁGUA QUENTE</t>
  </si>
  <si>
    <t>5.2.1.1</t>
  </si>
  <si>
    <t>5.2.1.2</t>
  </si>
  <si>
    <t>5.2.2.1</t>
  </si>
  <si>
    <t>DRENAGEM PLUVIAL</t>
  </si>
  <si>
    <t>5.3.1.1</t>
  </si>
  <si>
    <t>5.3.1.2</t>
  </si>
  <si>
    <t>5.3.1.3</t>
  </si>
  <si>
    <t>5.3.1.4</t>
  </si>
  <si>
    <t>5.3.1.5</t>
  </si>
  <si>
    <t>5.3.1.6</t>
  </si>
  <si>
    <t>5.3.1.7</t>
  </si>
  <si>
    <t>5.3.1.8</t>
  </si>
  <si>
    <t>5.3.1.10</t>
  </si>
  <si>
    <t>5.3.1.11</t>
  </si>
  <si>
    <t>5.3.1.12</t>
  </si>
  <si>
    <t>5.3.1.13</t>
  </si>
  <si>
    <t>5.3.1.14</t>
  </si>
  <si>
    <t>5.3.1.15</t>
  </si>
  <si>
    <t>5.3.1.16</t>
  </si>
  <si>
    <t>5.3.1.17</t>
  </si>
  <si>
    <t>5.3.1.18</t>
  </si>
  <si>
    <t>5.3.1.19</t>
  </si>
  <si>
    <t>5.3.1.20</t>
  </si>
  <si>
    <t>5.3.1.21</t>
  </si>
  <si>
    <t>5.3.1.22</t>
  </si>
  <si>
    <t>5.3.2.1</t>
  </si>
  <si>
    <t>5.3.2.2</t>
  </si>
  <si>
    <t>5.3.2.3</t>
  </si>
  <si>
    <t>5.3.2.4</t>
  </si>
  <si>
    <t>5.3.2.5</t>
  </si>
  <si>
    <t>5.3.2.6</t>
  </si>
  <si>
    <t>5.3.2.7</t>
  </si>
  <si>
    <t>5.3.2.8</t>
  </si>
  <si>
    <t>5.3.2.9</t>
  </si>
  <si>
    <t>5.3.2.10</t>
  </si>
  <si>
    <t>5.3.2.11</t>
  </si>
  <si>
    <t>5.3.2.12</t>
  </si>
  <si>
    <t>5.3.2.13</t>
  </si>
  <si>
    <t>5.3.3.1</t>
  </si>
  <si>
    <t>5.3.3.2</t>
  </si>
  <si>
    <t>5.3.3.3</t>
  </si>
  <si>
    <t>5.3.3.4</t>
  </si>
  <si>
    <t>5.3.3.5</t>
  </si>
  <si>
    <t>5.3.3.6</t>
  </si>
  <si>
    <t>ESGOTOS SANITÁRIOS</t>
  </si>
  <si>
    <t>5.4.1.1</t>
  </si>
  <si>
    <t>5.4.1.2</t>
  </si>
  <si>
    <t>5.4.1.3</t>
  </si>
  <si>
    <t>5.4.1.4</t>
  </si>
  <si>
    <t>5.4.1.5</t>
  </si>
  <si>
    <t>5.4.1.6</t>
  </si>
  <si>
    <t>5.4.1.7</t>
  </si>
  <si>
    <t>5.4.1.8</t>
  </si>
  <si>
    <t>5.4.1.9</t>
  </si>
  <si>
    <t>5.4.1.10</t>
  </si>
  <si>
    <t>5.4.1.11</t>
  </si>
  <si>
    <t>5.4.1.12</t>
  </si>
  <si>
    <t>5.4.2.1</t>
  </si>
  <si>
    <t>5.4.2.2</t>
  </si>
  <si>
    <t>5.4.2.3</t>
  </si>
  <si>
    <t>5.4.2.4</t>
  </si>
  <si>
    <t>5.4.3.1</t>
  </si>
  <si>
    <t>5.4.3.2</t>
  </si>
  <si>
    <t>5.4.3.3</t>
  </si>
  <si>
    <t>5.5</t>
  </si>
  <si>
    <t>SERVIÇOS DIVERSOS</t>
  </si>
  <si>
    <t>5.5.1</t>
  </si>
  <si>
    <t>5.5.2</t>
  </si>
  <si>
    <t>5.5.3</t>
  </si>
  <si>
    <t>5.5.4</t>
  </si>
  <si>
    <t>5.5.5</t>
  </si>
  <si>
    <t>5.5.6</t>
  </si>
  <si>
    <t>5.5.7</t>
  </si>
  <si>
    <t>ÁGUA FRIA</t>
  </si>
  <si>
    <t>5.1.1.1</t>
  </si>
  <si>
    <t>5.1.1.2</t>
  </si>
  <si>
    <t>5.1.1.3</t>
  </si>
  <si>
    <t>5.1.1.4</t>
  </si>
  <si>
    <t>5.1.1.5</t>
  </si>
  <si>
    <t>5.1.1.6</t>
  </si>
  <si>
    <t>5.1.1.7</t>
  </si>
  <si>
    <t>5.1.1.8</t>
  </si>
  <si>
    <t>5.1.1.9</t>
  </si>
  <si>
    <t>5.1.1.10</t>
  </si>
  <si>
    <t>5.1.1.11</t>
  </si>
  <si>
    <t>5.1.1.12</t>
  </si>
  <si>
    <t>5.1.1.13</t>
  </si>
  <si>
    <t>5.1.1.14</t>
  </si>
  <si>
    <t>CAIXA D´ÁGUA EM POLIETILENO, 2000 LITROS - FORNECIMENTO E INSTALAÇÃO. AF_06/2021</t>
  </si>
  <si>
    <t>5.1.2.1</t>
  </si>
  <si>
    <t>5.1.2.2</t>
  </si>
  <si>
    <t>5.1.2.3</t>
  </si>
  <si>
    <t>5.1.3.1</t>
  </si>
  <si>
    <t>5.1.3.2</t>
  </si>
  <si>
    <t>5.1.3.3</t>
  </si>
  <si>
    <t>5.1.3.4</t>
  </si>
  <si>
    <t>5.1.3.5</t>
  </si>
  <si>
    <t>5.1.4.1</t>
  </si>
  <si>
    <t>5.1.4.2</t>
  </si>
  <si>
    <t>5.1.4.3</t>
  </si>
  <si>
    <t>5.1.4.4</t>
  </si>
  <si>
    <t>5.1.4.5</t>
  </si>
  <si>
    <t>5.1.4.6</t>
  </si>
  <si>
    <t>CCU 164</t>
  </si>
  <si>
    <t>Obs: Foi adotado o item 98555 do SINAPI como base por similaridade ao que pede em projeto e adicionado o material 00004030 do SINAPI</t>
  </si>
  <si>
    <t>IMPERMEABILIZAÇÃO DE SUPERFÍCIE COM ARGAMASSA POLIMÉRICA / MEMBRANA ACRÍLICA, 3 DEMÃOS. AF_09/2023 REF. 98555/SINAPI</t>
  </si>
  <si>
    <t>COT 01.020</t>
  </si>
  <si>
    <t>POSTE BALIZADOR EXTERNO - 50CM / 25W</t>
  </si>
  <si>
    <t>ILUMINA</t>
  </si>
  <si>
    <t>VERSÁTIL</t>
  </si>
  <si>
    <t>LEDTUBE</t>
  </si>
  <si>
    <t>https://www.lojailuminainstalacao.com.br/</t>
  </si>
  <si>
    <t>https://www.comercialversatil.com.br/</t>
  </si>
  <si>
    <t>https://www.ledtubeiluminacao.com.br/</t>
  </si>
  <si>
    <t>21.238.576/0001-61</t>
  </si>
  <si>
    <t>85.776.441/0001-32</t>
  </si>
  <si>
    <t>32.906.428/0001-94</t>
  </si>
  <si>
    <t>(21) 3269-4700</t>
  </si>
  <si>
    <t>(47) 3521-0294</t>
  </si>
  <si>
    <t>(47) 3333-3348</t>
  </si>
  <si>
    <t>BALIZ - 01</t>
  </si>
  <si>
    <t>BALIZ - 02</t>
  </si>
  <si>
    <t>BALIZ - 03</t>
  </si>
  <si>
    <t>COT 01.021</t>
  </si>
  <si>
    <t>LUMINÁRIA SPOT LED PARA PISO 20W</t>
  </si>
  <si>
    <t>LUMIÉREGYN</t>
  </si>
  <si>
    <t>CASA DO LED</t>
  </si>
  <si>
    <t>INSPIREHOME</t>
  </si>
  <si>
    <t>https://www.lumieregyn.com.br/</t>
  </si>
  <si>
    <t>https://www.casaledcg.com.br/</t>
  </si>
  <si>
    <t>https://www.inspirehome.com.br/</t>
  </si>
  <si>
    <t>43.731.938/0001-94</t>
  </si>
  <si>
    <t>22.103.150/0001-63</t>
  </si>
  <si>
    <t>24.335.485/0001-32</t>
  </si>
  <si>
    <t>0800 225 1000</t>
  </si>
  <si>
    <t>(67) 3326-5125</t>
  </si>
  <si>
    <t>0800 444 1255</t>
  </si>
  <si>
    <t>SPOT - 01</t>
  </si>
  <si>
    <t>SPOT - 02</t>
  </si>
  <si>
    <t>SPOT - 03</t>
  </si>
  <si>
    <t>LUMINÁRIA TIPO BALIZADOR PARA AMBIENTE ABERTO, 50 CM / 25W - FORNECIMENTO E INSTALAÇÃO REF. 103313/SINAPI</t>
  </si>
  <si>
    <t>LUMINÁRIA TIPO SPOT LED PARA PISO 20W REF. 105546/SINAPI</t>
  </si>
  <si>
    <t>LÂMPADA BULBO LED, BASE E27, BIVOLT 30 W, 2400 A 3000 LUMENS, LUZ BRANCA</t>
  </si>
  <si>
    <t>Obs: Foi adotado o item 103313 do SINAPI como base por similaridade ao que pede em projeto e alterado apenas o material para uma cotação de mercado e a lâmpada da fonte GOINFRA</t>
  </si>
  <si>
    <t>5.3.1.9</t>
  </si>
  <si>
    <t>CFTV</t>
  </si>
  <si>
    <t>REDE E TELEFONIA</t>
  </si>
  <si>
    <t>6.4.1.1</t>
  </si>
  <si>
    <t>6.4.1.2</t>
  </si>
  <si>
    <t>6.4.1.3</t>
  </si>
  <si>
    <t>6.4.1.4</t>
  </si>
  <si>
    <t>6.4.1.5</t>
  </si>
  <si>
    <t>6.4.1.6</t>
  </si>
  <si>
    <t>6.4.1.7</t>
  </si>
  <si>
    <t>6.4.1.8</t>
  </si>
  <si>
    <t>6.4.1.9</t>
  </si>
  <si>
    <t>6.4.1.10</t>
  </si>
  <si>
    <t>6.4.1.11</t>
  </si>
  <si>
    <t>6.4.1.12</t>
  </si>
  <si>
    <t>6.4.1.13</t>
  </si>
  <si>
    <t>6.4.2</t>
  </si>
  <si>
    <t>6.4.2.1</t>
  </si>
  <si>
    <t>6.4.2.2</t>
  </si>
  <si>
    <t>6.4.2.3</t>
  </si>
  <si>
    <t>6.4.2.4</t>
  </si>
  <si>
    <t>6.4.2.5</t>
  </si>
  <si>
    <t>6.4.2.6</t>
  </si>
  <si>
    <t>6.4.3</t>
  </si>
  <si>
    <t>6.5</t>
  </si>
  <si>
    <t>SONORIZAÇÃO</t>
  </si>
  <si>
    <t>6.5.1</t>
  </si>
  <si>
    <t>6.5.2</t>
  </si>
  <si>
    <t>6.5.3</t>
  </si>
  <si>
    <t>6.5.2.1</t>
  </si>
  <si>
    <t>6.5.2.2</t>
  </si>
  <si>
    <t>6.5.2.3</t>
  </si>
  <si>
    <t>6.5.2.4</t>
  </si>
  <si>
    <t>6.5.2.5</t>
  </si>
  <si>
    <t>6.5.3.1</t>
  </si>
  <si>
    <t>6.5.3.2</t>
  </si>
  <si>
    <t>6.6</t>
  </si>
  <si>
    <t>6.6.1</t>
  </si>
  <si>
    <t>6.7</t>
  </si>
  <si>
    <t>6.7.1</t>
  </si>
  <si>
    <t>6.7.2</t>
  </si>
  <si>
    <t>6.7.3</t>
  </si>
  <si>
    <t>6.7.4</t>
  </si>
  <si>
    <t>6.7.5</t>
  </si>
  <si>
    <t>6.7.6</t>
  </si>
  <si>
    <t>6.7.7</t>
  </si>
  <si>
    <t>6.7.8</t>
  </si>
  <si>
    <t>6.4.3.1</t>
  </si>
  <si>
    <t>6.5.1.1</t>
  </si>
  <si>
    <t>CCU 168</t>
  </si>
  <si>
    <t>TUTORAMENTO E AMARRIO PARA ARVORES REF. 21.34.05/SUDECAP</t>
  </si>
  <si>
    <t>CORDA SISAL 10 MM</t>
  </si>
  <si>
    <t>83.07.01</t>
  </si>
  <si>
    <t>CCU 171</t>
  </si>
  <si>
    <t>ARGILA EXPANDIDA REF. 32.06.120/SP OBRAS</t>
  </si>
  <si>
    <t>00034549</t>
  </si>
  <si>
    <t>76.20.01</t>
  </si>
  <si>
    <t>BANCO PRE-MOLDADO DE CONCRETO 45X150X45CM</t>
  </si>
  <si>
    <t>CCU 173</t>
  </si>
  <si>
    <t>00011772</t>
  </si>
  <si>
    <t>CCU 174</t>
  </si>
  <si>
    <t>RALO HEMISFÉRICO EM F° F°, TIPO ABACAXI Ø 100MM REF. S04283/ORSE</t>
  </si>
  <si>
    <t>I11708S</t>
  </si>
  <si>
    <t>Ralo fofo semiesferico, 100 mm, para lajes/ calhas</t>
  </si>
  <si>
    <t>ESTACA HÉLICE CONTÍNUA, DIÂMETRO DE 30 CM, INCLUSO CONCRETO FCK=30MPA, SEM ARMAÇÃO REF. 100651/SINAPI</t>
  </si>
  <si>
    <t>ARGILA EXPANDIDA, GRANULOMETRIA 2215</t>
  </si>
  <si>
    <t>00034640</t>
  </si>
  <si>
    <t>POSTE BALIZADOR EXTERNO - 50CM</t>
  </si>
  <si>
    <t>RALO FOFO SEMIESFERICO, 100 MM, PARA LAJES/ CALHAS</t>
  </si>
  <si>
    <t>4052</t>
  </si>
  <si>
    <t>ESPALHAMENTO DE MATERIAL COM TRATOR DE ESTEIRA, INCLUSIVE SOLO ARGILOSO E TRANSPORTE. AF_11/2019 REF. 100574/SINAPI</t>
  </si>
  <si>
    <t>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t>
  </si>
  <si>
    <t>4.4.3.4</t>
  </si>
  <si>
    <t>PINTURA COM TINTA ALQUÍDICA DE FUNDO (TIPO ZARCÃO) PULVERIZADA SOBRE SUPERFÍCIES METÁLICAS EXECUTADO EM OBRA (POR DEMÃO). AF_01/2020_PE - PINTURA DOS MASTROS</t>
  </si>
  <si>
    <t>4.4.3.5</t>
  </si>
  <si>
    <t>PINTURA COM TINTA ALQUÍDICA DE ACABAMENTO (ESMALTE SINTÉTICO ACETINADO) PULVERIZADA SOBRE SUPERFÍCIES METÁLICAS EXECUTADO EM OBRA (02 DEMÃOS). AF_01/2020_PE - PINTURA DOS MASTROS</t>
  </si>
  <si>
    <t>5.1.1.15</t>
  </si>
  <si>
    <t>5.1.1.16</t>
  </si>
  <si>
    <t>BUCHA DE REDUÇÃO, CURTA, PVC, SOLDÁVEL, DN 25 X 20 MM - FORNECIMENTO E INSTALAÇÃO. AF_06/2022</t>
  </si>
  <si>
    <t>LUVA DE CORRER, PVC, SOLDÁVEL, DN 20MM - FORNECIMENTO E INSTALAÇÃO. AF_06/2022</t>
  </si>
  <si>
    <t>BUCHA DE REDUCAO DE PVC, SOLDAVEL, CURTA, COM 25 X 20 MM, PARA AGUA FRIA PREDIAL</t>
  </si>
  <si>
    <t>00000828</t>
  </si>
  <si>
    <t>00003854</t>
  </si>
  <si>
    <t>LUVA DE CORRER PARA TUBO SOLDAVEL, PVC, 20 MM, PARA AGUA FRIA PREDIAL</t>
  </si>
  <si>
    <t>5.2.2.2</t>
  </si>
  <si>
    <t>TUBO EM COBRE RÍGIDO, DN 22 MM, CLASSE E, SEM ISOLAMENTO - FORNECIMENTO E INSTALAÇÃO. AF_04/2022</t>
  </si>
  <si>
    <t>TUBO DE COBRE CLASSE "E", DN = 22 MM, PARA INSTALACAO HIDRAULICA PREDIAL</t>
  </si>
  <si>
    <t>00012743</t>
  </si>
  <si>
    <t>LUVA DE CORRER, PVC, SOLDÁVEL, DN 25MM - FORNECIMENTO E INSTALAÇÃO. AF_06/2022</t>
  </si>
  <si>
    <t>00003873</t>
  </si>
  <si>
    <t>LUVA DE CORRER PARA TUBO SOLDAVEL, PVC, 25 MM, PARA AGUA FRIA PREDIAL</t>
  </si>
  <si>
    <t>5.3.3.7</t>
  </si>
  <si>
    <t>5.3.3.8</t>
  </si>
  <si>
    <t>CCU 175</t>
  </si>
  <si>
    <t>CCU 176</t>
  </si>
  <si>
    <t>TC-11 TAMPA DE CONCRETO PRE-MOLDADA PERF. P/ CANALETA L=35CM REF. 16.05.048/SP EDUCAÇÃO</t>
  </si>
  <si>
    <t>TC-09 TAMPA DE CONCRETO PRE-MOLDADA PERF. P/ CANALETA L=20CM REF. 16.05.046/SP EDUCAÇÃO</t>
  </si>
  <si>
    <t>CAIXA DE PASSAGEM PARA CONDICIONAMENTO DE AR TIPO SPLIT, COM SAÍDA DE DRENO ÚNICO NA VERTICAL - 39 X 22 X 6 CM REF. 43.20.130/SP OBRAS</t>
  </si>
  <si>
    <t>3.65.55</t>
  </si>
  <si>
    <t>TC-11 PLACA DE CONCR. PRE-MOLD PERF. 59,5X34,5X5CM</t>
  </si>
  <si>
    <t>3.65.53</t>
  </si>
  <si>
    <t>TC-09 PLACA DE CONCR. PRE-MOLD PERF. 59,5X19,5X5CM</t>
  </si>
  <si>
    <t>CA-20 CANALETA DE AGUAS PLUVIAIS EM OCNCRETO (15CM) REF. 16.05.030/SP EDUCAÇÃO</t>
  </si>
  <si>
    <t>P.13.000.045064</t>
  </si>
  <si>
    <t>Caixa de passagem para condicionamento de ar tipo Split de 39 x 22 x 6 cm, com saída de dreno único na vertical, sem tampa, ref. CPP-00-5U, Poloar ou equivalente</t>
  </si>
  <si>
    <t>CCU 177</t>
  </si>
  <si>
    <t>VIDRO LAMINADO INCOLOR DE 8 MM (PORTAS INTERNAS) REF. 102176/SINAPI</t>
  </si>
  <si>
    <t>VIDRO LISO LAMINADO REFLETIVO DE 8 MM REF. 102176/SINAPI</t>
  </si>
  <si>
    <t>2676</t>
  </si>
  <si>
    <t>00011029</t>
  </si>
  <si>
    <t>CCU 178</t>
  </si>
  <si>
    <t>CUMEEIRA NORMAL PARA TELHA TRAPEZOIDAL GALVANIZADA, LARGURA 0,43 M, INCLUSO ACESSÓRIOS DE FIXAÇÃO E IÇAMENTO. AF_07/2019 REF. 100326/SINAPI</t>
  </si>
  <si>
    <t>PLANTIO DE TREPADEIRA. AF_07/2024</t>
  </si>
  <si>
    <t>4.1.4.6</t>
  </si>
  <si>
    <t>SBC</t>
  </si>
  <si>
    <t>PERFIL U INOX 304 POLIDOS PARA VIDROS 8 E 10MM</t>
  </si>
  <si>
    <t>008474</t>
  </si>
  <si>
    <t>CUMEEIRA PARA TELHA GALVANIZADA TRAPEZOIDAL 0,43 MM</t>
  </si>
  <si>
    <t>HASTE RETA PARA GANCHO DE FERRO GALVANIZADO, COM ROSCA 1/4" X 30 CM PARA FIXACAO DE TELHA METALICA, INCLUI PORCA E ARRUELAS DE VEDACAO</t>
  </si>
  <si>
    <t>CAIXA DE PASSAGEM PARA CONDICIONAMENTO DE AR TIPO SPLIT DE 39 X 22 X 6 CM, COM SAÍDA DE DRENO ÚNICO NA VERTICAL, SEM TAMPA, REF. CPP-00-5U, POLOAR OU EQUIVALENTE</t>
  </si>
  <si>
    <t>PERFIL U INOX 304 POLIDOS PARA VIDROS 8 E 10MM (15X12X15MM)</t>
  </si>
  <si>
    <t>COT 01.022</t>
  </si>
  <si>
    <t>RELÉ DE MONITORAMENTO DE TENSÃO - FALTA DE FASE - TRIFÁSICO</t>
  </si>
  <si>
    <t>AXXES</t>
  </si>
  <si>
    <t>PJ NEBLINA</t>
  </si>
  <si>
    <t>ANHANGUERA FERRAMENTAS</t>
  </si>
  <si>
    <t>RELÉ - 01</t>
  </si>
  <si>
    <t>RELÉ - 02</t>
  </si>
  <si>
    <t>RELÉ - 03</t>
  </si>
  <si>
    <t>6.4.1.14</t>
  </si>
  <si>
    <t>CONDULETE DE ALUMÍNIO, PARA ELETRODUTO DE AÇO GALVANIZADO DN 25 MM (1''), APARENTE - FORNECIMENTO E INSTALAÇÃO. AF_10/2022</t>
  </si>
  <si>
    <t>AMPLIFICADOR DE SOM 500W - SLIM 4700 HDMI OPTICAL REF. S12396/ORSE</t>
  </si>
  <si>
    <t>AMPLIFICADOR DE SOM 500W - SLIM 4700 HDMI OPTICAL</t>
  </si>
  <si>
    <t>I13041</t>
  </si>
  <si>
    <t>Madeira roliça sem tratamento - eucalipto d = 16 a 19 cm</t>
  </si>
  <si>
    <t>I00546S</t>
  </si>
  <si>
    <t>I00555S</t>
  </si>
  <si>
    <t>I08820</t>
  </si>
  <si>
    <t>Barra de aco chata, retangular (qualquer bitola)</t>
  </si>
  <si>
    <t>Barra de aco chato, retangular, 25,4 mm x 6,35 mm (l x e), 1,2265 kg/m</t>
  </si>
  <si>
    <t>Chapa de aço galvanizado nº 16 - e=1,55mm - dimensões 2,00x1,00m</t>
  </si>
  <si>
    <t>I01809S</t>
  </si>
  <si>
    <t>Curva 90 graus de ferro galvanizado, com rosca bsp macho/femea, de 1 1/2"</t>
  </si>
  <si>
    <t>I09152</t>
  </si>
  <si>
    <t>Parafuso cabeça abaulada 12 x 125mm</t>
  </si>
  <si>
    <t>I21012S</t>
  </si>
  <si>
    <t>Tubo aco galvanizado com costura, classe leve, dn 40 mm (1 1/2"), e = 3,00 mm, *3,48* kg/m (nbr 5580)</t>
  </si>
  <si>
    <t>RELATÓRIO ANALÍTICO MODIFICADO - ADMINISTRAÇÃO LOCAL</t>
  </si>
  <si>
    <t>CCU 035</t>
  </si>
  <si>
    <t>ADMINISTRAÇÃO LOCAL</t>
  </si>
  <si>
    <t>DECA</t>
  </si>
  <si>
    <t>https://www.decaloja.com.br/</t>
  </si>
  <si>
    <t>08.806.318/0001-76</t>
  </si>
  <si>
    <t>(11) 2853-0330</t>
  </si>
  <si>
    <t>TRANSPORTE COM CAMINHÃO BASCULANTE DE 14 M³, EM VIA URBANA PAVIMENTADA, DMT ATÉ 30 KM (UNIDADE: M3XKM). AF_07/2020</t>
  </si>
  <si>
    <t>TRANSPORTE COM CAMINHÃO BASCULANTE DE 14 M³, EM VIA URBANA PAVIMENTADA, ADICIONAL PARA DMT EXCEDENTE A 30 KM (UNIDADE: M3XKM). AF_07/2020</t>
  </si>
  <si>
    <t>CARGA, MANOBRA E DESCARGA DE SOLOS E MATERIAIS GRANULARES EM CAMINHÃO BASCULANTE 14 M³ - CARGA COM PÁ CARREGADEIRA (CAÇAMBA DE 1,7 A 2,8 M³ / 128 HP) E DESCARGA LIVRE (UNIDADE: M3). AF_07/2020</t>
  </si>
  <si>
    <t>EMPOLAMENTO</t>
  </si>
  <si>
    <t>DMT(KM)</t>
  </si>
  <si>
    <t>VOLUME DE ARGILA OU BARRO</t>
  </si>
  <si>
    <t>00006079</t>
  </si>
  <si>
    <t>ARGILA, ARGILA VERMELHA OU ARGILA ARENOSA (RETIRADA NA JAZIDA, SEM TRANSPORTE)</t>
  </si>
  <si>
    <t>G.02.000.034590</t>
  </si>
  <si>
    <t>Porcelanato técnico natural, com acabamento retificado, indicado para áreas internas e ambientes com acesso ao exterior, grupo de absorção Bla; ref. Eliane, Incepa ou equivalente</t>
  </si>
  <si>
    <t>3.3.6</t>
  </si>
  <si>
    <t>PILAR METÁLICO PERFIL LAMINADO OU SOLDADO EM AÇO ESTRUTURAL, COM CONEXÕES SOLDADAS, INCLUSOS MÃO DE OBRA, TRANSPORTE E IÇAMENTO UTILIZANDO GUINDASTE - FORNECIMENTO E INSTALAÇÃO. AF_01/2020_PA REF. 100766/SINAPI</t>
  </si>
  <si>
    <t>CCU 140</t>
  </si>
  <si>
    <t>VIGA METÁLICA EM PERFIL LAMINADO OU SOLDADO EM AÇO ESTRUTURAL, COM CONEXÕES SOLDADAS, INCLUSOS MÃO DE OBRA, TRANSPORTE E IÇAMENTO UTILIZANDO GUINDASTE - FORNECIMENTO E INSTALAÇÃO. AF_01/2020_PA REF. 100764/SINAPI</t>
  </si>
  <si>
    <t>Obs: Foi adotado o item 100766 do SINAPI e por questão de similaridade ao que se pede em projeto, foi alterado o material do perfil de aço para o material 30640 do SIURB</t>
  </si>
  <si>
    <t>00001333</t>
  </si>
  <si>
    <t>CHAPA DE ACO GROSSA, ASTM A36, E = 1/2" (12,70 MM) 99,59 KG/M2</t>
  </si>
  <si>
    <t>00010997</t>
  </si>
  <si>
    <t>30640</t>
  </si>
  <si>
    <t>PERFIL DE AÇO ASTM-36</t>
  </si>
  <si>
    <t>SIURB</t>
  </si>
  <si>
    <t>88240</t>
  </si>
  <si>
    <t>AJUDANTE DE ESTRUTURA METÁLICA COM ENCARGOS COMPLEMENTARES</t>
  </si>
  <si>
    <t>88317</t>
  </si>
  <si>
    <t>100716</t>
  </si>
  <si>
    <t>JATEAMENTO ABRASIVO COM GRANALHA DE AÇO EM PERFIL METÁLICO EM FÁBRICA. AF_01/2020</t>
  </si>
  <si>
    <t>100719</t>
  </si>
  <si>
    <t>PINTURA COM TINTA ALQUÍDICA DE FUNDO (TIPO ZARCÃO) PULVERIZADA SOBRE PERFIL METÁLICO EXECUTADO EM FÁBRICA (POR DEMÃO). AF_01/2020_PE</t>
  </si>
  <si>
    <t>00004777</t>
  </si>
  <si>
    <t>CANTONEIRA ACO ABAS IGUAIS (QUALQUER BITOLA), ESPESSURA ENTRE 1/8" E 1/4"</t>
  </si>
  <si>
    <t>Obs: Foi adotado o item 100764 do SINAPI e por questão de similaridade ao que se pede em projeto, foi alterado o material do perfil de aço para o material 30640 do SIURB</t>
  </si>
  <si>
    <t>DIAS DE CHUVA E OUTRAS DIFICULDADES</t>
  </si>
  <si>
    <t>E</t>
  </si>
  <si>
    <t>GRUPO E</t>
  </si>
  <si>
    <t>E1</t>
  </si>
  <si>
    <t>VALE REFEIÇÃO</t>
  </si>
  <si>
    <t>E2</t>
  </si>
  <si>
    <t>VALE TRANSPORTE</t>
  </si>
  <si>
    <t>E3</t>
  </si>
  <si>
    <t>EPI'S</t>
  </si>
  <si>
    <t>E4</t>
  </si>
  <si>
    <t>SEGURO DE VIDA COLETIVO</t>
  </si>
  <si>
    <t>SIURB/SP</t>
  </si>
  <si>
    <t>COMPOSIÇÕES PRÓPIRAS</t>
  </si>
  <si>
    <t>2024/07 SEM DESONERAÇÃO</t>
  </si>
  <si>
    <t>SIURB - 07/2024 -SP - SEM DESONERAÇÃO</t>
  </si>
  <si>
    <t>PORCELANATO TÉCNICO NATURAL, COM ACABAMENTO RETIFICADO, INDICADO PARA ÁREAS INTERNAS E AMBIENTES COM ACESSO AO EXTERIOR, GRUPO DE ABSORÇÃO BIA; REF. ELIANE, INCEPA OU EQUIVALENTE</t>
  </si>
  <si>
    <t>CURVA 90 GRAUS DE FERRO GALVANIZADO, COM ROSCA BSP MACHO/FEMEA, DE 1 1/2"</t>
  </si>
  <si>
    <t>TUBO ACO GALVANIZADO COM COSTURA, CLASSE LEVE, DN 40 MM (1 1/2"), E = 3,00 MM, *3,48* KG/M (NBR 5580)</t>
  </si>
  <si>
    <t>BARRA DE ACO CHATO, RETANGULAR, 25,4 MM X 6,35 MM (L X E), 1,2265 KG/M</t>
  </si>
  <si>
    <t>PARAFUSO CABEÇA ABAULADA 12 X 125MM</t>
  </si>
  <si>
    <t>BARRA DE ACO CHATA, RETANGULAR (QUALQUER BITOLA)</t>
  </si>
  <si>
    <t>MADEIRA ROLIÇA SEM TRATAMENTO - EUCALIPTO D = 16 A 19 CM</t>
  </si>
  <si>
    <t>CHAPA DE AÇO GALVANIZADO Nº 16 - E=1,55MM - DIMENSÕES 2,00X1,00M</t>
  </si>
  <si>
    <t>GRADIL EM AÇO GALVANIZADO, ELETROSOLDADO, COM PINTURA ELETROSTÁTICA EM POLIÉSTER, MALHA 5X20 CM; FIO 5,0 MM, L=2,50 M E H = 2,03 M - NYLOFOR OU EQUIVALENTE REF. 270720/GOINFRA CIVIL</t>
  </si>
  <si>
    <t>PORTÃO EM GRADIL BELGO NYLOFOR 3D, DE CORRER, INCLUSIVE FERROLHOPS E RODÍZIOS REF. 34.05.300/SP OBRAS</t>
  </si>
  <si>
    <t>I09357</t>
  </si>
  <si>
    <t>Portão em gradil Belgo Nyloford 3D, de correr, soldado em quadro de tubo galv. 2" com cantoneira 3/4", montantes em tubo galvanizado 4", inclusive ferrolho e rodízios</t>
  </si>
  <si>
    <t>Obs: Foi considerado o item 34.05.300 do SP Obras como referência e alterado o material para I09357 da fonte ORSE por similaridade ao que se pede em projeto.</t>
  </si>
  <si>
    <t>2804</t>
  </si>
  <si>
    <t>AREIA GROSSA</t>
  </si>
  <si>
    <t>2386</t>
  </si>
  <si>
    <t>BRITA Nº 1</t>
  </si>
  <si>
    <t>2497</t>
  </si>
  <si>
    <t>BRITA Nº 2</t>
  </si>
  <si>
    <t>1215</t>
  </si>
  <si>
    <t>CIMENTO PORTLAND CPII-32</t>
  </si>
  <si>
    <t>Kg</t>
  </si>
  <si>
    <t>2987</t>
  </si>
  <si>
    <t>FIXADOR EM POLIAMIDA, COM CAPS PLÁSTICO E PARAFUSO EM AÇO INOX CABEÇA SEXTAVADA M6 X 40 MM PARA GRADIL METÁLICO</t>
  </si>
  <si>
    <t>2985</t>
  </si>
  <si>
    <t>PAINEL PARA GRADIL METÁLICO EM ARAME GALVANIZADO A FOGO, ELETROSOLDADO E REVESTIDO COM PINTURA ELETROSTÁTICA EM PÓLIESTER, MALHA 5X20 CM, FIO 5,0MM, L=2,50 M, H=2,03 M</t>
  </si>
  <si>
    <t>1858</t>
  </si>
  <si>
    <t>PONTALETE 3x3"</t>
  </si>
  <si>
    <t>2986</t>
  </si>
  <si>
    <t>POSTE EM AÇO GALVANIZADO COM PINTURA ELETROSTÁTICA PARA GRADIL METÁLICO, 40X60 MM, H=2,60 M</t>
  </si>
  <si>
    <t>2988</t>
  </si>
  <si>
    <t>TAMPA PLÁSTICA PARA POSTE DE GRADIL METÁLICO</t>
  </si>
  <si>
    <t>0032</t>
  </si>
  <si>
    <t>OPERADOR DE BETONEIRA</t>
  </si>
  <si>
    <t>Valor Total:</t>
  </si>
  <si>
    <t>2025/01 (196) SEM DESONERAÇÃO</t>
  </si>
  <si>
    <t>2024/10</t>
  </si>
  <si>
    <t>2024/10 SEM DESONERAÇÃO</t>
  </si>
  <si>
    <t>PORTÃO EM GRADIL BELGO NYLOFORD 3D, DE CORRER, SOLDADO EM QUADRO DE TUBO GALV. 2" COM CANTONEIRA 3/4", MONTANTES EM TUBO GALVANIZADO 4", INCLUSIVE FERROLHO E RODÍZIOS</t>
  </si>
  <si>
    <t>TORNEIRA METALICA CROMADA PARA JARDIM / TANQUE, COM BICO PLASTICO, CANO LONGO, DE PAREDE, PADRAO POPULAR / USO GERAL, 1/2" OU 3/4"</t>
  </si>
  <si>
    <t>PONTALETE 3X3"</t>
  </si>
  <si>
    <t>LIXA D'AGUA EM FOLHA, COR PRETA, GRAO 100</t>
  </si>
  <si>
    <t>TORNEIRA METALICA CROMADA, DE MESA/BANCADA, PARA COZINHA, BICA MOVEL, COM AREJADOR, 1/2" OU 3/4"</t>
  </si>
  <si>
    <t>FITA CREPE ROLO DE *25* MM X 50 M</t>
  </si>
  <si>
    <t>TORNEIRA METALICA CROMADA, CANO CURTO, COM AREJADOR, SEM BICO PLASTICO, DE PAREDE, PARA USO GERAL, 1/2" OU 3/4"</t>
  </si>
  <si>
    <t>FITA VEDA ROSCA, EM PTFE, ROLO DE 18 MM X 50 M (L X C)</t>
  </si>
  <si>
    <t>FITA VEDA ROSCA, EM PTFE, ROLO DE 18 MM X 10 M (L X C)</t>
  </si>
  <si>
    <t>DISCO DE CORTE DIAMANTADO SEGMENTADO PARA CONCRETO/ASFALTO, DIAMETRO DE *350* MM, FURO DE 25,40 MM</t>
  </si>
  <si>
    <t>CDHU - 196 - SP - SEM DESONERAÇÃO</t>
  </si>
  <si>
    <t>SP EDUCAÇÃO 2024/10</t>
  </si>
  <si>
    <t>SUDECAP - 10/2024 - MINAS GERAIS - SEM DESONERAÇÃO</t>
  </si>
  <si>
    <t>GOINFRA CIVIL - 10/2024 - GOIÁS - SEM DESONERAÇÃO</t>
  </si>
  <si>
    <t>T279 - 2024/10 SEM DESONERAÇÃO</t>
  </si>
  <si>
    <t>DEPÓSITO POR DESPEDIDA INJUSTA: 50% SOBRE (A2+(A2XB))</t>
  </si>
  <si>
    <t>AVISO-PRÉVIO INDENIZADO (*)</t>
  </si>
  <si>
    <t>REPOUSO SEMANAL E FERIADOS</t>
  </si>
  <si>
    <t>AUXPÍLIO-ENFERMIDADE (*)</t>
  </si>
  <si>
    <t>LICENÇA_PATERNIDADE (*)</t>
  </si>
  <si>
    <t>13O. SÁLARIO</t>
  </si>
  <si>
    <t>DIAS DE CHUVA/FALTAS JUSTIFICADAS/ACIDENTES DE TRABALHO/GREVES/FALTA OU ATRASO NA ENTREGA DE MATERIAIS OU SERVIÇOS NA OBRA/OUTRAS DIFICULDADES (*)</t>
  </si>
  <si>
    <t>100974</t>
  </si>
  <si>
    <t>93589</t>
  </si>
  <si>
    <t>89998</t>
  </si>
  <si>
    <t>90279</t>
  </si>
  <si>
    <t>94964</t>
  </si>
  <si>
    <t>JANEIRO DE 2025</t>
  </si>
  <si>
    <t>PLANTIO DE GRAMA ESMERALDA OU SÃO CARLOS OU CURITIBANA (VÃOS DO PISOGRAMA)</t>
  </si>
  <si>
    <t>3.5</t>
  </si>
  <si>
    <t>IMPERMEABILIZAÇÃO</t>
  </si>
  <si>
    <t>3.5.1</t>
  </si>
  <si>
    <t>FUNDAÇÃO</t>
  </si>
  <si>
    <t>3.5.1.1</t>
  </si>
  <si>
    <t>3.5.2</t>
  </si>
  <si>
    <t>3.5.2.1</t>
  </si>
  <si>
    <t>IMPERMEABILIZAÇÃO DE SUPERFÍCIE COM MANTA ASFÁLTICA, DUAS CAMADAS, INCLUSIVE APLICAÇÃO DE PRIMER ASFÁLTICO, E=3MM E E=4MM. AF_09/2023</t>
  </si>
  <si>
    <t>3.5.2.2</t>
  </si>
  <si>
    <t>AR CONDICIONADO SPLIT ON/OFF, CASSETE (TETO), FRIO 4 VIAS 48000 BTU/H - FORNECIMENTO E INSTALAÇÃO. AF_11/2021_PE</t>
  </si>
  <si>
    <t>00043199</t>
  </si>
  <si>
    <t>AR CONDICIONADO SPLIT ON/OFF, CASSETE (TETO), FRIO 4 VIAS 48000 BTUS/H, CLASSIFICACAO ENERGETICA C - SELO PROCEL, GAS HFC, CONTROLE S/ FIO</t>
  </si>
  <si>
    <t>h2317</t>
  </si>
  <si>
    <t>REGISTRO GAVETA BRUTO EM LATAO FORJADO, BITOLA 1"</t>
  </si>
  <si>
    <t>REGISTRO GAVETA COM ACABAMENTO E CANOPLA CROMADOS, SIMPLES, BITOLA 3/4"</t>
  </si>
  <si>
    <t>REGISTRO GAVETA COM ACABAMENTO E CANOPLA CROMADOS, SIMPLES, BITOLA 1"</t>
  </si>
  <si>
    <t>COT 01.023</t>
  </si>
  <si>
    <t>COTAÇÃO</t>
  </si>
  <si>
    <t>QI ESQUADRIAS</t>
  </si>
  <si>
    <t>ALUMI ESQUADRIAS</t>
  </si>
  <si>
    <t>ESTRUTURAL ESQUADRIAS</t>
  </si>
  <si>
    <t>https://www.qiesquadriasdealuminiodf.com.br/</t>
  </si>
  <si>
    <t>https://www.esquadriasalumi.com.br/</t>
  </si>
  <si>
    <t>https://wvetro.com.br/</t>
  </si>
  <si>
    <t>52.700.173/0001-16</t>
  </si>
  <si>
    <t>25.254.534/0001-75</t>
  </si>
  <si>
    <t>27.857.552/0001-77</t>
  </si>
  <si>
    <t>(61) 99643-1382</t>
  </si>
  <si>
    <t>(61) 99863-3538</t>
  </si>
  <si>
    <t>(61) 98121-4881</t>
  </si>
  <si>
    <t>ESQUA - 01</t>
  </si>
  <si>
    <t>ESQUA - 02</t>
  </si>
  <si>
    <t>ESQUA - 03</t>
  </si>
  <si>
    <t>ALVENARIA DE VEDAÇÃO DE BLOCOS CERÂMICOS FURADOS NA HORIZONTAL DE 14X19X39 CM (ESPESSURA 14 CM) E ARGAMASSA DE ASSENTAMENTO COM PREPARO EM BETONEIRA. AF_12/2021</t>
  </si>
  <si>
    <t>00044463</t>
  </si>
  <si>
    <t>SINALIZADOR FOTOLUMINESCENTE 7 X 3CM, CANTONEIRA, PARA DEGRAUS DE ESCADA REF. S13788/ORSE</t>
  </si>
  <si>
    <t>Adesivo acrilico de base aquosa / cola de contato</t>
  </si>
  <si>
    <t>Sinalizador fotoluminescente 7 x 3cm, cantoneira, para degraus de escada</t>
  </si>
  <si>
    <t>I04791S</t>
  </si>
  <si>
    <t>I14591</t>
  </si>
  <si>
    <t>SINALIZADOR FOTOLUMINESCENTE 7 X 3CM, CANTONEIRA, PARA DEGRAUS DE ESCADA</t>
  </si>
  <si>
    <t>ADESIVO ACRILICO DE BASE AQUOSA / COLA DE CONTATO</t>
  </si>
  <si>
    <t>6.1.4.18</t>
  </si>
  <si>
    <t>CCU 008</t>
  </si>
  <si>
    <t>REFLETOR SLIM LED 100W DE POTÊNCIA, BRANCO FRIO, 6500K, AUTOVOLT, MARCA G-LIGHT OU SIMILAR REF. S13148/ORSE</t>
  </si>
  <si>
    <t>Refletor Slim LED 100W de potência, branco Frio, 6500k, Autovolt, marca G-light ou similar</t>
  </si>
  <si>
    <t>I13791</t>
  </si>
  <si>
    <t>REFLETOR SLIM LED 100W DE POTÊNCIA, BRANCO FRIO, 6500K, AUTOVOLT, MARCA G-LIGHT OU SIMILAR</t>
  </si>
  <si>
    <t>4.2.8</t>
  </si>
  <si>
    <t>COT 01.024</t>
  </si>
  <si>
    <t>TAPETE SINALIZADOR DE ESPAÇO RESERVADO PARA CADEIRANTE</t>
  </si>
  <si>
    <t>TOTAL ACESSIBILIDADE</t>
  </si>
  <si>
    <t>REI DOS CAPACHOS</t>
  </si>
  <si>
    <t>CAMPOS CAPACHOS</t>
  </si>
  <si>
    <t>https://totalacessibilidade.com.br/</t>
  </si>
  <si>
    <t>https://reidoscapachos.com/</t>
  </si>
  <si>
    <t>https://camposcapachos.com.br/</t>
  </si>
  <si>
    <t>12.127.024/0001-95</t>
  </si>
  <si>
    <t>08.727.087/0001-05</t>
  </si>
  <si>
    <t>43.482.256/0001-95</t>
  </si>
  <si>
    <t>800 042 9944</t>
  </si>
  <si>
    <t>(61) 3202-8402</t>
  </si>
  <si>
    <t>(11) 3849-7678</t>
  </si>
  <si>
    <t>PCR - 01</t>
  </si>
  <si>
    <t>PCR - 02</t>
  </si>
  <si>
    <t>PCR - 03</t>
  </si>
  <si>
    <t>CCU 021</t>
  </si>
  <si>
    <t>3.87.12</t>
  </si>
  <si>
    <t>SELADOR DE BORDA SECAGEM RAPIDA (BISNAGA) P/ FITA ANTIDERRAPANTE</t>
  </si>
  <si>
    <t>CCU 043</t>
  </si>
  <si>
    <t>4.4.3.6</t>
  </si>
  <si>
    <t>PORTINHOLA DE ABRIR DE 01 FOLHA DE VIDRO C/FERRAGENS REF. 180502/GOINFRA CIVIL</t>
  </si>
  <si>
    <t>00003104</t>
  </si>
  <si>
    <t>00038168</t>
  </si>
  <si>
    <t>PUXADOR TUBULAR RETO DUPLO, EM ALUMINIO CROMADO, COMPRIMENTO DE APROX 400 MM E DIAMETRO DE 25 MM (1")</t>
  </si>
  <si>
    <t>00043601</t>
  </si>
  <si>
    <t xml:space="preserve">	PUXADOR TUBULAR RETO SIMPLES, EM ALUMINIO CROMADO, COM COMPRIMENTO DE APROX 400 MM E DIAMETRO DE 25 MM</t>
  </si>
  <si>
    <t>JANELAS E DIVISÓRIAS INTERNAS</t>
  </si>
  <si>
    <t>4.1.3.2</t>
  </si>
  <si>
    <t>4.1.3.3</t>
  </si>
  <si>
    <t>CCU 048</t>
  </si>
  <si>
    <t>CCU 110</t>
  </si>
  <si>
    <t xml:space="preserve">	Areia média adquirida em depósito, frete incluso (Areia Média Comercial)</t>
  </si>
  <si>
    <t>H.05.000.027635</t>
  </si>
  <si>
    <t>Caixilho fixo em alumínio anodizado, na cor branca, linha 30 - sem vidro</t>
  </si>
  <si>
    <t>CAIXILHO EM ALULMÍNIO COM PINTURA ELETROSTÁTICA, FIXO, SOB MEDIDA - BRANCO (MONTANTES E DIVISÓRIAS INTERNAS) REF. 25.01.500/SP OBRAS</t>
  </si>
  <si>
    <t>0104</t>
  </si>
  <si>
    <t>AREIA MÉDIA</t>
  </si>
  <si>
    <t>CHAPA PERFILADA Nº 18</t>
  </si>
  <si>
    <t>CONJ. DE FERRAGENS PARA PORTA DE VIDRO TEMPERADO, EM ZAMAC CROMADO, CONTEMPLANDO DOBRADICA INF., DOBRADICA SUP., PIVO PARA DOBRADICA INF., PIVO PARA DOBRADICA SUP., FECHADURA CENTRAL EM ZAMC. CROMADO, CONTRA FECHADURA DE PRESSAO</t>
  </si>
  <si>
    <t>DISCO DE CORTE DIAM. 5/8"- 10"</t>
  </si>
  <si>
    <t>DISCO DE DESBASTE 7/8" PARA CONCRETO/FERRO (1/4" X 7")</t>
  </si>
  <si>
    <t>ELETRODO 2.5 OK</t>
  </si>
  <si>
    <t>FABRICAÇÃO / MONTAGEM</t>
  </si>
  <si>
    <t>LIXA PARA FERRO Nº 100</t>
  </si>
  <si>
    <t>MASSA PLASTICA</t>
  </si>
  <si>
    <t>CAIXILHO FIXO EM ALUMÍNIO ANODIZADO, NAS CORES BRONZE/PRETO, LINHA 30 - SEM VIDRO</t>
  </si>
  <si>
    <t>PUXADOR TUBULAR RETO SIMPLES, EM ALUMINIO CROMADO, COM COMPRIMENTO DE APROX 400 MM E DIAMETRO DE 25 MM</t>
  </si>
  <si>
    <t>2372</t>
  </si>
  <si>
    <t>2927</t>
  </si>
  <si>
    <t>2417</t>
  </si>
  <si>
    <t>2246</t>
  </si>
  <si>
    <t>1334</t>
  </si>
  <si>
    <t>1264</t>
  </si>
  <si>
    <t>1672</t>
  </si>
  <si>
    <t>4.4.1.4.9</t>
  </si>
  <si>
    <t>4.4.1.4.10</t>
  </si>
  <si>
    <t>ALVENARIA DE VEDAÇÃO DE BLOCOS CERÂMICOS MACIÇOS DE 5X10X20CM (ESPESSURA 10CM) E ARGAMASSA DE ASSENTAMENTO COM PREPARO EM BETONEIRA. AF_05/2020 (GUIA DE BALIZAMENTO DOS CORRIMÃOS)</t>
  </si>
  <si>
    <t>REBOCO, EM ARGAMASSA TRAÇO 1:2:8, PREPARO MANUAL, APLICADA MANUALMENTE EM PAREDES EXTERNAS DE AMBIENTES COM ÁREA MENOR OU IGUAL A 10M², E = 10MM, COM TALISCAS. AF_03/2024 (GUIA DE BALIZAMENTO DOS CORRIMÃOS)</t>
  </si>
  <si>
    <t>B.09.000.024069</t>
  </si>
  <si>
    <t>Aditivo hidrófugo de pega normal; ref. Vedacit, Sika 1 / Sika ou equivalente</t>
  </si>
  <si>
    <t>3.4.3.13</t>
  </si>
  <si>
    <t>CCU 161</t>
  </si>
  <si>
    <t>IMPERMEABILIZAÇÃO EM ARGAMASSA DE CONCRETO NÃO ESTRUTURAL COM ADITIVO HIDRÓFUGO REF. 32.17.012/SP OBRAS</t>
  </si>
  <si>
    <t>5.1.1.17</t>
  </si>
  <si>
    <t>REGISTRO DE GAVETA BRUTO, LATÃO, ROSCÁVEL, 1 1/2", COM ACABAMENTO E CANOPLA CROMADOS - FORNECIMENTO E INSTALAÇÃO. AF_08/2021</t>
  </si>
  <si>
    <t>00006015</t>
  </si>
  <si>
    <t>REGISTRO GAVETA COM ACABAMENTO E CANOPLA CROMADOS, SIMPLES, BITOLA 1 1/2"</t>
  </si>
  <si>
    <t>ADITIVO HIDRÓFUGO DE PEGA NORMAL; REF. VEDACIT, SIKA 1 / SIKA OU EQUIVALENTE</t>
  </si>
  <si>
    <t>SHAFTS COM SISTEMA EM CHAPAS DE GESSO PARA DRYWALL (ST), USO INTERNO, COM UMA FACE SIMPLES E ESTRUTURA METÁLICA COM GUIAS SIMPLES, SEM VÃOS. AF_07/2023_PS</t>
  </si>
  <si>
    <t>4.1.1.2.4</t>
  </si>
  <si>
    <t>CCU 088</t>
  </si>
  <si>
    <t>SHAFTS COM SISTEMA EM CHAPAS DE GESSO PARA DRYWALL (RU), USO INTERNO, COM UMA FACE SIMPLES E ESTRUTURA METÁLICA COM GUIAS SIMPLES, SEM VÃOS. AF_07/2023_PS REF. 96370/SINAPI</t>
  </si>
  <si>
    <t>00039417</t>
  </si>
  <si>
    <t>PLACA / CHAPA DE GESSO ACARTONADO, RESISTENTE A UMIDADE (RU), COR VERDE, E = 12,5 MM, 1200 X 2400 MM (L X C)</t>
  </si>
  <si>
    <t>Obs: Foi adotado o item 96370 do SINAPI como base e substituído o material 00039413 pelo 00039417 para melhor atender o que se pede em projeto</t>
  </si>
  <si>
    <t>COT 01.025</t>
  </si>
  <si>
    <t>JARDINS ROMERO MELO</t>
  </si>
  <si>
    <t>https://jardinsromeromelo.com.br</t>
  </si>
  <si>
    <t>30.058.223/001-70</t>
  </si>
  <si>
    <t>(61) 3383-2249</t>
  </si>
  <si>
    <t>ARB - 01</t>
  </si>
  <si>
    <t>Chapa expandida em aço (1,5mm) - 7,40 kg/m2</t>
  </si>
  <si>
    <t>PAINEL RIPADO EM MDF - FIXAÇÃO EM PORTAS E PAREDES (CHAPAS DE 1,34 X 2,50 M)</t>
  </si>
  <si>
    <t>TAXA DE DESCARTE DE MATERIAL CONFORME SLU (SERVIÇO DE LIMPEZA URBANA DO DISTRITO FEDERAL) - DISTÂNCIA DE 41,6 KM</t>
  </si>
  <si>
    <t>TRANSPORTE COM CAMINHÃO BASCULANTE, EM VIA URBANA - DESCARTE NA DISTÂNCIA DE 19,2 KM NO URE (UNIDADE DE RECEBIMENTO DE ENTULHOS). AF_07/2020</t>
  </si>
  <si>
    <t>PORTINHOLA EM ALUMÍNIO ANODIZADO, TIPO VENEZIANA, SOB MEDIDA - BRONZE/PRETO REF. 25.02.260/SP OBRAS</t>
  </si>
  <si>
    <t>Portinhola em alumínio anodizado linha 30, tipo veneziana, nas cores bronze/preto</t>
  </si>
  <si>
    <t>4.1.6.1.26</t>
  </si>
  <si>
    <t>COT 01.026</t>
  </si>
  <si>
    <t>BARRA DESLIZANTE 70 CM COM SUPORTE PARA DUCHA</t>
  </si>
  <si>
    <t>LINHA DIRETA</t>
  </si>
  <si>
    <t>ROCA BRASIL</t>
  </si>
  <si>
    <t>https://www.lojaldacabamentos.com.br/</t>
  </si>
  <si>
    <t>https://www.rocabrasilstore.com.br/</t>
  </si>
  <si>
    <t>https://www.madeiramadeira.com.br/</t>
  </si>
  <si>
    <t>06.091.091/0001-02</t>
  </si>
  <si>
    <t>75.801.902/0001-26</t>
  </si>
  <si>
    <t>(19) 99373-9752</t>
  </si>
  <si>
    <t>(11) 3230-5530</t>
  </si>
  <si>
    <t>BARRA - 01</t>
  </si>
  <si>
    <t>BARRA - 02</t>
  </si>
  <si>
    <t>BARRA - 03</t>
  </si>
  <si>
    <t>PISO PODOTÁTIL DE ALERTA OU DIRECIONAL, DE BORRACHA, COLORIDO, ASSENTADO COM COLA REF. 101094/SINAPI</t>
  </si>
  <si>
    <t>PISO TATIL ALERTA OU DIRECIONAL, DE BORRACHA, COLORIDO, 25 X 25 CM, E = 5 MM, PARA COLA</t>
  </si>
  <si>
    <t>00004791</t>
  </si>
  <si>
    <t>00038181</t>
  </si>
  <si>
    <t>Obs: Foi adotado o item 101094 do SINAPI e por questão de similaridade ao que se pede em projeto, alterando os materiais de cimento e piso para argamassa para os materiais de cola de contato (adotando o coeficiente com base no item 13.002.043 do SIURB) e piso tátil de borracha para cola mais o serviço de vedador de bordas</t>
  </si>
  <si>
    <t>CHAPISCO APLICADO EM ALVENARIAS E ESTRUTURAS DE CONCRETO INTERNAS, COM COLHER DE PEDREIRO. ARGAMASSA TRAÇO 1:3 COM PREPARO EM BETONEIRA 400L. AF_10/2022 (INTERNO)</t>
  </si>
  <si>
    <t>ARGAMASSA TRAÇO 1:3 (EM VOLUME DE CIMENTO E AREIA GROSSA ÚMIDA) PARA CHAPISCO CONVENCIONAL, PREPARO MECÂNICO COM BETONEIRA 400 L. AF_08/2019</t>
  </si>
  <si>
    <t>REBOCO, EM ARGAMASSA TRAÇO 1:2:8, PREPARO MECÂNICO, APLICADA MANUALMENTE EM PAREDES INTERNAS DE AMBIENTES COM ÁREA MAIOR QUE 10M², E = 10MM, COM TALISCAS. AF_03/2024</t>
  </si>
  <si>
    <t>EMBOÇO, EM ARGAMASSA TRAÇO 1:2:8, PREPARO MECÂNICO, APLICADO MANUALMENTE EM PAREDES INTERNAS, PARA AMBIENTES COM ÁREA MENOR QUE 5M², E = 10MM,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</si>
  <si>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</si>
  <si>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</si>
  <si>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Obs: Foi utilizado o item S07947 da fonte ORSE como bas epor questão de similaridade ao que se pede em projeto e recaldulado o coeficiente do material I34493S para atender a uma laje de 10 cm de espessura ((0,11300000 x 0,10)/0,15)</t>
  </si>
  <si>
    <t>LAJE PRÉ-FABRICADA STEEL DECK, ESPESSURA DA CHAPA 0,80 MM, ESPESSURA DA LAJE 10 CM, COM CAPA DE CONCRETO FCK=25MPA REF. S07947/ORSE</t>
  </si>
  <si>
    <t>4.1.5.2.1.13</t>
  </si>
  <si>
    <t>APLICAÇÃO MANUAL DE MASSA ACRÍLICA EM PANOS DE FACHADA SEM PRESENÇA DE VÃOS, DE EDIFÍCIOS DE MÚLTIPLOS PAVIMENTOS, DUAS DEMÃOS. AF_03/2024</t>
  </si>
  <si>
    <t>4.3.28</t>
  </si>
  <si>
    <t>CCU 183</t>
  </si>
  <si>
    <t>MANTA GEOTÊXTIL PARA TALUDE REF. 08.05.180/SP OBRAS</t>
  </si>
  <si>
    <t>Manta geotêxtil com resistência à tração longitudinal de 10kN/m e transversal de 9kN/m, ref. linha Bidim RT ou equivalente</t>
  </si>
  <si>
    <t>F.09.000.024080</t>
  </si>
  <si>
    <t>ARB - 02</t>
  </si>
  <si>
    <t>AGROFLORES</t>
  </si>
  <si>
    <t>(19) 3902-9030</t>
  </si>
  <si>
    <t>https://www.agroflores.com.br/</t>
  </si>
  <si>
    <t>28.872.514/0001-56</t>
  </si>
  <si>
    <t>MANTA GEOTÊXTIL COM RESISTÊNCIA À TRAÇÃO LONGITUDINAL DE 10KN/M E TRANSVERSAL DE 9KN/M, REF. LINHA BIDIM RT OU EQUIVALENTE</t>
  </si>
  <si>
    <t>CALHA EM CHAPA DE AÇO GALVANIZADO NÚMERO 24, DESENVOLVIMENTO DE 100 CM, INCLUSO TRANSPORTE VERTICAL. AF_07/2019</t>
  </si>
  <si>
    <t>00040784</t>
  </si>
  <si>
    <t>CALHA QUADRADA DE CHAPA DE ACO GALVANIZADA NUM 24, CORTE 100 CM</t>
  </si>
  <si>
    <t>PAREDE IMPERMEABILIZADA (PLATIBANDA)</t>
  </si>
  <si>
    <t>CAESB - 04/2024 - DISTRITO FEDERAL - SEM DESONERAÇÃO</t>
  </si>
  <si>
    <t>2024/12</t>
  </si>
  <si>
    <t>ORSE - 12/2024 - SERGIPE - SEM DESONERAÇÃO</t>
  </si>
  <si>
    <t>4.1.5.2.1.14</t>
  </si>
  <si>
    <t>CCU 186</t>
  </si>
  <si>
    <t>CANTONEIRA ALUMÍNIO ANODIZADO COLORIDO, 1 1/2" X 1 1/2" X 1/4 REF. S01910/ORSE</t>
  </si>
  <si>
    <t>Perfil Alumínio, Cantoneira anodizada, 38,10mm x 3,20mm x 0,629kg/m</t>
  </si>
  <si>
    <t xml:space="preserve">	I00507</t>
  </si>
  <si>
    <t>I00507</t>
  </si>
  <si>
    <t>PERFIL ALUMÍNIO, CANTONEIRA ANODIZADA, 38,10MM X 3,20MM X 0,629KG/M</t>
  </si>
  <si>
    <t>KIT DE PORTA PRONTA DE MADEIRA RU, ACABAMENTO LAMINADO NATURAL COM VERNIZ, FOLHA PESADA, 80x210, EXCLUSIVE FECHADURA, FIXAÇÃO COM PREENCHIMENTO TOTAL DE ESPUMA EXPANSIVA - FORNECIMENTO E INSTALAÇÃO. REF. 100675/SINAPI</t>
  </si>
  <si>
    <t>KIT DE PORTA PRONTA DE MADEIRA RU, ACABAMENTO LAMINADO NATURAL COM VERNIZ, FOLHA PESADA, 90x210, EXCLUSIVE FECHADURA, FIXAÇÃO COM PREENCHIMENTO TOTAL DE ESPUMA EXPANSIVA - FORNECIMENTO E INSTALAÇÃO. REF. 100675/SINAPI</t>
  </si>
  <si>
    <t>KIT PORTA PRONTA DE MADEIRA RU, FOLHA PESADA (NBR 15930) DE 900 X 2100 MM, DE 40 MM A 45 MM DE ESPESSURA, NUCLEO SOLIDO, ESTRUTURA USINADA PARA FECHADURA, CAPA LISA EM HDF, ACABAMENTO EM LAMINADO NATURAL COM VERNIZ (INCLUI MARCO, ALIZARES E DOBRADICAS)</t>
  </si>
  <si>
    <t>KIT PORTA PRONTA DE MADEIRA RU, FOLHA PESADA (NBR 15930) DE 800 X 2100 MM, DE 40 MM A 45 MM DE ESPESSURA, NUCLEO SOLIDO, ESTRUTURA USINADA PARA FECHADURA, CAPA LISA EM HDF, ACABAMENTO EM LAMINADO NATURAL COM VERNIZ (INCLUI MARCO, ALIZARES E DOBRADICAS)</t>
  </si>
  <si>
    <t>KIT DE PORTA PRONTA DE MADEIRA RU, ACABAMENTO LAMINADO NATURAL COM VERNIZ, FOLHA PESADA, 70x210, EXCLUSIVE FECHADURA, FIXAÇÃO COM PREENCHIMENTO TOTAL DE ESPUMA EXPANSIVA - FORNECIMENTO E INSTALAÇÃO. REF. 100675/SINAPI</t>
  </si>
  <si>
    <t>KIT PORTA PRONTA DE MADEIRA RU, FOLHA PESADA (NBR 15930) DE 700 X 2100 MM, DE 40 MM A 45 MM DE ESPESSURA, NUCLEO SOLIDO, ESTRUTURA USINADA PARA FECHADURA, CAPA LISA EM HDF, ACABAMENTO EM LAMINADO NATURAL COM VERNIZ (INCLUI MARCO, ALIZARES E DOBRADICAS)</t>
  </si>
  <si>
    <t>2025/01 SEM DESONERAÇÃO</t>
  </si>
  <si>
    <t>2024/04 SEM DESONERAÇÃO</t>
  </si>
  <si>
    <t xml:space="preserve">	HASTE RETA PARA GANCHO DE FERRO GALVANIZADO, COM ROSCA 1/4" X 30 CM PARA FIXACAO DE TELHA METALICA, INCLUI PORCA E ARRUELAS DE VEDACAO</t>
  </si>
  <si>
    <t>SINAPI - 01/2025 - DISTRITO FEDERAL - SEM DESONERAÇÃO</t>
  </si>
  <si>
    <t>BLOCO CERAMICO / TIJOLO VAZADO PARA ALVENARIA DE VEDACAO, 9 FUROS NA HORIZONTAL DE 14 X 19 X 39 CM (L X A X C)</t>
  </si>
  <si>
    <t>87313</t>
  </si>
  <si>
    <t>00036785</t>
  </si>
  <si>
    <t>GRANALHA DE ACO, ANGULAR (GRIT), PARA JATEAMENTO, PENEIRA 1,41 A 1,19 MM (SAE G16)</t>
  </si>
  <si>
    <t>SC25KG</t>
  </si>
  <si>
    <t>Assento para vaso sanitário , linha vogue plus AP51, da DECA (ou similar)</t>
  </si>
  <si>
    <t>ESQUADRIA DE ALUMÍNIO LINHA GOLD, COM VIDROS, BATENTES, ACESSÓRIOS E FERRAGENS. INCLUSIVE ALIZAR, ACABAMENTO, CONTRAMARCO E TODOS OS DEMAIS PERFIS NECESSÁRIOS - FORNECIMENTO E INSTALAÇÃO CONFORME PROJETO</t>
  </si>
  <si>
    <t>REVESTIMENTO EM PORCELANATO TÉCNICO NATURAL/ACETINADO PARA ÁREA INTERNA E AMBIENTE DE MÉDIO TRÁFEGO ENTRE 5 M² E 10 M², GRUPO DE ABSORÇÃO BIA, COEFICIENTE DE ATRITO I, ASSENTADO COM ARGAMASSA COLANTE INDUSTRIALIZADA, REJUNTADO REF. 87262/SINAPI</t>
  </si>
  <si>
    <t>REVESTIMENTO EM PORCELANATO TÉCNICO NATURAL/ACETINADO PARA ÁREA INTERNA E AMBIENTE DE MÉDIO TRÁFEGO MAIOR QUE 10 M², GRUPO DE ABSORÇÃO BIA, COEFICIENTE DE ATRITO I, ASSENTADO COM ARGAMASSA COLANTE INDUSTRIALIZADA, REJUNTADO REF. 87263/SINAPI</t>
  </si>
  <si>
    <t>REVESTIMENTO EM PORCELANATO TÉCNICO NATURAL/ACETINADO PARA ÁREA INTERNA E AMBIENTE DE MÉDIO TRÁFEGO MENOR QUE 5 M², GRUPO DE ABSORÇÃO BIA, COEFICIENTE DE ATRITO I, ASSENTADO COM ARGAMASSA COLANTE INDUSTRIALIZADA, REJUNTADO REF. 87261/SINAPI</t>
  </si>
  <si>
    <t>RODAPÉ EM PORCELANATO TÉCNICO NATURAL/ACETINADO PARA ÁREA INTERNA E AMBIENTE DE MÉDIO TRÁFEGO, GRUPO DE ABSORÇÃO BIA, ASSENTADO COM ARGAMASSA COLANTE INDUSTRIALIZADA, REJUNTADO REF. 18.08.180/SP OBRAS</t>
  </si>
  <si>
    <t>REBOCO, EM ARGAMASSA TRAÇO 1:2:8, PREPARO MECÂNICO, APLICADA MANUALMENTE EM PAREDES INTERNAS DE AMBIENTES COM ÁREA MENOR OU IGUAL A 10M², E = 10MM, COM TALISCAS. AF_03/2024</t>
  </si>
  <si>
    <t>CHAPISCO APLICADO EM ALVENARIAS E ESTRUTURAS DE CONCRETO INTERNAS, COM COLHER DE PEDREIRO. ARGAMASSA TRAÇO 1:3 COM PREPARO EM BETONEIRA 400L. AF_10/2022 (FLOREIRA - LATERAL EXTERNA)</t>
  </si>
  <si>
    <t>REBOCO, EM ARGAMASSA TRAÇO 1:2:8, PREPARO MECÂNICO, APLICADA MANUALMENTE EM PAREDES INTERNAS DE AMBIENTES COM ÁREA MENOR OU IGUAL 10M², E = 10MM, COM TALISCAS. AF_03/2024 (FLOREIRA - LATERAL EXTERNA)</t>
  </si>
  <si>
    <t>CHAPISCO APLICADO EM ALVENARIAS E ESTRUTURAS DE CONCRETO INTERNAS, COM COLHER DE PEDREIRO. ARGAMASSA TRAÇO 1:3 COM PREPARO EM BETONEIRA 400L. AF_10/2022</t>
  </si>
  <si>
    <t>FORNECIMENTO E MONTAGEM DE ESTRUTURA METÁLICA EM TUBO GALVANIZADO, INCLUSIVE PRIMER ANTICORROSIVO E PINTURA DE ACABAMENTO (BARRAS FECHAMENTO FACHADA) REF. 15.03.150/SP OBRAS</t>
  </si>
  <si>
    <t>I11282</t>
  </si>
  <si>
    <t>Estrutura metálica em tubo galvanizado, inclusive montagem, primer anticorrosivo e pintura de acabamento</t>
  </si>
  <si>
    <t>PINTURA COM TINTA ALQUÍDICA DE ACABAMENTO (ESMALTE SINTÉTICO ACETINADO) PULVERIZADA SOBRE SUPERFÍCIES METÁLICAS EXECUTADO EM OBRA (02 DEMÃOS). AF_01/2020_PE (PORTÃO DE CORRER)</t>
  </si>
  <si>
    <t>PINTURA COM TINTA ALQUÍDICA DE FUNDO (TIPO ZARCÃO) PULVERIZADA SOBRE SUPERFÍCIES METÁLICAS EXECUTADO EM OBRA (POR DEMÃO). AF_01/2020_PE (PORTÃO DE CORRER)</t>
  </si>
  <si>
    <t>Obs: Foi adotado o item 104757 do SINAPI e retirado os materiais por haver alguns materiais com valor zerado e substituídos por um único material do item 00039511 do SINAPI que já contempla o Forro por completo, incluso tudo!</t>
  </si>
  <si>
    <t>4.1.6.1.27</t>
  </si>
  <si>
    <t>CCU 187</t>
  </si>
  <si>
    <t>ASSENTO SANITÁRIO LINHA VOGUE PLUS AP51, DA DECA (OU SIMILAR0 - FORNECIMENTO E INTALAÇÃO.AF_01/2020 REF. 100849/SINAPI</t>
  </si>
  <si>
    <t>4.1.6.1.28</t>
  </si>
  <si>
    <t>ENGATE FLEXÍVEL EM INOX, 1/2 X 40CM - FORNECIMENTO E INSTALAÇÃO. AF_01/2020</t>
  </si>
  <si>
    <t>00011684</t>
  </si>
  <si>
    <t>ENGATE / RABICHO FLEXIVEL INOX 1/2" X 40 CM</t>
  </si>
  <si>
    <t>4.1.6.1.29</t>
  </si>
  <si>
    <t>4.1.6.1.30</t>
  </si>
  <si>
    <t>4.1.6.1.31</t>
  </si>
  <si>
    <t>4.1.6.1.32</t>
  </si>
  <si>
    <t>4.1.6.1.33</t>
  </si>
  <si>
    <t>CCU 190</t>
  </si>
  <si>
    <t>ENGATE FLEXÍVEL EM INOX, 1/2 X 30CM - FORNECIMENTO E INSTALAÇÃO. AF_01/2020</t>
  </si>
  <si>
    <t>SIFÃO DO TIPO GARRAFA/COPO EM PVC 1.1/4 X 1.1/2" - FORNECIMENTO E INSTALAÇÃO. AF_01/2020</t>
  </si>
  <si>
    <t>VÁLVULA EM METAL CROMADO TIPO AMERICANA 3.1/2" X 1.1/2" PARA PIA - FORNECIMENTO E INSTALAÇÃO. AF_01/2020</t>
  </si>
  <si>
    <t>VÁLVULA DE ESCOAMENTO PARA LAVATÓRIO, DECA 1602C OU SIMILAR - FORNECIMENTO E INSTALAÇÃO REF. 86878/SINAPI</t>
  </si>
  <si>
    <t>SIFÃO COM VÁLVULA PARA TANQUE DE LAVAR, 1 1/4"X40, AKROS N°. 8 OU SIMILAR - FORNECIMENTO E INSTALAÇÃO</t>
  </si>
  <si>
    <t>CCU 072</t>
  </si>
  <si>
    <t>9.2.2</t>
  </si>
  <si>
    <t>9.2.3</t>
  </si>
  <si>
    <t>9.2.4</t>
  </si>
  <si>
    <t>9.2.5</t>
  </si>
  <si>
    <t>9.2.6</t>
  </si>
  <si>
    <t>9.2.7</t>
  </si>
  <si>
    <t>9.2.8</t>
  </si>
  <si>
    <t>CCU 192</t>
  </si>
  <si>
    <t>CCU 193</t>
  </si>
  <si>
    <t>CCU 194</t>
  </si>
  <si>
    <t>CCU 195</t>
  </si>
  <si>
    <t>CCU 196</t>
  </si>
  <si>
    <t>CCU 197</t>
  </si>
  <si>
    <t>CCU 198</t>
  </si>
  <si>
    <t>AS BUILT ARQUITETURA REF. I07325/ORSE</t>
  </si>
  <si>
    <t>AS BUILT AR-CONDICIONADO REF. I07325/ORSE</t>
  </si>
  <si>
    <t>AS BUILT ELÉTRICA REF. I07325/ORSE</t>
  </si>
  <si>
    <t>AS BUILT ESTRUTURA REF. I07325/ORSE</t>
  </si>
  <si>
    <t>AS BUILT HIDROSSANITÁRIO REF. I07325/ORSE</t>
  </si>
  <si>
    <t>AS BUILT TELEMÁTICA REF. I07325/ORSE</t>
  </si>
  <si>
    <t>AS BUILT INCÊNDIO REF. I07325/ORSE</t>
  </si>
  <si>
    <t>AS BUILT IMPERMEABILIZAÇÃO REF. I07325/ORSE</t>
  </si>
  <si>
    <t>CCU 101</t>
  </si>
  <si>
    <t>SUPORTE MÃO FRANCESA EM PERFIL TREFILADO "T" (32X32X3,2MM) REF. 100862/SINAPI</t>
  </si>
  <si>
    <t>P.04.000.049513</t>
  </si>
  <si>
    <t>Mão francesa perfil trefilado de 32x32x3,2mm</t>
  </si>
  <si>
    <t>COT 01.027</t>
  </si>
  <si>
    <t xml:space="preserve"> SUPORTE PARA APOIO DE BICICLETAS EM AÇO INOX, MODELO U INVERTIDO SEM EMENDAS</t>
  </si>
  <si>
    <t>ALTMAYER</t>
  </si>
  <si>
    <t>79.286.555/0001-00</t>
  </si>
  <si>
    <t>(47) 3642-2970</t>
  </si>
  <si>
    <t>SUPORTE - 01</t>
  </si>
  <si>
    <t>SUPORTE - 03</t>
  </si>
  <si>
    <t>SUPORTE - 02</t>
  </si>
  <si>
    <t>(47) 8885-7144</t>
  </si>
  <si>
    <t>LIEBL UTILIDADES</t>
  </si>
  <si>
    <t>https://sorafaelutilidades.mercadoshops.com.br/</t>
  </si>
  <si>
    <t>42.345.890/0001-13</t>
  </si>
  <si>
    <t>ABC METAL</t>
  </si>
  <si>
    <t>12.821.847/0001-16</t>
  </si>
  <si>
    <t>(11) 3805-6366</t>
  </si>
  <si>
    <t>https://www.abcmetal.com.br/</t>
  </si>
  <si>
    <t>https://www.altmayer.com.br/inicial</t>
  </si>
  <si>
    <t>SUPORTE PARA APOIO DE BICICLETAS EM AÇO INOX, MODELO U INVERTIDO SEM EMENDAS, COM ACABAMENTO COMPLETO REF. 103308/SINAPI</t>
  </si>
  <si>
    <t>LAVATÓRIO LOUÇA (DECA-LINHA VOGUE PLUS CONFORTO, REF L-510 OU SIMILAR) COM COLUNA SUSPENSA, (DECA, LINHA VOGUE PLUS CONFORTO, REF. C-510 OU SIMILAR), EXCLUSIVE TORNEIRA REF. 86902/SINAPI</t>
  </si>
  <si>
    <t>LAVATÓRIO LOUÇA SUSPENSO 39,5 X 29,5 CM, LINHA IZY, REF. L.15.17, DECA OU SIMILAR, SEM COLUNA, C/ SIFÃO CROMADO, EXCLUSIVE TORNEIRA REF. 86904/SINAPI</t>
  </si>
  <si>
    <t>CUBA DE EMBUTIR QUADRADA EM LOUÇA BRANCA, *30 x 30*CM, EXCLUSIVE TORNEIRA REF. 100852/SINAPI</t>
  </si>
  <si>
    <t>CUBA DE SEMI-ENCAIXE DECA REF L-830 OU SIMILAR, QUADRADA, 40x40 CM, EXCLUSIVE TORNEIRA REF. 100852/SINAPI</t>
  </si>
  <si>
    <t>00006146</t>
  </si>
  <si>
    <t>SIFAO PLASTICO TIPO COPO PARA TANQUE, 1.1/4 X 1.1/2"</t>
  </si>
  <si>
    <t>VALVULA DE RETENCAO DE BRONZE, PE COM CRIVOS, EXTREMIDADE COM ROSCA, DE 2", PARA FUNDO DE POCO GAVETA COM ACABAMENTO E CANOPLA CROMADOS, SIMPLES, BITOLA 1 1/2"</t>
  </si>
  <si>
    <t>5.1.4.7</t>
  </si>
  <si>
    <t>207,,67</t>
  </si>
  <si>
    <t>VÁLVULA DE RETENÇÃO, DE BRONZE, COM TELA, ROSCÁVEL, 2", PARA FUNDO DE POÇO OU SIMILARES - FORNECIMENTO E INSTALAÇÃO. AF_08/2021</t>
  </si>
  <si>
    <t>4.3.29</t>
  </si>
  <si>
    <t>4.3.30</t>
  </si>
  <si>
    <t>CCU 102</t>
  </si>
  <si>
    <t>CAMADA SEPARADORA DE FILME DE POLIETILENO 20 A 25 MICRA REF 38365 REF. 61.20.01/SUDECAP</t>
  </si>
  <si>
    <t>PINTURA DE ACABAMENTO COM APLICAÇÃO DE 01 DEMÃO DE VERNIZ ACRÍLICO PARA PROTEÇÃO DE SUPERFÍCIES EM CONCRETO APARENTE REF. S03733/ORSE</t>
  </si>
  <si>
    <t>I02937</t>
  </si>
  <si>
    <t>I02936</t>
  </si>
  <si>
    <t>Primer acrílico, marca FOSROC, ref Nitoprimer AW ou similar</t>
  </si>
  <si>
    <t>Verniz acrílico para proteção de superfícies em concreto aparente , marca FOSROC, ref Dekguard FS ou similar</t>
  </si>
  <si>
    <t>4.1.2.1.17</t>
  </si>
  <si>
    <t>CCU 200</t>
  </si>
  <si>
    <t>PORTA DE SHAFT EM PLACA MDF 6MM REF. S08856/ORSE</t>
  </si>
  <si>
    <t>Chapa em MDF cru esp: 6mm</t>
  </si>
  <si>
    <t>Parafuso cabeça abaulada 16 x 200mm</t>
  </si>
  <si>
    <t>I08384</t>
  </si>
  <si>
    <t>I01674</t>
  </si>
  <si>
    <t>I11828</t>
  </si>
  <si>
    <t>ESTRUTURA METÁLICA EM TUBO GALVANIZADO, INCLUSIVE MONTAGEM, PRIMER ANTICORROSIVO E PINTURA DE ACABAMENTO</t>
  </si>
  <si>
    <t>SUPORTE PARA APOIO DE BICICLETAS EM AÇO INOX, MODELO U INVERTIDO SEM EMENDAS</t>
  </si>
  <si>
    <t>00010232</t>
  </si>
  <si>
    <t>PRIMER ACRÍLICO, MARCA FOSROC, REF NITOPRIMER AW OU SIMILAR</t>
  </si>
  <si>
    <t>PARAFUSO CABEÇA ABAULADA 16 X 200MM</t>
  </si>
  <si>
    <t>61.20.01</t>
  </si>
  <si>
    <t>CAMADA SEPARADORA DE FILME DE POLIETILENO 20 A 25 MICRA REF 38365</t>
  </si>
  <si>
    <t>CHAPA EM MDF CRU ESP: 6MM</t>
  </si>
  <si>
    <t>VERNIZ ACRÍLICO PARA PROTEÇÃO DE SUPERFÍCIES EM CONCRETO APARENTE , MARCA FOSROC, REF DEKGUARD FS OU SIMILAR</t>
  </si>
  <si>
    <t>MÃO FRANCESA EM PERFIL TREFILADO 32X32X3,2MM</t>
  </si>
  <si>
    <t>COT 01.028</t>
  </si>
  <si>
    <t>COT 01.029</t>
  </si>
  <si>
    <t>TEXTURA LINHA PREDIAL 200 REF. TERRACOR</t>
  </si>
  <si>
    <t>SELADOR UNIQ 200 REF. TERRACOR</t>
  </si>
  <si>
    <t>TERRACOR</t>
  </si>
  <si>
    <t>(61) 9639-5883</t>
  </si>
  <si>
    <t>69.278.661/0001-80</t>
  </si>
  <si>
    <t>FUNDO SELADORUNIQ 200 DA TERRACOR, APLICAÇÃO MANUAL EM PAREDE, UMA DEMÃO REF. 88485/SINAPI</t>
  </si>
  <si>
    <t>CCU 201</t>
  </si>
  <si>
    <t>Obs: Foi adotado o item 88416 do SINAPI como base por similaridade ao que pede em projeto e alterado apenas o material pelo da cotação realizada</t>
  </si>
  <si>
    <t>APLICAÇÃO DE 01 DEMÃO DE SELADOR E TEXTURA EM PAREDES NA COR 200 LINHA PREDIAL DA TERRACOR REF. 88416/SINAPI</t>
  </si>
  <si>
    <t>Obs: Foi adotado o item 88485 do SINAPI como base por similaridade ao que pede em projeto e alterado apenas o material pelo da cotação realizada</t>
  </si>
  <si>
    <t>4.3.31</t>
  </si>
  <si>
    <t>APLICAÇÃO DE CALCÁRIO PARA CORREÇÃO DO PH DO SOLO. AF_07/2024</t>
  </si>
  <si>
    <t>00044479</t>
  </si>
  <si>
    <t>CALCARIO DOLOMITICO A (POSTO PEDREIRA/FORNECEDOR, SEM FRETE)</t>
  </si>
  <si>
    <t>PLANTIO DE ARBUSTO FALSA IRIS - CONFORME PROJETO DE PAISAGISMO</t>
  </si>
  <si>
    <t>PLANTIO DE ARBUSTO CLOROFITO - CONFORME PROJETO DE PAISAGISMO</t>
  </si>
  <si>
    <t>PLANTIO DE ARBUSTO MORÉIA BRANCA - CONFORME PROJETO DE PAISAGISMO</t>
  </si>
  <si>
    <t>PLANTIO DE ARBUSTOS HEMEROCALLIS - CONFORME PROJETO DE PAISAGISMO</t>
  </si>
  <si>
    <t>COT 01.030</t>
  </si>
  <si>
    <t>PLANTIO DE ARBUSTO GUAIMBÊ - CONFORME PROJETO DE PAISAGISMO</t>
  </si>
  <si>
    <t>COT 01.031</t>
  </si>
  <si>
    <t>PLANTIO DE ARBUSTO LAVANDA - CONFORME PROJETO DE PAISAGISMO</t>
  </si>
  <si>
    <t>COT 01.032</t>
  </si>
  <si>
    <t>PLANTIO DE ARBUSTO ESTRELÍTZIA - CONFORME PROJETO DE PAISAGISMO</t>
  </si>
  <si>
    <t>4.3.32</t>
  </si>
  <si>
    <t>4.3.33</t>
  </si>
  <si>
    <t>4.3.34</t>
  </si>
  <si>
    <t>4.3.35</t>
  </si>
  <si>
    <t>4.3.36</t>
  </si>
  <si>
    <t>4.3.37</t>
  </si>
  <si>
    <t>4.3.38</t>
  </si>
  <si>
    <t>COT 01.033</t>
  </si>
  <si>
    <t>COT 01.034</t>
  </si>
  <si>
    <t>COT 01.035</t>
  </si>
  <si>
    <t>COT 01.036</t>
  </si>
  <si>
    <t>PLANTIO DE ARBUSTO AGAPANTUS - CONFORME PROJETO DE PAISAGISMO</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</si>
  <si>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</si>
  <si>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NUCLEO SOLIDO, ESTRUTURA USINADA PARA FECHADURA, CAPA LISA EM HDF, ACABAMENTO EM LAMINADO NATURAL COM VERNIZ (INCLUI MARCO, ALIZARES E DOBRADICAS)</t>
  </si>
  <si>
    <t>ASSENTO PARA VASO SANITÁRIO , LINHA VOGUE PLUS AP50, DA DECA (OU SIMILAR)</t>
  </si>
  <si>
    <t>PORTINHOLA DE CORRER EM ALUMÍNIO ANODIZADO LINHA 30, TIPO VENEZIANA, NAS CORES BRONZE/PRETO</t>
  </si>
  <si>
    <t>VALVULA DE RETENCAO DE BRONZE, PE COM CRIVOS, EXTREMIDADE COM ROSCA, DE 2", PARA FUNDO DE POCO</t>
  </si>
  <si>
    <t>GUARDA-CORPO PANORÂMICO CHUMBADO COM PERFIS DE AÇO INOX E VIDRO LAMINADO 8 MM (CLASSE SEGURANÇA 1), ALTURA 1,10 M, FIXADORES EM AÇO INOX REF. 99841/SINAPI</t>
  </si>
  <si>
    <t>Geral</t>
  </si>
  <si>
    <t>00044184</t>
  </si>
  <si>
    <t>CHUMBADOR PONTALETE, ACO GALVANIZADO, 1" X 1", APROX. 50 CM DE COMPRIMENTO, 1 BARRA DE 5/8", PARA GUARDA-CORPO / GRADIL / CORRIMAO</t>
  </si>
  <si>
    <t>TOTAL Geral:</t>
  </si>
  <si>
    <t>00000156</t>
  </si>
  <si>
    <t>ADESIVO ESTRUTURAL A BASE DE RESINA EPOXI, BICOMPONENTE, FLUIDO</t>
  </si>
  <si>
    <t>Obs: Foi adotado o item 99841 do SINAPI como base e por questão de similaridade com o que se pede em projeto, foram substituídos os materias de para materiais das fontes ORSE e SBC, além do adicionamento do chumbador e adesivo estrutural.</t>
  </si>
  <si>
    <t>CONCRETAGEM DE PILARES, FCK = 30 MPA, COM USO DE BOMBA - LANÇAMENTO, ADENSAMENTO E ACABAMENTO. AF_02/2022_PS REF. 103672/SINAPI</t>
  </si>
  <si>
    <t>CCU 202</t>
  </si>
  <si>
    <t xml:space="preserve">	CONCRETO USINADO BOMBEAVEL, CLASSE DE RESISTENCIA C30, BRITA 0 E 1, SLUMP = 100 +/- 20 MM, COM BOMBEAMENTO (DISPONIBILIZACAO DE BOMBA), SEM O LANCAMENTO (NBR 8953)</t>
  </si>
  <si>
    <t xml:space="preserve">	VIDRO COMUM LAMINADO LISO INCOLOR DUPLO, ESPESSURA TOTAL 8 MM (CADA CAMADA DE 4 MM) - COLOCADO</t>
  </si>
  <si>
    <t>VIDRO LAMINADO INCOLOR DE 8MM (MONTANTES E DIVISÓRIAS INTERNAS) REF. 102176/SINAPI</t>
  </si>
  <si>
    <t>VIDRO LAMINADO INCOLOR DE 8MM (COBERTURA ENTRADA EDIFICAÇÃO + GUARITA) REF. 102176/SINAPI</t>
  </si>
  <si>
    <t>KIT PORTA PRONTA DE MADEIRA, FOLHA PESADA (NBR 15930) DE 700 X 2100 MM, DE 40 MM A 45 MM DE ESPESSURA, NUCLEO SOLIDO, ESTRUTURA USINADA PARA FECHADURA, CAPA LISA EM HDF, ACABAMENTO EM LAMINADO NATURAL COM VERNIZ (INCLUI MARCO, ALIZARES E DOBRADICAS)</t>
  </si>
  <si>
    <t>HIDROSHOP</t>
  </si>
  <si>
    <t>www.hidroshop.com.br</t>
  </si>
  <si>
    <t>67.726.620/0001-83</t>
  </si>
  <si>
    <t>(11) 4965-4453</t>
  </si>
  <si>
    <t>CLARON</t>
  </si>
  <si>
    <t>NOVA LUMINÁRIA</t>
  </si>
  <si>
    <t>https://www.claron.com.br/</t>
  </si>
  <si>
    <t>https://www.novaluminaria.com.br/</t>
  </si>
  <si>
    <t>21.815.457/0001-24</t>
  </si>
  <si>
    <t>46.407.170/0001-96</t>
  </si>
  <si>
    <t>(16) 3416-4050</t>
  </si>
  <si>
    <t>(11) 94504-1476</t>
  </si>
  <si>
    <t>RIBEIRO</t>
  </si>
  <si>
    <t>DIMENSIONAL</t>
  </si>
  <si>
    <t>https://www.ribeiro.ind.br/</t>
  </si>
  <si>
    <t>https://www.dimensional.com.br/</t>
  </si>
  <si>
    <t>75.621.672/0001-13</t>
  </si>
  <si>
    <t>06.913.480/0015-63</t>
  </si>
  <si>
    <t>(41) 3014-1800</t>
  </si>
  <si>
    <t>(19) 3446-7400</t>
  </si>
  <si>
    <t>PLANET ILUMINAÇÃO</t>
  </si>
  <si>
    <t>https://www.planetiluminacao.com.br/</t>
  </si>
  <si>
    <t>29.773.000/0001-06</t>
  </si>
  <si>
    <t>(11) 3223-7275</t>
  </si>
  <si>
    <t>METALFERCO</t>
  </si>
  <si>
    <t>www.metalferco.com.br</t>
  </si>
  <si>
    <t>55.089.528/0004-13</t>
  </si>
  <si>
    <t>(11) 94162-2249</t>
  </si>
  <si>
    <t>FECHOSUL</t>
  </si>
  <si>
    <t>https://www.fechosul.com.br/</t>
  </si>
  <si>
    <t>03.417.907/0001-49</t>
  </si>
  <si>
    <t>(51) 3272-0101</t>
  </si>
  <si>
    <t>https://solaristeleinformatica.mercadoshops.com.br/</t>
  </si>
  <si>
    <t>(11) 99936-8557</t>
  </si>
  <si>
    <t>OBRA FÁCIL</t>
  </si>
  <si>
    <t>VOGUE</t>
  </si>
  <si>
    <t>https://lojaobrafacil.com.br/</t>
  </si>
  <si>
    <t>https://www.voguecasaeconstrucao.com.br/</t>
  </si>
  <si>
    <t>05.909.339/0001-29</t>
  </si>
  <si>
    <t>(11) 3031-6891</t>
  </si>
  <si>
    <t>BACIA - 02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</si>
</sst>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_-&quot;R$&quot;* #,##0.00_-;\-&quot;R$&quot;* #,##0.00_-;_-&quot;R$&quot;* &quot;-&quot;??_-;_-@_-"/>
    <numFmt numFmtId="168" formatCode="General\ &quot;dias&quot;"/>
    <numFmt numFmtId="169" formatCode="#,##0.00000000"/>
    <numFmt numFmtId="170" formatCode="###,###,##0.00"/>
    <numFmt numFmtId="171" formatCode="#,##0.00%"/>
    <numFmt numFmtId="172" formatCode="mm/yyyy"/>
    <numFmt numFmtId="173" formatCode="#,###.00;;;@"/>
    <numFmt numFmtId="174" formatCode="&quot;R$&quot;\ #,##0.00"/>
    <numFmt numFmtId="175" formatCode="#,###;;;@"/>
    <numFmt numFmtId="176" formatCode="0.0000000"/>
  </numFmts>
  <fonts count="64">
    <font>
      <sz val="11"/>
      <color theme="1"/>
      <name val="Calibri"/>
      <family val="2"/>
      <scheme val="minor"/>
    </font>
    <font>
      <sz val="11"/>
      <color theme="1"/>
      <name val="Calibri"/>
      <family val="2"/>
      <scheme val="minor"/>
    </font>
    <font>
      <b/>
      <sz val="11"/>
      <color theme="1"/>
      <name val="Calibri"/>
      <family val="2"/>
      <scheme val="minor"/>
    </font>
    <font>
      <b/>
      <sz val="16"/>
      <color rgb="FF92D050"/>
      <name val="Calibri"/>
      <family val="2"/>
      <scheme val="minor"/>
    </font>
    <font>
      <b/>
      <sz val="16"/>
      <color indexed="10"/>
      <name val="Calibri"/>
      <family val="2"/>
    </font>
    <font>
      <b/>
      <sz val="16"/>
      <color indexed="50"/>
      <name val="Calibri"/>
      <family val="2"/>
    </font>
    <font>
      <sz val="8"/>
      <name val="Times New Roman"/>
      <family val="1"/>
    </font>
    <font>
      <b/>
      <sz val="12"/>
      <name val="Calibri"/>
      <family val="2"/>
      <scheme val="minor"/>
    </font>
    <font>
      <b/>
      <u/>
      <sz val="15"/>
      <name val="Calibri"/>
      <family val="2"/>
      <scheme val="minor"/>
    </font>
    <font>
      <b/>
      <u/>
      <sz val="15"/>
      <name val="Calibri"/>
      <family val="2"/>
    </font>
    <font>
      <b/>
      <sz val="14"/>
      <name val="Times New Roman"/>
      <family val="1"/>
    </font>
    <font>
      <b/>
      <sz val="12"/>
      <name val="Times New Roman"/>
      <family val="1"/>
    </font>
    <font>
      <sz val="10"/>
      <name val="Arial"/>
      <family val="2"/>
    </font>
    <font>
      <b/>
      <sz val="10"/>
      <name val="Calibri"/>
      <family val="2"/>
      <scheme val="minor"/>
    </font>
    <font>
      <sz val="10"/>
      <name val="Calibri"/>
      <family val="2"/>
      <scheme val="minor"/>
    </font>
    <font>
      <b/>
      <sz val="10"/>
      <name val="Times New Roman"/>
      <family val="1"/>
    </font>
    <font>
      <b/>
      <sz val="10"/>
      <name val="Arial"/>
      <family val="2"/>
    </font>
    <font>
      <sz val="13"/>
      <name val="Arial"/>
      <family val="2"/>
    </font>
    <font>
      <b/>
      <i/>
      <sz val="13"/>
      <name val="Calibri"/>
      <family val="2"/>
      <scheme val="minor"/>
    </font>
    <font>
      <sz val="11"/>
      <name val="Calibri"/>
      <family val="2"/>
      <scheme val="minor"/>
    </font>
    <font>
      <b/>
      <sz val="11"/>
      <color rgb="FFFF0000"/>
      <name val="Calibri"/>
      <family val="2"/>
      <scheme val="minor"/>
    </font>
    <font>
      <b/>
      <sz val="9"/>
      <name val="Calibri"/>
      <family val="2"/>
      <scheme val="minor"/>
    </font>
    <font>
      <b/>
      <sz val="9"/>
      <color theme="0"/>
      <name val="Calibri"/>
      <family val="2"/>
      <scheme val="minor"/>
    </font>
    <font>
      <b/>
      <sz val="9"/>
      <color rgb="FF000000"/>
      <name val="Calibri"/>
      <family val="2"/>
      <scheme val="minor"/>
    </font>
    <font>
      <sz val="10"/>
      <color theme="1"/>
      <name val="Calibri"/>
      <family val="2"/>
      <scheme val="minor"/>
    </font>
    <font>
      <sz val="9"/>
      <name val="Calibri"/>
      <family val="2"/>
      <scheme val="minor"/>
    </font>
    <font>
      <b/>
      <sz val="10"/>
      <color theme="1"/>
      <name val="Arial"/>
      <family val="2"/>
    </font>
    <font>
      <b/>
      <sz val="13"/>
      <color theme="1"/>
      <name val="Arial"/>
      <family val="2"/>
    </font>
    <font>
      <b/>
      <sz val="11"/>
      <color theme="1"/>
      <name val="Arial"/>
      <family val="2"/>
    </font>
    <font>
      <sz val="10"/>
      <color theme="1"/>
      <name val="Arial"/>
      <family val="2"/>
    </font>
    <font>
      <b/>
      <sz val="10"/>
      <color rgb="FF000000"/>
      <name val="Arial"/>
      <family val="2"/>
    </font>
    <font>
      <sz val="8"/>
      <color theme="1"/>
      <name val="Arial"/>
      <family val="2"/>
    </font>
    <font>
      <sz val="8"/>
      <name val="Calibri"/>
      <family val="2"/>
      <scheme val="minor"/>
    </font>
    <font>
      <b/>
      <sz val="9"/>
      <color theme="9" tint="0.79998168889431442"/>
      <name val="Calibri"/>
      <family val="2"/>
      <scheme val="minor"/>
    </font>
    <font>
      <sz val="11"/>
      <color theme="1"/>
      <name val="Arial"/>
      <family val="2"/>
    </font>
    <font>
      <sz val="11"/>
      <name val="Arial"/>
      <family val="2"/>
    </font>
    <font>
      <sz val="9"/>
      <color theme="0"/>
      <name val="Arial"/>
      <family val="2"/>
    </font>
    <font>
      <sz val="28"/>
      <color theme="1"/>
      <name val="Arial"/>
      <family val="2"/>
    </font>
    <font>
      <u/>
      <sz val="9"/>
      <color theme="1"/>
      <name val="Arial"/>
      <family val="2"/>
    </font>
    <font>
      <sz val="9"/>
      <color theme="1"/>
      <name val="Arial"/>
      <family val="2"/>
    </font>
    <font>
      <b/>
      <sz val="9"/>
      <color theme="1"/>
      <name val="Arial"/>
      <family val="2"/>
    </font>
    <font>
      <sz val="10"/>
      <name val="Calibri"/>
      <family val="2"/>
    </font>
    <font>
      <sz val="9"/>
      <color rgb="FF000000"/>
      <name val="Calibri"/>
      <family val="2"/>
      <scheme val="minor"/>
    </font>
    <font>
      <sz val="10"/>
      <color rgb="FF000000"/>
      <name val="Arial"/>
      <family val="2"/>
    </font>
    <font>
      <b/>
      <sz val="12"/>
      <color theme="1"/>
      <name val="Arial"/>
      <family val="2"/>
    </font>
    <font>
      <b/>
      <sz val="11"/>
      <name val="Calibri"/>
      <family val="2"/>
      <scheme val="minor"/>
    </font>
    <font>
      <sz val="12"/>
      <color theme="1"/>
      <name val="Arial"/>
      <family val="2"/>
    </font>
    <font>
      <b/>
      <sz val="11"/>
      <color rgb="FF000000"/>
      <name val="Arial"/>
      <family val="2"/>
    </font>
    <font>
      <sz val="11"/>
      <color rgb="FF000000"/>
      <name val="Arial"/>
      <family val="2"/>
    </font>
    <font>
      <b/>
      <sz val="16"/>
      <color rgb="FF000000"/>
      <name val="Arial"/>
      <family val="2"/>
    </font>
    <font>
      <sz val="16"/>
      <color theme="1"/>
      <name val="Arial"/>
      <family val="2"/>
    </font>
    <font>
      <sz val="11"/>
      <color rgb="FF000000"/>
      <name val="SansSerif"/>
      <family val="2"/>
    </font>
    <font>
      <sz val="10"/>
      <color rgb="FF000000"/>
      <name val="SansSerif"/>
      <family val="2"/>
    </font>
    <font>
      <u/>
      <sz val="11"/>
      <color theme="10"/>
      <name val="Calibri"/>
      <family val="2"/>
      <scheme val="minor"/>
    </font>
    <font>
      <sz val="11"/>
      <color theme="2" tint="-0.249977111117893"/>
      <name val="Arial"/>
      <family val="2"/>
    </font>
    <font>
      <sz val="16"/>
      <color theme="2" tint="-0.249977111117893"/>
      <name val="Arial"/>
      <family val="2"/>
    </font>
    <font>
      <b/>
      <sz val="11"/>
      <name val="Arial"/>
      <family val="2"/>
    </font>
    <font>
      <sz val="11"/>
      <color theme="0" tint="-0.249977111117893"/>
      <name val="Arial"/>
      <family val="2"/>
    </font>
    <font>
      <b/>
      <sz val="14"/>
      <color rgb="FF000000"/>
      <name val="Arial"/>
      <family val="2"/>
    </font>
    <font>
      <sz val="12"/>
      <color rgb="FF000000"/>
      <name val="Arial"/>
      <family val="2"/>
    </font>
    <font>
      <sz val="14"/>
      <color rgb="FF000000"/>
      <name val="Arial"/>
      <family val="2"/>
    </font>
    <font>
      <sz val="10"/>
      <color rgb="FF00B050"/>
      <name val="Arial"/>
      <family val="2"/>
    </font>
    <font>
      <b/>
      <sz val="14"/>
      <color theme="1"/>
      <name val="Arial"/>
      <family val="2"/>
    </font>
    <font>
      <b/>
      <sz val="10"/>
      <color rgb="FF000000"/>
      <name val="SansSerif"/>
      <family val="2"/>
    </font>
  </fonts>
  <fills count="15">
    <fill>
      <patternFill patternType="none"/>
    </fill>
    <fill>
      <patternFill patternType="gray125"/>
    </fill>
    <fill>
      <patternFill patternType="solid">
        <fgColor theme="8" tint="-0.499984740745262"/>
        <bgColor indexed="64"/>
      </patternFill>
    </fill>
    <fill>
      <patternFill patternType="solid">
        <fgColor theme="0"/>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CCCCC"/>
      </patternFill>
    </fill>
    <fill>
      <patternFill patternType="solid">
        <fgColor rgb="FFDFDFDF"/>
      </patternFill>
    </fill>
    <fill>
      <patternFill patternType="solid">
        <fgColor theme="4" tint="0.79998168889431442"/>
        <bgColor indexed="64"/>
      </patternFill>
    </fill>
    <fill>
      <patternFill patternType="solid">
        <fgColor rgb="FFFF0000"/>
        <bgColor indexed="64"/>
      </patternFill>
    </fill>
    <fill>
      <patternFill patternType="solid">
        <fgColor rgb="FF92D050"/>
        <bgColor indexed="64"/>
      </patternFill>
    </fill>
    <fill>
      <patternFill patternType="solid">
        <fgColor rgb="FFDAFEDB"/>
      </patternFill>
    </fill>
    <fill>
      <patternFill patternType="solid">
        <fgColor rgb="FFFAFFE9"/>
      </patternFill>
    </fill>
    <fill>
      <patternFill patternType="solid">
        <fgColor rgb="FFFFFF00"/>
        <bgColor indexed="64"/>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thin">
        <color auto="1"/>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auto="1"/>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indexed="64"/>
      </bottom>
      <diagonal/>
    </border>
    <border>
      <left style="thin">
        <color indexed="64"/>
      </left>
      <right/>
      <top style="thin">
        <color rgb="FF000000"/>
      </top>
      <bottom style="thin">
        <color rgb="FF000000"/>
      </bottom>
      <diagonal/>
    </border>
    <border>
      <left/>
      <right style="thin">
        <color rgb="FF000000"/>
      </right>
      <top/>
      <bottom style="thin">
        <color rgb="FF000000"/>
      </bottom>
      <diagonal/>
    </border>
    <border>
      <left style="hair">
        <color indexed="64"/>
      </left>
      <right style="hair">
        <color indexed="64"/>
      </right>
      <top style="hair">
        <color indexed="64"/>
      </top>
      <bottom style="thin">
        <color indexed="64"/>
      </bottom>
      <diagonal/>
    </border>
    <border>
      <left style="hair">
        <color indexed="64"/>
      </left>
      <right style="thin">
        <color auto="1"/>
      </right>
      <top style="hair">
        <color indexed="64"/>
      </top>
      <bottom style="thin">
        <color indexed="64"/>
      </bottom>
      <diagonal/>
    </border>
  </borders>
  <cellStyleXfs count="13">
    <xf numFmtId="0" fontId="0" fillId="0" borderId="0"/>
    <xf numFmtId="44" fontId="1" fillId="0" borderId="0" applyFont="0" applyFill="0" applyBorder="0" applyAlignment="0" applyProtection="0"/>
    <xf numFmtId="9" fontId="1" fillId="0" borderId="0" applyFont="0" applyFill="0" applyBorder="0" applyAlignment="0" applyProtection="0"/>
    <xf numFmtId="0" fontId="6" fillId="0" borderId="0"/>
    <xf numFmtId="164"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67" fontId="1" fillId="0" borderId="0" applyFont="0" applyFill="0" applyBorder="0" applyAlignment="0" applyProtection="0"/>
    <xf numFmtId="0" fontId="53" fillId="0" borderId="0" applyNumberFormat="0" applyFill="0" applyBorder="0" applyAlignment="0" applyProtection="0"/>
    <xf numFmtId="44" fontId="1" fillId="0" borderId="0" applyFont="0" applyFill="0" applyBorder="0" applyAlignment="0" applyProtection="0"/>
    <xf numFmtId="43" fontId="12" fillId="0" borderId="0" applyFont="0" applyFill="0" applyBorder="0" applyAlignment="0" applyProtection="0"/>
  </cellStyleXfs>
  <cellXfs count="737">
    <xf numFmtId="0" fontId="0" fillId="0" borderId="0" xfId="0"/>
    <xf numFmtId="0" fontId="0" fillId="0" borderId="0" xfId="0" applyAlignment="1">
      <alignment vertical="center"/>
    </xf>
    <xf numFmtId="0" fontId="12" fillId="0" borderId="0" xfId="0" applyFont="1"/>
    <xf numFmtId="0" fontId="12" fillId="0" borderId="0" xfId="0" applyFont="1" applyAlignment="1">
      <alignment vertical="center"/>
    </xf>
    <xf numFmtId="0" fontId="17" fillId="0" borderId="0" xfId="0" applyFont="1"/>
    <xf numFmtId="164" fontId="19" fillId="0" borderId="5" xfId="4" applyFont="1" applyFill="1" applyBorder="1" applyAlignment="1" applyProtection="1">
      <alignment vertical="center"/>
    </xf>
    <xf numFmtId="44" fontId="12" fillId="0" borderId="0" xfId="1" applyFont="1" applyFill="1" applyProtection="1"/>
    <xf numFmtId="165" fontId="12" fillId="0" borderId="0" xfId="0" applyNumberFormat="1" applyFont="1"/>
    <xf numFmtId="44" fontId="17" fillId="0" borderId="0" xfId="1" applyFont="1" applyFill="1" applyProtection="1"/>
    <xf numFmtId="165" fontId="17" fillId="0" borderId="0" xfId="0" applyNumberFormat="1" applyFont="1"/>
    <xf numFmtId="164" fontId="12" fillId="0" borderId="0" xfId="4" applyFont="1" applyBorder="1" applyProtection="1"/>
    <xf numFmtId="44" fontId="12" fillId="0" borderId="0" xfId="0" applyNumberFormat="1" applyFont="1"/>
    <xf numFmtId="164" fontId="12" fillId="0" borderId="0" xfId="0" applyNumberFormat="1" applyFont="1"/>
    <xf numFmtId="44" fontId="0" fillId="0" borderId="0" xfId="1" applyFont="1" applyProtection="1"/>
    <xf numFmtId="44" fontId="0" fillId="0" borderId="0" xfId="0" applyNumberFormat="1"/>
    <xf numFmtId="166" fontId="0" fillId="0" borderId="0" xfId="0" applyNumberFormat="1"/>
    <xf numFmtId="4" fontId="0" fillId="0" borderId="0" xfId="0" applyNumberFormat="1" applyAlignment="1">
      <alignment vertical="top" wrapText="1"/>
    </xf>
    <xf numFmtId="164" fontId="0" fillId="0" borderId="0" xfId="0" applyNumberFormat="1" applyAlignment="1">
      <alignment vertical="center"/>
    </xf>
    <xf numFmtId="164" fontId="0" fillId="0" borderId="0" xfId="0" applyNumberFormat="1"/>
    <xf numFmtId="44" fontId="0" fillId="0" borderId="0" xfId="0" applyNumberFormat="1" applyAlignment="1">
      <alignment vertical="center"/>
    </xf>
    <xf numFmtId="166" fontId="20" fillId="0" borderId="0" xfId="0" applyNumberFormat="1" applyFont="1"/>
    <xf numFmtId="10" fontId="0" fillId="0" borderId="0" xfId="2" applyNumberFormat="1" applyFont="1" applyAlignment="1" applyProtection="1">
      <alignment vertical="center"/>
    </xf>
    <xf numFmtId="4" fontId="0" fillId="0" borderId="0" xfId="0" applyNumberFormat="1"/>
    <xf numFmtId="0" fontId="0" fillId="0" borderId="0" xfId="0" applyAlignment="1">
      <alignment vertical="top"/>
    </xf>
    <xf numFmtId="0" fontId="0" fillId="0" borderId="0" xfId="0" applyAlignment="1">
      <alignment horizontal="left" vertical="top"/>
    </xf>
    <xf numFmtId="0" fontId="22" fillId="2" borderId="0" xfId="5" applyFont="1" applyFill="1" applyAlignment="1">
      <alignment horizontal="center" vertical="center" wrapText="1"/>
    </xf>
    <xf numFmtId="0" fontId="12" fillId="0" borderId="0" xfId="5"/>
    <xf numFmtId="0" fontId="12" fillId="0" borderId="0" xfId="5" applyAlignment="1">
      <alignment horizontal="center" vertical="center"/>
    </xf>
    <xf numFmtId="0" fontId="2" fillId="0" borderId="0" xfId="5" applyFont="1" applyAlignment="1">
      <alignment horizontal="center" vertical="center"/>
    </xf>
    <xf numFmtId="10" fontId="21" fillId="0" borderId="12" xfId="6" applyNumberFormat="1" applyFont="1" applyFill="1" applyBorder="1" applyAlignment="1">
      <alignment horizontal="center" vertical="center" wrapText="1"/>
    </xf>
    <xf numFmtId="0" fontId="23" fillId="0" borderId="12" xfId="5" applyFont="1" applyBorder="1" applyAlignment="1">
      <alignment horizontal="left" vertical="center" wrapText="1"/>
    </xf>
    <xf numFmtId="165" fontId="23" fillId="0" borderId="12" xfId="7" applyNumberFormat="1" applyFont="1" applyFill="1" applyBorder="1" applyAlignment="1">
      <alignment horizontal="center" vertical="center" wrapText="1"/>
    </xf>
    <xf numFmtId="10" fontId="23" fillId="0" borderId="12" xfId="8" applyNumberFormat="1" applyFont="1" applyFill="1" applyBorder="1" applyAlignment="1">
      <alignment horizontal="center" vertical="center" wrapText="1"/>
    </xf>
    <xf numFmtId="165" fontId="23" fillId="0" borderId="0" xfId="7" applyNumberFormat="1" applyFont="1" applyFill="1" applyBorder="1" applyAlignment="1">
      <alignment horizontal="center" vertical="center" wrapText="1"/>
    </xf>
    <xf numFmtId="43" fontId="24" fillId="0" borderId="0" xfId="5" applyNumberFormat="1" applyFont="1"/>
    <xf numFmtId="0" fontId="24" fillId="0" borderId="0" xfId="5" applyFont="1"/>
    <xf numFmtId="4" fontId="24" fillId="0" borderId="0" xfId="5" applyNumberFormat="1" applyFont="1" applyAlignment="1">
      <alignment horizontal="center" vertical="center"/>
    </xf>
    <xf numFmtId="0" fontId="24" fillId="0" borderId="0" xfId="5" applyFont="1" applyAlignment="1">
      <alignment horizontal="center" vertical="center"/>
    </xf>
    <xf numFmtId="0" fontId="21" fillId="0" borderId="12" xfId="5" applyFont="1" applyBorder="1" applyAlignment="1">
      <alignment horizontal="center" vertical="center" wrapText="1"/>
    </xf>
    <xf numFmtId="165" fontId="21" fillId="0" borderId="12"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wrapText="1"/>
    </xf>
    <xf numFmtId="165" fontId="21" fillId="0" borderId="0" xfId="7" applyNumberFormat="1" applyFont="1" applyFill="1" applyBorder="1" applyAlignment="1">
      <alignment horizontal="center" vertical="center"/>
    </xf>
    <xf numFmtId="10" fontId="24" fillId="0" borderId="0" xfId="2" applyNumberFormat="1" applyFont="1"/>
    <xf numFmtId="0" fontId="21" fillId="0" borderId="12" xfId="5" applyFont="1" applyBorder="1" applyAlignment="1">
      <alignment horizontal="left" vertical="center" wrapText="1"/>
    </xf>
    <xf numFmtId="10" fontId="21" fillId="0" borderId="12" xfId="6" applyNumberFormat="1" applyFont="1" applyFill="1" applyBorder="1" applyAlignment="1">
      <alignment horizontal="left" vertical="center" wrapText="1"/>
    </xf>
    <xf numFmtId="10" fontId="21" fillId="0" borderId="12" xfId="8" applyNumberFormat="1" applyFont="1" applyFill="1" applyBorder="1" applyAlignment="1">
      <alignment horizontal="center" vertical="center" wrapText="1"/>
    </xf>
    <xf numFmtId="0" fontId="14" fillId="0" borderId="0" xfId="0" applyFont="1" applyAlignment="1">
      <alignment vertical="top"/>
    </xf>
    <xf numFmtId="0" fontId="14" fillId="0" borderId="0" xfId="0" applyFont="1" applyAlignment="1">
      <alignment vertical="center" wrapText="1"/>
    </xf>
    <xf numFmtId="0" fontId="14" fillId="0" borderId="0" xfId="0" applyFont="1" applyAlignment="1">
      <alignment vertical="center"/>
    </xf>
    <xf numFmtId="165" fontId="12" fillId="0" borderId="0" xfId="5" applyNumberFormat="1"/>
    <xf numFmtId="43" fontId="23" fillId="0" borderId="12" xfId="1" applyNumberFormat="1" applyFont="1" applyFill="1" applyBorder="1" applyAlignment="1">
      <alignment horizontal="center" vertical="center" wrapText="1"/>
    </xf>
    <xf numFmtId="0" fontId="34" fillId="3" borderId="0" xfId="0" applyFont="1" applyFill="1"/>
    <xf numFmtId="0" fontId="34" fillId="0" borderId="0" xfId="0" applyFont="1"/>
    <xf numFmtId="0" fontId="31" fillId="0" borderId="0" xfId="0" applyFont="1"/>
    <xf numFmtId="0" fontId="28" fillId="3" borderId="0" xfId="0" applyFont="1" applyFill="1" applyAlignment="1">
      <alignment vertical="center"/>
    </xf>
    <xf numFmtId="0" fontId="36" fillId="3" borderId="0" xfId="0" applyFont="1" applyFill="1" applyAlignment="1" applyProtection="1">
      <alignment horizontal="center" vertical="center"/>
      <protection locked="0"/>
    </xf>
    <xf numFmtId="10" fontId="29" fillId="0" borderId="29" xfId="2" applyNumberFormat="1" applyFont="1" applyFill="1" applyBorder="1" applyAlignment="1">
      <alignment horizontal="center" vertical="center"/>
    </xf>
    <xf numFmtId="10" fontId="26" fillId="0" borderId="34" xfId="0" applyNumberFormat="1" applyFont="1" applyBorder="1" applyAlignment="1">
      <alignment horizontal="center" vertical="center"/>
    </xf>
    <xf numFmtId="10" fontId="29" fillId="0" borderId="14" xfId="2" applyNumberFormat="1" applyFont="1" applyFill="1" applyBorder="1" applyAlignment="1">
      <alignment horizontal="center" vertical="center"/>
    </xf>
    <xf numFmtId="10" fontId="29" fillId="0" borderId="35" xfId="2" applyNumberFormat="1" applyFont="1" applyFill="1" applyBorder="1" applyAlignment="1">
      <alignment horizontal="center" vertical="center"/>
    </xf>
    <xf numFmtId="0" fontId="29" fillId="0" borderId="13" xfId="0" applyFont="1" applyBorder="1" applyAlignment="1">
      <alignment horizontal="center" vertical="center"/>
    </xf>
    <xf numFmtId="0" fontId="34" fillId="3" borderId="0" xfId="0" applyFont="1" applyFill="1" applyAlignment="1">
      <alignment vertical="center"/>
    </xf>
    <xf numFmtId="0" fontId="38" fillId="3" borderId="0" xfId="0" applyFont="1" applyFill="1" applyAlignment="1">
      <alignment horizontal="center"/>
    </xf>
    <xf numFmtId="0" fontId="39" fillId="3" borderId="0" xfId="0" applyFont="1" applyFill="1" applyAlignment="1">
      <alignment horizontal="center" vertical="top"/>
    </xf>
    <xf numFmtId="0" fontId="39" fillId="3" borderId="0" xfId="0" applyFont="1" applyFill="1" applyAlignment="1">
      <alignment horizontal="center" vertical="center"/>
    </xf>
    <xf numFmtId="0" fontId="39" fillId="3" borderId="0" xfId="0" applyFont="1" applyFill="1" applyAlignment="1">
      <alignment horizontal="left" vertical="center"/>
    </xf>
    <xf numFmtId="0" fontId="34" fillId="3" borderId="0" xfId="0" applyFont="1" applyFill="1" applyAlignment="1">
      <alignment horizontal="left"/>
    </xf>
    <xf numFmtId="0" fontId="34" fillId="0" borderId="0" xfId="0" applyFont="1" applyAlignment="1">
      <alignment horizontal="left"/>
    </xf>
    <xf numFmtId="0" fontId="39" fillId="0" borderId="0" xfId="0" applyFont="1"/>
    <xf numFmtId="0" fontId="40" fillId="0" borderId="0" xfId="0" applyFont="1" applyAlignment="1">
      <alignment horizontal="center" vertical="center"/>
    </xf>
    <xf numFmtId="0" fontId="26" fillId="6" borderId="24" xfId="0" applyFont="1" applyFill="1" applyBorder="1" applyAlignment="1">
      <alignment horizontal="center" vertical="center"/>
    </xf>
    <xf numFmtId="0" fontId="26" fillId="6" borderId="26" xfId="0" applyFont="1" applyFill="1" applyBorder="1" applyAlignment="1">
      <alignment horizontal="center" vertical="center"/>
    </xf>
    <xf numFmtId="10" fontId="26" fillId="6" borderId="39" xfId="2" applyNumberFormat="1" applyFont="1" applyFill="1" applyBorder="1" applyAlignment="1">
      <alignment horizontal="center" vertical="center"/>
    </xf>
    <xf numFmtId="0" fontId="13" fillId="0" borderId="9" xfId="0" applyFont="1" applyBorder="1" applyAlignment="1">
      <alignment horizontal="left" vertical="top"/>
    </xf>
    <xf numFmtId="0" fontId="0" fillId="0" borderId="3" xfId="0" applyBorder="1"/>
    <xf numFmtId="0" fontId="0" fillId="0" borderId="5" xfId="0" applyBorder="1"/>
    <xf numFmtId="0" fontId="10" fillId="0" borderId="5" xfId="0" applyFont="1" applyBorder="1" applyAlignment="1">
      <alignment horizontal="center"/>
    </xf>
    <xf numFmtId="0" fontId="15" fillId="0" borderId="5" xfId="0" applyFont="1" applyBorder="1" applyAlignment="1">
      <alignment horizontal="left"/>
    </xf>
    <xf numFmtId="0" fontId="15" fillId="0" borderId="5" xfId="0" applyFont="1" applyBorder="1" applyAlignment="1">
      <alignment horizontal="center" wrapText="1"/>
    </xf>
    <xf numFmtId="0" fontId="12" fillId="0" borderId="5" xfId="0" applyFont="1" applyBorder="1"/>
    <xf numFmtId="0" fontId="17" fillId="0" borderId="5" xfId="0" applyFont="1" applyBorder="1"/>
    <xf numFmtId="0" fontId="12" fillId="0" borderId="6" xfId="0" applyFont="1" applyBorder="1"/>
    <xf numFmtId="0" fontId="12" fillId="0" borderId="7" xfId="0" applyFont="1" applyBorder="1"/>
    <xf numFmtId="0" fontId="12" fillId="0" borderId="7" xfId="0" applyFont="1" applyBorder="1" applyAlignment="1">
      <alignment vertical="center"/>
    </xf>
    <xf numFmtId="0" fontId="12" fillId="0" borderId="8" xfId="0" applyFont="1" applyBorder="1"/>
    <xf numFmtId="0" fontId="0" fillId="0" borderId="1" xfId="0" applyBorder="1"/>
    <xf numFmtId="0" fontId="0" fillId="0" borderId="4" xfId="0" applyBorder="1"/>
    <xf numFmtId="0" fontId="12" fillId="0" borderId="4" xfId="0" applyFont="1" applyBorder="1"/>
    <xf numFmtId="0" fontId="17" fillId="0" borderId="4" xfId="0" applyFont="1" applyBorder="1"/>
    <xf numFmtId="0" fontId="0" fillId="0" borderId="2" xfId="0" applyBorder="1"/>
    <xf numFmtId="0" fontId="0" fillId="0" borderId="2" xfId="0" applyBorder="1" applyAlignment="1">
      <alignment vertical="center"/>
    </xf>
    <xf numFmtId="0" fontId="13" fillId="0" borderId="19" xfId="0" applyFont="1" applyBorder="1" applyAlignment="1">
      <alignment vertical="center"/>
    </xf>
    <xf numFmtId="0" fontId="13" fillId="0" borderId="21" xfId="0" applyFont="1" applyBorder="1" applyAlignment="1">
      <alignment horizontal="left" vertical="center"/>
    </xf>
    <xf numFmtId="0" fontId="13" fillId="0" borderId="21" xfId="0" applyFont="1" applyBorder="1" applyAlignment="1">
      <alignment horizontal="left" vertical="center" wrapText="1"/>
    </xf>
    <xf numFmtId="0" fontId="12" fillId="0" borderId="17" xfId="0" applyFont="1" applyBorder="1"/>
    <xf numFmtId="0" fontId="13" fillId="0" borderId="41" xfId="0" applyFont="1" applyBorder="1" applyAlignment="1">
      <alignment horizontal="left" vertical="center"/>
    </xf>
    <xf numFmtId="0" fontId="0" fillId="0" borderId="10" xfId="0" applyBorder="1"/>
    <xf numFmtId="0" fontId="11" fillId="0" borderId="10" xfId="0" applyFont="1" applyBorder="1" applyAlignment="1">
      <alignment horizontal="left" vertical="center"/>
    </xf>
    <xf numFmtId="0" fontId="13" fillId="0" borderId="43" xfId="0" applyFont="1" applyBorder="1" applyAlignment="1">
      <alignment vertical="center"/>
    </xf>
    <xf numFmtId="0" fontId="16" fillId="0" borderId="7" xfId="0" applyFont="1" applyBorder="1" applyAlignment="1">
      <alignment vertical="center"/>
    </xf>
    <xf numFmtId="0" fontId="16" fillId="0" borderId="10" xfId="0" applyFont="1" applyBorder="1" applyAlignment="1">
      <alignment horizontal="left" vertical="center"/>
    </xf>
    <xf numFmtId="0" fontId="26" fillId="0" borderId="0" xfId="0" applyFont="1" applyAlignment="1">
      <alignment horizontal="right" vertical="center"/>
    </xf>
    <xf numFmtId="4" fontId="30" fillId="0" borderId="44" xfId="0" applyNumberFormat="1" applyFont="1" applyBorder="1" applyAlignment="1">
      <alignment horizontal="right" vertical="center" wrapText="1"/>
    </xf>
    <xf numFmtId="0" fontId="30" fillId="7" borderId="44" xfId="0" applyFont="1" applyFill="1" applyBorder="1" applyAlignment="1">
      <alignment horizontal="center" vertical="center" wrapText="1"/>
    </xf>
    <xf numFmtId="0" fontId="44" fillId="3" borderId="2" xfId="0" applyFont="1" applyFill="1" applyBorder="1" applyAlignment="1">
      <alignment vertical="center" wrapText="1"/>
    </xf>
    <xf numFmtId="0" fontId="29" fillId="0" borderId="0" xfId="0" applyFont="1" applyAlignment="1" applyProtection="1">
      <alignment wrapText="1"/>
      <protection locked="0"/>
    </xf>
    <xf numFmtId="0" fontId="29" fillId="0" borderId="0" xfId="0" applyFont="1"/>
    <xf numFmtId="164" fontId="45" fillId="0" borderId="8" xfId="4" applyFont="1" applyFill="1" applyBorder="1" applyAlignment="1" applyProtection="1">
      <alignment vertical="center"/>
    </xf>
    <xf numFmtId="0" fontId="43" fillId="0" borderId="0" xfId="0" applyFont="1" applyAlignment="1">
      <alignment vertical="center"/>
    </xf>
    <xf numFmtId="0" fontId="30" fillId="5" borderId="44" xfId="0" applyFont="1" applyFill="1" applyBorder="1" applyAlignment="1">
      <alignment horizontal="left" vertical="center" wrapText="1"/>
    </xf>
    <xf numFmtId="0" fontId="43" fillId="0" borderId="0" xfId="0" applyFont="1" applyAlignment="1">
      <alignment horizontal="left" vertical="top" wrapText="1"/>
    </xf>
    <xf numFmtId="0" fontId="30" fillId="0" borderId="0" xfId="0" applyFont="1" applyAlignment="1">
      <alignment horizontal="right" vertical="center" wrapText="1"/>
    </xf>
    <xf numFmtId="0" fontId="29" fillId="5" borderId="0" xfId="0" applyFont="1" applyFill="1"/>
    <xf numFmtId="4" fontId="30" fillId="5" borderId="45" xfId="0" applyNumberFormat="1" applyFont="1" applyFill="1" applyBorder="1" applyAlignment="1">
      <alignment horizontal="right" vertical="center" wrapText="1"/>
    </xf>
    <xf numFmtId="0" fontId="34" fillId="0" borderId="0" xfId="0" applyFont="1" applyAlignment="1">
      <alignment vertical="top"/>
    </xf>
    <xf numFmtId="0" fontId="34" fillId="3" borderId="0" xfId="0" applyFont="1" applyFill="1" applyAlignment="1">
      <alignment vertical="top"/>
    </xf>
    <xf numFmtId="0" fontId="44" fillId="3" borderId="0" xfId="0" applyFont="1" applyFill="1" applyAlignment="1">
      <alignment vertical="center" wrapText="1"/>
    </xf>
    <xf numFmtId="0" fontId="27" fillId="3" borderId="0" xfId="0" applyFont="1" applyFill="1" applyAlignment="1">
      <alignment vertical="center"/>
    </xf>
    <xf numFmtId="0" fontId="46" fillId="0" borderId="0" xfId="0" applyFont="1"/>
    <xf numFmtId="0" fontId="46" fillId="0" borderId="0" xfId="0" applyFont="1" applyAlignment="1">
      <alignment horizontal="center"/>
    </xf>
    <xf numFmtId="0" fontId="44" fillId="3" borderId="46" xfId="0" applyFont="1" applyFill="1" applyBorder="1" applyAlignment="1">
      <alignment horizontal="center" vertical="center"/>
    </xf>
    <xf numFmtId="0" fontId="44" fillId="3" borderId="0" xfId="0" applyFont="1" applyFill="1" applyAlignment="1">
      <alignment horizontal="center" vertical="center"/>
    </xf>
    <xf numFmtId="0" fontId="30" fillId="0" borderId="44" xfId="0" applyFont="1" applyBorder="1" applyAlignment="1">
      <alignment horizontal="right" vertical="center" wrapText="1"/>
    </xf>
    <xf numFmtId="0" fontId="34" fillId="0" borderId="7" xfId="0" applyFont="1" applyBorder="1" applyAlignment="1">
      <alignment vertical="top" wrapText="1"/>
    </xf>
    <xf numFmtId="0" fontId="0" fillId="0" borderId="6" xfId="0" applyBorder="1"/>
    <xf numFmtId="0" fontId="47" fillId="4" borderId="44" xfId="0" applyFont="1" applyFill="1" applyBorder="1" applyAlignment="1">
      <alignment horizontal="center" vertical="center" wrapText="1"/>
    </xf>
    <xf numFmtId="0" fontId="47" fillId="4" borderId="45" xfId="0" applyFont="1" applyFill="1" applyBorder="1" applyAlignment="1">
      <alignment horizontal="center" vertical="center" wrapText="1"/>
    </xf>
    <xf numFmtId="14" fontId="28" fillId="0" borderId="0" xfId="0" applyNumberFormat="1" applyFont="1" applyAlignment="1">
      <alignment horizontal="right" vertical="center"/>
    </xf>
    <xf numFmtId="0" fontId="28" fillId="0" borderId="0" xfId="0" applyFont="1" applyAlignment="1">
      <alignment horizontal="right" vertical="center"/>
    </xf>
    <xf numFmtId="10" fontId="29" fillId="3" borderId="0" xfId="0" applyNumberFormat="1" applyFont="1" applyFill="1" applyAlignment="1">
      <alignment horizontal="center" vertical="center"/>
    </xf>
    <xf numFmtId="0" fontId="43" fillId="0" borderId="44" xfId="0" applyFont="1" applyBorder="1" applyAlignment="1">
      <alignment horizontal="center"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0" fontId="30" fillId="0" borderId="44" xfId="0" applyFont="1" applyBorder="1" applyAlignment="1">
      <alignment horizontal="left" vertical="top" wrapText="1"/>
    </xf>
    <xf numFmtId="0" fontId="43" fillId="0" borderId="44" xfId="0" applyFont="1" applyBorder="1" applyAlignment="1">
      <alignment horizontal="left" vertical="top" wrapText="1"/>
    </xf>
    <xf numFmtId="171" fontId="48" fillId="0" borderId="49" xfId="0" applyNumberFormat="1" applyFont="1" applyBorder="1" applyAlignment="1">
      <alignment horizontal="right" vertical="center" wrapText="1"/>
    </xf>
    <xf numFmtId="4" fontId="48" fillId="8" borderId="12" xfId="0" applyNumberFormat="1" applyFont="1" applyFill="1" applyBorder="1" applyAlignment="1">
      <alignment vertical="center" wrapText="1"/>
    </xf>
    <xf numFmtId="4" fontId="48" fillId="8" borderId="55" xfId="0" applyNumberFormat="1" applyFont="1" applyFill="1" applyBorder="1" applyAlignment="1">
      <alignment horizontal="right" vertical="center" wrapText="1"/>
    </xf>
    <xf numFmtId="4" fontId="48" fillId="8" borderId="48" xfId="0" applyNumberFormat="1" applyFont="1" applyFill="1" applyBorder="1" applyAlignment="1">
      <alignment horizontal="right" vertical="center" wrapText="1"/>
    </xf>
    <xf numFmtId="4" fontId="48" fillId="8" borderId="44" xfId="0" applyNumberFormat="1" applyFont="1" applyFill="1" applyBorder="1" applyAlignment="1">
      <alignment horizontal="right" vertical="center" wrapText="1"/>
    </xf>
    <xf numFmtId="4" fontId="48" fillId="0" borderId="0" xfId="0" applyNumberFormat="1" applyFont="1" applyAlignment="1">
      <alignment vertical="center" wrapText="1"/>
    </xf>
    <xf numFmtId="0" fontId="49" fillId="4" borderId="44" xfId="0" applyFont="1" applyFill="1" applyBorder="1" applyAlignment="1">
      <alignment horizontal="center" vertical="center" wrapText="1"/>
    </xf>
    <xf numFmtId="0" fontId="49" fillId="4" borderId="44" xfId="0" applyFont="1" applyFill="1" applyBorder="1" applyAlignment="1">
      <alignment vertical="center" wrapText="1"/>
    </xf>
    <xf numFmtId="0" fontId="30" fillId="5" borderId="54" xfId="0" applyFont="1" applyFill="1" applyBorder="1" applyAlignment="1">
      <alignment vertical="center" wrapText="1"/>
    </xf>
    <xf numFmtId="0" fontId="30" fillId="5" borderId="48" xfId="0" applyFont="1" applyFill="1" applyBorder="1" applyAlignment="1">
      <alignment vertical="center" wrapText="1"/>
    </xf>
    <xf numFmtId="0" fontId="30" fillId="5" borderId="45" xfId="0" applyFont="1" applyFill="1" applyBorder="1" applyAlignment="1">
      <alignment vertical="center"/>
    </xf>
    <xf numFmtId="4" fontId="47" fillId="0" borderId="44" xfId="0" applyNumberFormat="1" applyFont="1" applyBorder="1" applyAlignment="1">
      <alignment horizontal="right" vertical="center" wrapText="1"/>
    </xf>
    <xf numFmtId="0" fontId="48" fillId="0" borderId="44" xfId="0" applyFont="1" applyBorder="1" applyAlignment="1">
      <alignment horizontal="left" vertical="center" wrapText="1"/>
    </xf>
    <xf numFmtId="0" fontId="48" fillId="0" borderId="44" xfId="0" applyFont="1" applyBorder="1" applyAlignment="1">
      <alignment horizontal="center" vertical="center" wrapText="1"/>
    </xf>
    <xf numFmtId="4" fontId="48" fillId="0" borderId="44" xfId="0" applyNumberFormat="1" applyFont="1" applyBorder="1" applyAlignment="1">
      <alignment horizontal="right" vertical="center" wrapText="1"/>
    </xf>
    <xf numFmtId="0" fontId="0" fillId="0" borderId="0" xfId="0" applyAlignment="1" applyProtection="1">
      <alignment wrapText="1"/>
      <protection locked="0"/>
    </xf>
    <xf numFmtId="10" fontId="48" fillId="0" borderId="44" xfId="2" applyNumberFormat="1" applyFont="1" applyBorder="1" applyAlignment="1">
      <alignment horizontal="right" vertical="center" wrapText="1"/>
    </xf>
    <xf numFmtId="0" fontId="52" fillId="0" borderId="44" xfId="0" applyFont="1" applyBorder="1" applyAlignment="1">
      <alignment horizontal="center" vertical="top" wrapText="1"/>
    </xf>
    <xf numFmtId="0" fontId="52" fillId="0" borderId="44" xfId="0" applyFont="1" applyBorder="1" applyAlignment="1">
      <alignment horizontal="justify" vertical="top" wrapText="1"/>
    </xf>
    <xf numFmtId="169" fontId="52" fillId="0" borderId="44" xfId="0" applyNumberFormat="1" applyFont="1" applyBorder="1" applyAlignment="1">
      <alignment horizontal="right" vertical="top" wrapText="1"/>
    </xf>
    <xf numFmtId="4" fontId="52" fillId="0" borderId="44" xfId="0" applyNumberFormat="1" applyFont="1" applyBorder="1" applyAlignment="1">
      <alignment horizontal="right" vertical="top" wrapText="1"/>
    </xf>
    <xf numFmtId="0" fontId="24" fillId="0" borderId="0" xfId="0" applyFont="1" applyAlignment="1" applyProtection="1">
      <alignment wrapText="1"/>
      <protection locked="0"/>
    </xf>
    <xf numFmtId="0" fontId="28" fillId="5" borderId="2" xfId="0" applyFont="1" applyFill="1" applyBorder="1" applyAlignment="1">
      <alignment horizontal="center" vertical="center"/>
    </xf>
    <xf numFmtId="4" fontId="30" fillId="0" borderId="12" xfId="0" applyNumberFormat="1" applyFont="1" applyBorder="1" applyAlignment="1">
      <alignment horizontal="right" vertical="center" wrapText="1"/>
    </xf>
    <xf numFmtId="0" fontId="43" fillId="0" borderId="44" xfId="0" applyFont="1" applyBorder="1" applyAlignment="1">
      <alignment horizontal="center" vertical="center" wrapText="1"/>
    </xf>
    <xf numFmtId="4" fontId="43" fillId="0" borderId="44" xfId="0" applyNumberFormat="1" applyFont="1" applyBorder="1" applyAlignment="1">
      <alignment horizontal="right" vertical="center" wrapText="1"/>
    </xf>
    <xf numFmtId="0" fontId="26" fillId="0" borderId="0" xfId="0" applyFont="1" applyAlignment="1">
      <alignment vertical="center"/>
    </xf>
    <xf numFmtId="0" fontId="30" fillId="7" borderId="56" xfId="0" applyFont="1" applyFill="1" applyBorder="1" applyAlignment="1">
      <alignment horizontal="center" vertical="center" wrapText="1"/>
    </xf>
    <xf numFmtId="0" fontId="26" fillId="0" borderId="0" xfId="0" applyFont="1" applyAlignment="1">
      <alignment horizontal="center" vertical="center"/>
    </xf>
    <xf numFmtId="0" fontId="48" fillId="0" borderId="44" xfId="0" applyFont="1" applyBorder="1" applyAlignment="1">
      <alignment horizontal="justify" vertical="center" wrapText="1"/>
    </xf>
    <xf numFmtId="0" fontId="48" fillId="0" borderId="54" xfId="0" applyFont="1" applyBorder="1" applyAlignment="1">
      <alignment horizontal="justify" vertical="center" wrapText="1"/>
    </xf>
    <xf numFmtId="169" fontId="43" fillId="0" borderId="44" xfId="0" applyNumberFormat="1" applyFont="1" applyBorder="1" applyAlignment="1">
      <alignment horizontal="center" vertical="center" wrapText="1"/>
    </xf>
    <xf numFmtId="4" fontId="43" fillId="0" borderId="44" xfId="0" applyNumberFormat="1" applyFont="1" applyBorder="1" applyAlignment="1">
      <alignment horizontal="center" vertical="center" wrapText="1"/>
    </xf>
    <xf numFmtId="174" fontId="43" fillId="0" borderId="44" xfId="0" applyNumberFormat="1" applyFont="1" applyBorder="1" applyAlignment="1">
      <alignment horizontal="center" vertical="center" wrapText="1"/>
    </xf>
    <xf numFmtId="14" fontId="43" fillId="0" borderId="44" xfId="0" applyNumberFormat="1" applyFont="1" applyBorder="1" applyAlignment="1">
      <alignment horizontal="center" vertical="center" wrapText="1"/>
    </xf>
    <xf numFmtId="4" fontId="53" fillId="0" borderId="44" xfId="10" applyNumberFormat="1" applyBorder="1" applyAlignment="1">
      <alignment horizontal="center" vertical="center" wrapText="1"/>
    </xf>
    <xf numFmtId="169" fontId="53" fillId="0" borderId="44" xfId="10" applyNumberFormat="1" applyBorder="1" applyAlignment="1">
      <alignment horizontal="center" vertical="center" wrapText="1"/>
    </xf>
    <xf numFmtId="174" fontId="30" fillId="7" borderId="44" xfId="0" applyNumberFormat="1" applyFont="1" applyFill="1" applyBorder="1" applyAlignment="1">
      <alignment horizontal="center" vertical="center" wrapText="1"/>
    </xf>
    <xf numFmtId="49" fontId="43" fillId="0" borderId="44" xfId="0" applyNumberFormat="1" applyFont="1" applyBorder="1" applyAlignment="1">
      <alignment horizontal="center" vertical="center" wrapText="1"/>
    </xf>
    <xf numFmtId="169" fontId="43" fillId="0" borderId="44" xfId="0" applyNumberFormat="1" applyFont="1" applyBorder="1" applyAlignment="1">
      <alignment horizontal="right" vertical="center" wrapText="1"/>
    </xf>
    <xf numFmtId="0" fontId="26" fillId="0" borderId="0" xfId="0" applyFont="1" applyProtection="1">
      <protection locked="0"/>
    </xf>
    <xf numFmtId="2" fontId="43" fillId="0" borderId="44" xfId="0" applyNumberFormat="1" applyFont="1" applyBorder="1" applyAlignment="1">
      <alignment horizontal="center" vertical="center" wrapText="1"/>
    </xf>
    <xf numFmtId="4" fontId="48" fillId="0" borderId="0" xfId="0" applyNumberFormat="1" applyFont="1" applyAlignment="1">
      <alignment horizontal="right" vertical="center" wrapText="1"/>
    </xf>
    <xf numFmtId="0" fontId="26" fillId="0" borderId="12" xfId="0" applyFont="1" applyBorder="1" applyAlignment="1">
      <alignment horizontal="center" vertical="center"/>
    </xf>
    <xf numFmtId="0" fontId="34" fillId="0" borderId="0" xfId="0" applyFont="1" applyAlignment="1">
      <alignment vertical="center"/>
    </xf>
    <xf numFmtId="0" fontId="54" fillId="0" borderId="0" xfId="0" applyFont="1" applyAlignment="1">
      <alignment vertical="center"/>
    </xf>
    <xf numFmtId="0" fontId="34"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55" fillId="0" borderId="0" xfId="0" applyFont="1" applyAlignment="1">
      <alignment vertical="center"/>
    </xf>
    <xf numFmtId="0" fontId="50" fillId="0" borderId="0" xfId="0" applyFont="1" applyAlignment="1">
      <alignment vertical="center"/>
    </xf>
    <xf numFmtId="0" fontId="48" fillId="0" borderId="49" xfId="0" applyFont="1" applyBorder="1" applyAlignment="1">
      <alignment vertical="center" wrapText="1"/>
    </xf>
    <xf numFmtId="4" fontId="48" fillId="0" borderId="49" xfId="0" applyNumberFormat="1" applyFont="1" applyBorder="1" applyAlignment="1">
      <alignment vertical="center" wrapText="1"/>
    </xf>
    <xf numFmtId="9" fontId="47" fillId="0" borderId="49" xfId="2" applyFont="1" applyFill="1" applyBorder="1" applyAlignment="1">
      <alignment horizontal="right" vertical="center" wrapText="1"/>
    </xf>
    <xf numFmtId="4" fontId="54" fillId="0" borderId="0" xfId="0" applyNumberFormat="1" applyFont="1" applyAlignment="1">
      <alignment horizontal="right" vertical="center"/>
    </xf>
    <xf numFmtId="0" fontId="48" fillId="0" borderId="56" xfId="0" applyFont="1" applyBorder="1" applyAlignment="1">
      <alignment vertical="center" wrapText="1"/>
    </xf>
    <xf numFmtId="4" fontId="48" fillId="0" borderId="56" xfId="0" applyNumberFormat="1" applyFont="1" applyBorder="1" applyAlignment="1">
      <alignment vertical="center" wrapText="1"/>
    </xf>
    <xf numFmtId="173" fontId="48" fillId="9" borderId="56" xfId="0" applyNumberFormat="1" applyFont="1" applyFill="1" applyBorder="1" applyAlignment="1">
      <alignment horizontal="right" vertical="center" wrapText="1"/>
    </xf>
    <xf numFmtId="4" fontId="47" fillId="0" borderId="56" xfId="0" applyNumberFormat="1" applyFont="1" applyBorder="1" applyAlignment="1">
      <alignment horizontal="right" vertical="center" wrapText="1"/>
    </xf>
    <xf numFmtId="0" fontId="35" fillId="0" borderId="49" xfId="0" applyFont="1" applyBorder="1" applyAlignment="1">
      <alignment vertical="center" wrapText="1"/>
    </xf>
    <xf numFmtId="4" fontId="35" fillId="0" borderId="49" xfId="0" applyNumberFormat="1" applyFont="1" applyBorder="1" applyAlignment="1">
      <alignment vertical="center" wrapText="1"/>
    </xf>
    <xf numFmtId="171" fontId="35" fillId="0" borderId="49" xfId="0" applyNumberFormat="1" applyFont="1" applyBorder="1" applyAlignment="1">
      <alignment horizontal="right" vertical="center" wrapText="1"/>
    </xf>
    <xf numFmtId="9" fontId="56" fillId="0" borderId="49" xfId="2" applyFont="1" applyFill="1" applyBorder="1" applyAlignment="1">
      <alignment horizontal="right" vertical="center" wrapText="1"/>
    </xf>
    <xf numFmtId="173" fontId="48" fillId="0" borderId="56" xfId="0" applyNumberFormat="1" applyFont="1" applyBorder="1" applyAlignment="1">
      <alignment horizontal="right" vertical="center" wrapText="1"/>
    </xf>
    <xf numFmtId="0" fontId="34" fillId="8" borderId="50" xfId="0" applyFont="1" applyFill="1" applyBorder="1" applyAlignment="1" applyProtection="1">
      <alignment vertical="center" wrapText="1"/>
      <protection locked="0"/>
    </xf>
    <xf numFmtId="0" fontId="34" fillId="8" borderId="52" xfId="0" applyFont="1" applyFill="1" applyBorder="1" applyAlignment="1" applyProtection="1">
      <alignment vertical="center" wrapText="1"/>
      <protection locked="0"/>
    </xf>
    <xf numFmtId="0" fontId="34" fillId="8" borderId="51" xfId="0" applyFont="1" applyFill="1" applyBorder="1" applyAlignment="1" applyProtection="1">
      <alignment vertical="center" wrapText="1"/>
      <protection locked="0"/>
    </xf>
    <xf numFmtId="0" fontId="34" fillId="8" borderId="46" xfId="0" applyFont="1" applyFill="1" applyBorder="1" applyAlignment="1" applyProtection="1">
      <alignment vertical="center" wrapText="1"/>
      <protection locked="0"/>
    </xf>
    <xf numFmtId="4" fontId="57" fillId="8" borderId="44" xfId="0" applyNumberFormat="1" applyFont="1" applyFill="1" applyBorder="1" applyAlignment="1">
      <alignment vertical="center" wrapText="1"/>
    </xf>
    <xf numFmtId="4" fontId="54" fillId="0" borderId="0" xfId="0" applyNumberFormat="1" applyFont="1" applyAlignment="1">
      <alignment vertical="center"/>
    </xf>
    <xf numFmtId="0" fontId="58" fillId="5" borderId="55" xfId="0" applyFont="1" applyFill="1" applyBorder="1" applyAlignment="1">
      <alignment horizontal="center" vertical="center" wrapText="1"/>
    </xf>
    <xf numFmtId="1" fontId="49" fillId="5" borderId="49" xfId="0" applyNumberFormat="1" applyFont="1" applyFill="1" applyBorder="1" applyAlignment="1">
      <alignment horizontal="center" vertical="center" wrapText="1"/>
    </xf>
    <xf numFmtId="0" fontId="46" fillId="0" borderId="0" xfId="0" applyFont="1" applyAlignment="1" applyProtection="1">
      <alignment vertical="center" wrapText="1"/>
      <protection locked="0"/>
    </xf>
    <xf numFmtId="4" fontId="59" fillId="0" borderId="0" xfId="0" applyNumberFormat="1" applyFont="1" applyAlignment="1">
      <alignment horizontal="right" vertical="center" wrapText="1"/>
    </xf>
    <xf numFmtId="4" fontId="59" fillId="0" borderId="0" xfId="0" applyNumberFormat="1" applyFont="1" applyAlignment="1">
      <alignment vertical="center" wrapText="1"/>
    </xf>
    <xf numFmtId="0" fontId="34" fillId="0" borderId="0" xfId="0" applyFont="1" applyAlignment="1" applyProtection="1">
      <alignment horizontal="center" vertical="center" wrapText="1"/>
      <protection locked="0"/>
    </xf>
    <xf numFmtId="0" fontId="60" fillId="0" borderId="58" xfId="0" applyFont="1" applyBorder="1" applyAlignment="1">
      <alignment vertical="center" wrapText="1"/>
    </xf>
    <xf numFmtId="0" fontId="60" fillId="0" borderId="12" xfId="0" applyFont="1" applyBorder="1" applyAlignment="1">
      <alignment vertical="center" wrapText="1"/>
    </xf>
    <xf numFmtId="0" fontId="60" fillId="0" borderId="12" xfId="0" applyFont="1" applyBorder="1" applyAlignment="1">
      <alignment horizontal="center" vertical="center" wrapText="1"/>
    </xf>
    <xf numFmtId="175" fontId="60" fillId="0" borderId="12" xfId="0" applyNumberFormat="1" applyFont="1" applyBorder="1" applyAlignment="1">
      <alignment horizontal="center" vertical="center" wrapText="1"/>
    </xf>
    <xf numFmtId="0" fontId="60" fillId="0" borderId="59" xfId="0" applyFont="1" applyBorder="1" applyAlignment="1">
      <alignment vertical="center" wrapText="1"/>
    </xf>
    <xf numFmtId="0" fontId="46" fillId="0" borderId="0" xfId="0" applyFont="1" applyAlignment="1" applyProtection="1">
      <alignment horizontal="center" vertical="center" wrapText="1"/>
      <protection locked="0"/>
    </xf>
    <xf numFmtId="0" fontId="34" fillId="0" borderId="0" xfId="0" applyFont="1" applyAlignment="1">
      <alignment horizontal="center" vertical="center"/>
    </xf>
    <xf numFmtId="4" fontId="48" fillId="0" borderId="54" xfId="0" applyNumberFormat="1" applyFont="1" applyBorder="1" applyAlignment="1">
      <alignment horizontal="right" vertical="center" wrapText="1"/>
    </xf>
    <xf numFmtId="169" fontId="43" fillId="0" borderId="12" xfId="0" applyNumberFormat="1" applyFont="1" applyBorder="1" applyAlignment="1">
      <alignment horizontal="center" vertical="center" wrapText="1"/>
    </xf>
    <xf numFmtId="0" fontId="29" fillId="10" borderId="0" xfId="0" applyFont="1" applyFill="1"/>
    <xf numFmtId="0" fontId="29" fillId="0" borderId="0" xfId="0" applyFont="1" applyAlignment="1">
      <alignment vertical="center"/>
    </xf>
    <xf numFmtId="0" fontId="43" fillId="0" borderId="44" xfId="0" applyFont="1" applyBorder="1" applyAlignment="1">
      <alignment horizontal="justify" vertical="center" wrapText="1"/>
    </xf>
    <xf numFmtId="0" fontId="29" fillId="0" borderId="0" xfId="0" applyFont="1" applyAlignment="1" applyProtection="1">
      <alignment vertical="center" wrapText="1"/>
      <protection locked="0"/>
    </xf>
    <xf numFmtId="0" fontId="43" fillId="0" borderId="0" xfId="0" applyFont="1" applyAlignment="1">
      <alignment horizontal="justify" vertical="center" wrapText="1"/>
    </xf>
    <xf numFmtId="4" fontId="30" fillId="0" borderId="49" xfId="0" applyNumberFormat="1" applyFont="1" applyBorder="1" applyAlignment="1">
      <alignment horizontal="right" vertical="center" wrapText="1"/>
    </xf>
    <xf numFmtId="0" fontId="43" fillId="0" borderId="0" xfId="0" applyFont="1" applyAlignment="1">
      <alignment horizontal="center" vertical="center" wrapText="1"/>
    </xf>
    <xf numFmtId="0" fontId="43" fillId="0" borderId="0" xfId="0" applyFont="1" applyAlignment="1">
      <alignment horizontal="left" vertical="center" wrapText="1"/>
    </xf>
    <xf numFmtId="4" fontId="43"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0" fontId="43" fillId="0" borderId="44" xfId="0" applyFont="1" applyBorder="1" applyAlignment="1">
      <alignment horizontal="justify" vertical="top" wrapText="1"/>
    </xf>
    <xf numFmtId="169" fontId="43" fillId="0" borderId="44" xfId="0" applyNumberFormat="1" applyFont="1" applyBorder="1" applyAlignment="1">
      <alignment horizontal="right" vertical="top" wrapText="1"/>
    </xf>
    <xf numFmtId="0" fontId="30" fillId="7" borderId="49" xfId="0" applyFont="1" applyFill="1" applyBorder="1" applyAlignment="1">
      <alignment horizontal="center" vertical="center" wrapText="1"/>
    </xf>
    <xf numFmtId="4" fontId="43" fillId="0" borderId="49" xfId="0" applyNumberFormat="1" applyFont="1" applyBorder="1" applyAlignment="1">
      <alignment horizontal="right" vertical="center" wrapText="1"/>
    </xf>
    <xf numFmtId="169" fontId="43" fillId="0" borderId="49" xfId="0" applyNumberFormat="1" applyFont="1" applyBorder="1" applyAlignment="1">
      <alignment horizontal="right" vertical="center" wrapText="1"/>
    </xf>
    <xf numFmtId="49" fontId="52" fillId="0" borderId="44" xfId="0" applyNumberFormat="1" applyFont="1" applyBorder="1" applyAlignment="1">
      <alignment horizontal="center" vertical="center" wrapText="1"/>
    </xf>
    <xf numFmtId="0" fontId="52" fillId="0" borderId="44" xfId="0" applyFont="1" applyBorder="1" applyAlignment="1">
      <alignment horizontal="justify" vertical="center" wrapText="1"/>
    </xf>
    <xf numFmtId="0" fontId="52" fillId="0" borderId="44" xfId="0" applyFont="1" applyBorder="1" applyAlignment="1">
      <alignment horizontal="center" vertical="center" wrapText="1"/>
    </xf>
    <xf numFmtId="169" fontId="52" fillId="0" borderId="44" xfId="0" applyNumberFormat="1" applyFont="1" applyBorder="1" applyAlignment="1">
      <alignment horizontal="right" vertical="center" wrapText="1"/>
    </xf>
    <xf numFmtId="4" fontId="52" fillId="0" borderId="44" xfId="0" applyNumberFormat="1" applyFont="1" applyBorder="1" applyAlignment="1">
      <alignment horizontal="right" vertical="center" wrapText="1"/>
    </xf>
    <xf numFmtId="49" fontId="43" fillId="0" borderId="44" xfId="0" applyNumberFormat="1" applyFont="1" applyBorder="1" applyAlignment="1">
      <alignment horizontal="center" vertical="top" wrapText="1"/>
    </xf>
    <xf numFmtId="0" fontId="48" fillId="0" borderId="12" xfId="0" applyFont="1" applyBorder="1" applyAlignment="1">
      <alignment horizontal="justify" vertical="center" wrapText="1"/>
    </xf>
    <xf numFmtId="0" fontId="43" fillId="0" borderId="0" xfId="0" applyFont="1" applyAlignment="1">
      <alignment horizontal="center" vertical="top" wrapText="1"/>
    </xf>
    <xf numFmtId="0" fontId="26" fillId="0" borderId="12" xfId="0" applyFont="1" applyBorder="1" applyAlignment="1">
      <alignment horizontal="center" vertical="center" wrapText="1"/>
    </xf>
    <xf numFmtId="0" fontId="30" fillId="0" borderId="50" xfId="0" applyFont="1" applyBorder="1" applyAlignment="1">
      <alignment horizontal="left" vertical="center" wrapText="1"/>
    </xf>
    <xf numFmtId="0" fontId="30" fillId="0" borderId="52" xfId="0" applyFont="1" applyBorder="1" applyAlignment="1">
      <alignment horizontal="left" vertical="center" wrapText="1"/>
    </xf>
    <xf numFmtId="0" fontId="61" fillId="0" borderId="0" xfId="0" applyFont="1" applyAlignment="1">
      <alignment vertical="center"/>
    </xf>
    <xf numFmtId="0" fontId="26" fillId="11" borderId="12" xfId="0" applyFont="1" applyFill="1" applyBorder="1" applyAlignment="1">
      <alignment horizontal="center" vertical="center"/>
    </xf>
    <xf numFmtId="4" fontId="30" fillId="0" borderId="44" xfId="0" applyNumberFormat="1" applyFont="1" applyBorder="1" applyAlignment="1">
      <alignment horizontal="right" vertical="top" wrapText="1"/>
    </xf>
    <xf numFmtId="0" fontId="59" fillId="0" borderId="0" xfId="0" applyFont="1" applyAlignment="1">
      <alignment wrapText="1"/>
    </xf>
    <xf numFmtId="0" fontId="13" fillId="0" borderId="41" xfId="0" applyFont="1" applyBorder="1" applyAlignment="1">
      <alignment horizontal="center" vertical="center"/>
    </xf>
    <xf numFmtId="0" fontId="13" fillId="0" borderId="21" xfId="0" applyFont="1" applyBorder="1" applyAlignment="1">
      <alignment horizontal="center" vertical="center" wrapText="1"/>
    </xf>
    <xf numFmtId="0" fontId="0" fillId="0" borderId="7" xfId="0" applyBorder="1"/>
    <xf numFmtId="0" fontId="0" fillId="0" borderId="8" xfId="0" applyBorder="1"/>
    <xf numFmtId="0" fontId="0" fillId="0" borderId="7" xfId="0" applyBorder="1" applyAlignment="1">
      <alignment vertical="center"/>
    </xf>
    <xf numFmtId="166" fontId="0" fillId="0" borderId="7" xfId="0" applyNumberFormat="1" applyBorder="1"/>
    <xf numFmtId="0" fontId="30" fillId="7" borderId="12" xfId="0" applyFont="1" applyFill="1" applyBorder="1" applyAlignment="1">
      <alignment horizontal="center" vertical="center" wrapText="1"/>
    </xf>
    <xf numFmtId="0" fontId="29" fillId="0" borderId="0" xfId="0" applyFont="1" applyAlignment="1" applyProtection="1">
      <alignment horizontal="center" wrapText="1"/>
      <protection locked="0"/>
    </xf>
    <xf numFmtId="0" fontId="29" fillId="0" borderId="0" xfId="0" applyFont="1" applyAlignment="1">
      <alignment horizontal="center" vertical="center"/>
    </xf>
    <xf numFmtId="0" fontId="29" fillId="0" borderId="0" xfId="0" applyFont="1" applyAlignment="1">
      <alignment horizontal="center"/>
    </xf>
    <xf numFmtId="169" fontId="43" fillId="0" borderId="0" xfId="0" applyNumberFormat="1" applyFont="1" applyAlignment="1">
      <alignment horizontal="center" vertical="center" wrapText="1"/>
    </xf>
    <xf numFmtId="0" fontId="30" fillId="7" borderId="45" xfId="0" applyFont="1" applyFill="1" applyBorder="1" applyAlignment="1">
      <alignment horizontal="center" vertical="center" wrapText="1"/>
    </xf>
    <xf numFmtId="0" fontId="29" fillId="0" borderId="12" xfId="0" applyFont="1" applyBorder="1" applyAlignment="1">
      <alignment horizontal="center" vertical="center"/>
    </xf>
    <xf numFmtId="2" fontId="29" fillId="0" borderId="0" xfId="0" applyNumberFormat="1"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justify" vertical="center" wrapText="1"/>
    </xf>
    <xf numFmtId="0" fontId="48" fillId="0" borderId="0" xfId="0" applyFont="1" applyAlignment="1">
      <alignment horizontal="left" vertical="center" wrapText="1"/>
    </xf>
    <xf numFmtId="4" fontId="29" fillId="0" borderId="0" xfId="0" applyNumberFormat="1" applyFont="1" applyAlignment="1">
      <alignment horizontal="center" vertical="center"/>
    </xf>
    <xf numFmtId="174" fontId="29" fillId="0" borderId="0" xfId="0" applyNumberFormat="1" applyFont="1" applyAlignment="1">
      <alignment horizontal="center" vertical="center"/>
    </xf>
    <xf numFmtId="174" fontId="43" fillId="0" borderId="0" xfId="0" applyNumberFormat="1" applyFont="1" applyAlignment="1">
      <alignment horizontal="center" vertical="center" wrapText="1"/>
    </xf>
    <xf numFmtId="0" fontId="43" fillId="0" borderId="0" xfId="0" applyFont="1" applyAlignment="1">
      <alignment horizontal="left" vertical="top" wrapText="1"/>
    </xf>
    <xf numFmtId="0" fontId="30" fillId="0" borderId="48" xfId="0" applyFont="1" applyBorder="1" applyAlignment="1">
      <alignment horizontal="right" vertical="center" wrapText="1"/>
    </xf>
    <xf numFmtId="4" fontId="30"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30" fillId="0" borderId="54" xfId="0" applyFont="1" applyBorder="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0" fillId="0" borderId="0" xfId="0"/>
    <xf numFmtId="0" fontId="43" fillId="0" borderId="0" xfId="0" applyFont="1" applyAlignment="1">
      <alignment horizontal="center" vertical="center"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26" fillId="0" borderId="53" xfId="0" applyFont="1" applyBorder="1" applyAlignment="1">
      <alignment horizontal="center" vertical="center"/>
    </xf>
    <xf numFmtId="0" fontId="26" fillId="0" borderId="7" xfId="0" applyFont="1" applyBorder="1" applyAlignment="1">
      <alignment horizontal="center" vertical="center"/>
    </xf>
    <xf numFmtId="0" fontId="43" fillId="0" borderId="0" xfId="0" applyFont="1" applyAlignment="1">
      <alignment horizontal="center" vertical="center" wrapText="1"/>
    </xf>
    <xf numFmtId="0" fontId="30" fillId="0" borderId="44" xfId="0" applyFont="1" applyBorder="1" applyAlignment="1">
      <alignment horizontal="center" vertical="center" wrapText="1"/>
    </xf>
    <xf numFmtId="0" fontId="30" fillId="7" borderId="57" xfId="0" applyFont="1" applyFill="1" applyBorder="1" applyAlignment="1">
      <alignment horizontal="center" vertical="center" wrapText="1"/>
    </xf>
    <xf numFmtId="0" fontId="43" fillId="0" borderId="12" xfId="0" applyFont="1" applyBorder="1" applyAlignment="1">
      <alignment horizontal="center" vertical="top" wrapText="1"/>
    </xf>
    <xf numFmtId="0" fontId="43" fillId="0" borderId="12" xfId="0" applyFont="1" applyBorder="1" applyAlignment="1">
      <alignment horizontal="justify" vertical="top" wrapText="1"/>
    </xf>
    <xf numFmtId="169" fontId="43" fillId="0" borderId="12" xfId="0" applyNumberFormat="1" applyFont="1" applyBorder="1" applyAlignment="1">
      <alignment horizontal="right" vertical="top" wrapText="1"/>
    </xf>
    <xf numFmtId="4" fontId="43" fillId="0" borderId="12" xfId="0" applyNumberFormat="1" applyFont="1" applyBorder="1" applyAlignment="1">
      <alignment horizontal="right" vertical="top" wrapText="1"/>
    </xf>
    <xf numFmtId="4" fontId="30" fillId="0" borderId="12" xfId="0" applyNumberFormat="1" applyFont="1" applyBorder="1" applyAlignment="1">
      <alignment horizontal="right" vertical="top" wrapText="1"/>
    </xf>
    <xf numFmtId="0" fontId="43" fillId="0" borderId="0" xfId="0" applyFont="1" applyAlignment="1">
      <alignment horizontal="center" vertical="center" wrapText="1"/>
    </xf>
    <xf numFmtId="0" fontId="30" fillId="0" borderId="44" xfId="0" applyFont="1" applyBorder="1" applyAlignment="1">
      <alignment horizontal="center" vertical="center" wrapText="1"/>
    </xf>
    <xf numFmtId="0" fontId="0" fillId="0" borderId="0" xfId="0"/>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0" xfId="0" applyFont="1" applyAlignment="1">
      <alignment horizontal="left" vertical="top" wrapText="1"/>
    </xf>
    <xf numFmtId="0" fontId="0" fillId="0" borderId="0" xfId="0" applyAlignment="1">
      <alignment horizontal="left" vertical="center"/>
    </xf>
    <xf numFmtId="0" fontId="43" fillId="0" borderId="0" xfId="0" applyFont="1" applyAlignment="1">
      <alignment horizontal="left" vertical="top"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0" xfId="0" applyFont="1" applyAlignment="1">
      <alignment horizontal="left" vertical="top"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0" xfId="0" applyFont="1" applyAlignment="1">
      <alignment horizontal="left" vertical="top" wrapText="1"/>
    </xf>
    <xf numFmtId="0" fontId="29" fillId="0" borderId="0" xfId="0" applyFont="1" applyBorder="1"/>
    <xf numFmtId="0" fontId="29" fillId="0" borderId="0" xfId="0" applyFont="1" applyBorder="1" applyAlignment="1" applyProtection="1">
      <alignment wrapText="1"/>
      <protection locked="0"/>
    </xf>
    <xf numFmtId="0" fontId="30" fillId="0" borderId="0" xfId="0" applyFont="1" applyBorder="1" applyAlignment="1">
      <alignment horizontal="right" vertical="center" wrapText="1"/>
    </xf>
    <xf numFmtId="4" fontId="30" fillId="0" borderId="0" xfId="0" applyNumberFormat="1" applyFont="1" applyBorder="1" applyAlignment="1">
      <alignment horizontal="right" vertical="center" wrapText="1"/>
    </xf>
    <xf numFmtId="4" fontId="30" fillId="0" borderId="49" xfId="0" applyNumberFormat="1" applyFont="1" applyBorder="1" applyAlignment="1">
      <alignment horizontal="right" vertical="top" wrapText="1"/>
    </xf>
    <xf numFmtId="0" fontId="43" fillId="0" borderId="0" xfId="0" applyFont="1" applyAlignment="1">
      <alignment horizontal="left" vertical="top"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0" xfId="0" applyFont="1" applyAlignment="1">
      <alignment horizontal="center" vertical="center" wrapText="1"/>
    </xf>
    <xf numFmtId="4" fontId="43" fillId="0" borderId="44" xfId="0" applyNumberFormat="1" applyFont="1" applyBorder="1" applyAlignment="1">
      <alignment horizontal="right" vertical="top"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0" fillId="0" borderId="0" xfId="0"/>
    <xf numFmtId="0" fontId="43" fillId="0" borderId="0" xfId="0" applyFont="1" applyAlignment="1">
      <alignment horizontal="left" vertical="top" wrapText="1"/>
    </xf>
    <xf numFmtId="172" fontId="29" fillId="0" borderId="0" xfId="0" applyNumberFormat="1" applyFont="1" applyAlignment="1">
      <alignment horizontal="center" wrapText="1"/>
    </xf>
    <xf numFmtId="0" fontId="29" fillId="3" borderId="0" xfId="0" applyFont="1" applyFill="1" applyAlignment="1">
      <alignment horizontal="center" vertical="center"/>
    </xf>
    <xf numFmtId="10" fontId="24" fillId="0" borderId="0" xfId="0" applyNumberFormat="1" applyFont="1" applyAlignment="1">
      <alignment horizontal="center" vertical="center"/>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172" fontId="29" fillId="0" borderId="0" xfId="0" applyNumberFormat="1" applyFont="1" applyAlignment="1">
      <alignment horizontal="center" vertical="center" wrapText="1"/>
    </xf>
    <xf numFmtId="0" fontId="43" fillId="0" borderId="0" xfId="0" applyFont="1" applyAlignment="1">
      <alignment horizontal="center" vertical="center" wrapText="1"/>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3" fillId="0" borderId="12" xfId="0" applyFont="1" applyBorder="1" applyAlignment="1">
      <alignment horizontal="center" vertical="center" wrapText="1"/>
    </xf>
    <xf numFmtId="0" fontId="43" fillId="0" borderId="12" xfId="0" applyFont="1" applyBorder="1" applyAlignment="1">
      <alignment horizontal="justify" vertical="center" wrapText="1"/>
    </xf>
    <xf numFmtId="169" fontId="43" fillId="0" borderId="12" xfId="0" applyNumberFormat="1" applyFont="1" applyBorder="1" applyAlignment="1">
      <alignment horizontal="right" vertical="center" wrapText="1"/>
    </xf>
    <xf numFmtId="4" fontId="43" fillId="0" borderId="12" xfId="0" applyNumberFormat="1" applyFont="1" applyBorder="1" applyAlignment="1">
      <alignment horizontal="right" vertical="center" wrapText="1"/>
    </xf>
    <xf numFmtId="0" fontId="30" fillId="0" borderId="44" xfId="0" applyFont="1" applyBorder="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0" fillId="0" borderId="0" xfId="0"/>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48" fillId="0" borderId="57" xfId="0" applyFont="1" applyBorder="1" applyAlignment="1">
      <alignment vertical="center" wrapText="1"/>
    </xf>
    <xf numFmtId="4" fontId="48" fillId="0" borderId="57" xfId="0" applyNumberFormat="1" applyFont="1" applyBorder="1" applyAlignment="1">
      <alignment vertical="center" wrapText="1"/>
    </xf>
    <xf numFmtId="173" fontId="48" fillId="9" borderId="57" xfId="0" applyNumberFormat="1" applyFont="1" applyFill="1" applyBorder="1" applyAlignment="1">
      <alignment horizontal="right" vertical="center" wrapText="1"/>
    </xf>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center" wrapText="1"/>
    </xf>
    <xf numFmtId="0" fontId="30" fillId="7" borderId="44" xfId="0" applyFont="1" applyFill="1" applyBorder="1" applyAlignment="1">
      <alignment horizontal="left" vertical="center"/>
    </xf>
    <xf numFmtId="0" fontId="28" fillId="0" borderId="0" xfId="0" applyFont="1" applyAlignment="1">
      <alignment horizontal="center" vertical="center"/>
    </xf>
    <xf numFmtId="4" fontId="43" fillId="0" borderId="50" xfId="0" applyNumberFormat="1" applyFont="1" applyBorder="1" applyAlignment="1">
      <alignment horizontal="right" vertical="center" wrapText="1"/>
    </xf>
    <xf numFmtId="176" fontId="29" fillId="0" borderId="12" xfId="0" applyNumberFormat="1" applyFont="1" applyBorder="1" applyAlignment="1">
      <alignment horizontal="center" vertical="center"/>
    </xf>
    <xf numFmtId="0" fontId="30" fillId="0" borderId="12" xfId="0" applyFont="1" applyBorder="1" applyAlignment="1">
      <alignment horizontal="left" vertical="center"/>
    </xf>
    <xf numFmtId="169" fontId="43" fillId="0" borderId="57" xfId="0" applyNumberFormat="1" applyFont="1" applyBorder="1" applyAlignment="1">
      <alignment horizontal="right" vertical="center" wrapText="1"/>
    </xf>
    <xf numFmtId="169" fontId="43" fillId="0" borderId="56" xfId="0" applyNumberFormat="1" applyFont="1" applyBorder="1" applyAlignment="1">
      <alignment horizontal="right" vertical="center" wrapText="1"/>
    </xf>
    <xf numFmtId="0" fontId="30" fillId="0" borderId="44" xfId="0" applyFont="1" applyBorder="1" applyAlignment="1">
      <alignment horizontal="left" vertical="center"/>
    </xf>
    <xf numFmtId="0" fontId="24" fillId="0" borderId="0" xfId="0" applyFont="1" applyAlignment="1" applyProtection="1">
      <alignment vertical="center" wrapText="1"/>
      <protection locked="0"/>
    </xf>
    <xf numFmtId="0" fontId="63" fillId="0" borderId="44" xfId="0" applyFont="1" applyBorder="1" applyAlignment="1">
      <alignment horizontal="left" vertical="center"/>
    </xf>
    <xf numFmtId="4" fontId="63" fillId="0" borderId="44" xfId="0" applyNumberFormat="1" applyFont="1" applyBorder="1" applyAlignment="1">
      <alignment horizontal="right" vertical="center" wrapText="1"/>
    </xf>
    <xf numFmtId="0" fontId="43" fillId="0" borderId="0" xfId="0" applyFont="1" applyAlignment="1">
      <alignment horizontal="center" vertical="center"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4" fontId="43" fillId="0" borderId="44" xfId="0" applyNumberFormat="1" applyFont="1" applyBorder="1" applyAlignment="1">
      <alignment horizontal="right" vertical="top" wrapText="1"/>
    </xf>
    <xf numFmtId="0" fontId="43" fillId="0" borderId="0" xfId="0" applyFont="1" applyAlignment="1">
      <alignment horizontal="center" vertical="center" wrapText="1"/>
    </xf>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30" fillId="0" borderId="0" xfId="0" applyNumberFormat="1" applyFont="1" applyAlignment="1">
      <alignment horizontal="right" vertical="center" wrapText="1"/>
    </xf>
    <xf numFmtId="0" fontId="30" fillId="0" borderId="12" xfId="0" applyFont="1" applyBorder="1" applyAlignment="1">
      <alignment horizontal="center" vertical="center" wrapText="1"/>
    </xf>
    <xf numFmtId="49" fontId="52" fillId="0" borderId="44" xfId="0" applyNumberFormat="1" applyFont="1" applyBorder="1" applyAlignment="1">
      <alignment horizontal="center" vertical="top" wrapText="1"/>
    </xf>
    <xf numFmtId="0" fontId="0" fillId="0" borderId="0" xfId="0"/>
    <xf numFmtId="0" fontId="43" fillId="0" borderId="0" xfId="0" applyFont="1" applyAlignment="1">
      <alignment horizontal="lef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 fontId="43" fillId="0" borderId="48" xfId="0" applyNumberFormat="1" applyFont="1" applyBorder="1" applyAlignment="1">
      <alignment horizontal="right" vertical="center" wrapText="1"/>
    </xf>
    <xf numFmtId="0" fontId="43" fillId="0" borderId="0" xfId="0" applyFont="1" applyAlignment="1">
      <alignment horizontal="center" vertical="center" wrapText="1"/>
    </xf>
    <xf numFmtId="0" fontId="29" fillId="0" borderId="0" xfId="0" applyFont="1" applyAlignment="1">
      <alignment horizontal="center" vertical="center" wrapText="1"/>
    </xf>
    <xf numFmtId="0" fontId="43" fillId="0" borderId="0" xfId="0" applyFont="1" applyAlignment="1">
      <alignment horizontal="left" vertical="top" wrapText="1"/>
    </xf>
    <xf numFmtId="0" fontId="43" fillId="0" borderId="0" xfId="0" applyFont="1" applyAlignment="1">
      <alignment horizontal="left"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9" fontId="43" fillId="0" borderId="0" xfId="0" applyNumberFormat="1" applyFont="1" applyAlignment="1">
      <alignment horizontal="left" vertical="center" wrapText="1"/>
    </xf>
    <xf numFmtId="0" fontId="29" fillId="0" borderId="0" xfId="0" applyFont="1" applyAlignment="1" applyProtection="1">
      <alignment horizontal="center" vertical="center" wrapText="1"/>
      <protection locked="0"/>
    </xf>
    <xf numFmtId="0" fontId="30" fillId="0" borderId="44" xfId="0" applyFont="1" applyBorder="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30" fillId="0" borderId="44" xfId="0" applyFont="1" applyBorder="1" applyAlignment="1">
      <alignment horizontal="center" vertical="top" wrapText="1"/>
    </xf>
    <xf numFmtId="4" fontId="30" fillId="0" borderId="0" xfId="0" applyNumberFormat="1" applyFont="1" applyAlignment="1">
      <alignment horizontal="right" vertical="center" wrapText="1"/>
    </xf>
    <xf numFmtId="49" fontId="43" fillId="0" borderId="12" xfId="0" applyNumberFormat="1" applyFont="1" applyBorder="1" applyAlignment="1">
      <alignment horizontal="center" vertical="center" wrapText="1"/>
    </xf>
    <xf numFmtId="10" fontId="24" fillId="0" borderId="7" xfId="0" applyNumberFormat="1" applyFont="1" applyBorder="1" applyAlignment="1">
      <alignment horizontal="center" vertical="center"/>
    </xf>
    <xf numFmtId="0" fontId="30" fillId="0" borderId="44" xfId="0" applyFont="1" applyBorder="1" applyAlignment="1">
      <alignment horizontal="center" vertical="center" wrapText="1"/>
    </xf>
    <xf numFmtId="0" fontId="52" fillId="0" borderId="12" xfId="0" applyFont="1" applyBorder="1" applyAlignment="1">
      <alignment horizontal="center" vertical="top" wrapText="1"/>
    </xf>
    <xf numFmtId="0" fontId="52" fillId="0" borderId="12" xfId="0" applyFont="1" applyBorder="1" applyAlignment="1">
      <alignment horizontal="justify" vertical="top" wrapText="1"/>
    </xf>
    <xf numFmtId="169" fontId="52" fillId="0" borderId="12" xfId="0" applyNumberFormat="1" applyFont="1" applyBorder="1" applyAlignment="1">
      <alignment horizontal="right" vertical="top" wrapText="1"/>
    </xf>
    <xf numFmtId="4" fontId="52" fillId="0" borderId="12" xfId="0" applyNumberFormat="1" applyFont="1" applyBorder="1" applyAlignment="1">
      <alignment horizontal="right" vertical="top" wrapText="1"/>
    </xf>
    <xf numFmtId="4" fontId="63" fillId="0" borderId="12" xfId="0" applyNumberFormat="1" applyFont="1" applyBorder="1" applyAlignment="1">
      <alignment horizontal="right" vertical="top" wrapText="1"/>
    </xf>
    <xf numFmtId="172" fontId="29" fillId="3" borderId="0" xfId="0" applyNumberFormat="1" applyFont="1" applyFill="1" applyAlignment="1">
      <alignment horizontal="center"/>
    </xf>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center" wrapText="1"/>
    </xf>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43" fillId="0" borderId="0" xfId="0" applyFont="1" applyAlignment="1">
      <alignment horizontal="center" vertical="center" wrapText="1"/>
    </xf>
    <xf numFmtId="0" fontId="30" fillId="0" borderId="44" xfId="0" applyFont="1" applyBorder="1" applyAlignment="1">
      <alignment horizontal="center" vertical="center" wrapText="1"/>
    </xf>
    <xf numFmtId="0" fontId="26" fillId="14" borderId="12" xfId="0" applyFont="1" applyFill="1" applyBorder="1" applyAlignment="1">
      <alignment horizontal="center" vertical="center"/>
    </xf>
    <xf numFmtId="0" fontId="30" fillId="14" borderId="44" xfId="0" applyFont="1" applyFill="1" applyBorder="1" applyAlignment="1">
      <alignment horizontal="left" vertical="center"/>
    </xf>
    <xf numFmtId="0" fontId="30" fillId="14" borderId="44" xfId="0" applyFont="1" applyFill="1" applyBorder="1" applyAlignment="1">
      <alignment horizontal="center" vertical="center" wrapText="1"/>
    </xf>
    <xf numFmtId="0" fontId="29" fillId="14" borderId="0" xfId="0" applyFont="1" applyFill="1"/>
    <xf numFmtId="0" fontId="30" fillId="0" borderId="44" xfId="0" applyFont="1" applyBorder="1" applyAlignment="1">
      <alignment horizontal="left" vertical="top"/>
    </xf>
    <xf numFmtId="0" fontId="48" fillId="12" borderId="0" xfId="0" applyFont="1" applyFill="1" applyAlignment="1">
      <alignment horizontal="center" vertical="center" wrapText="1"/>
    </xf>
    <xf numFmtId="0" fontId="48" fillId="12" borderId="0" xfId="0" applyFont="1" applyFill="1" applyAlignment="1">
      <alignment horizontal="left" vertical="center" wrapText="1"/>
    </xf>
    <xf numFmtId="4" fontId="48" fillId="12" borderId="0" xfId="0" applyNumberFormat="1" applyFont="1" applyFill="1" applyAlignment="1">
      <alignment horizontal="right" vertical="center" wrapText="1"/>
    </xf>
    <xf numFmtId="0" fontId="48" fillId="13" borderId="0" xfId="0" applyFont="1" applyFill="1" applyAlignment="1">
      <alignment horizontal="center" vertical="center" wrapText="1"/>
    </xf>
    <xf numFmtId="0" fontId="48" fillId="13" borderId="0" xfId="0" applyFont="1" applyFill="1" applyAlignment="1">
      <alignment horizontal="left" vertical="center" wrapText="1"/>
    </xf>
    <xf numFmtId="4" fontId="48" fillId="13" borderId="0" xfId="0" applyNumberFormat="1" applyFont="1" applyFill="1" applyAlignment="1">
      <alignment horizontal="right" vertical="center" wrapText="1"/>
    </xf>
    <xf numFmtId="0" fontId="0" fillId="0" borderId="0" xfId="0"/>
    <xf numFmtId="0" fontId="48" fillId="0" borderId="44" xfId="0" applyNumberFormat="1" applyFont="1" applyBorder="1" applyAlignment="1">
      <alignment horizontal="center" vertical="center"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0" fillId="0" borderId="0" xfId="0"/>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43" fillId="0" borderId="0" xfId="0" applyFont="1" applyAlignment="1">
      <alignment horizontal="center" vertical="center" wrapText="1"/>
    </xf>
    <xf numFmtId="0" fontId="43" fillId="0" borderId="0" xfId="0" applyFont="1" applyAlignment="1">
      <alignment horizontal="left" vertical="center" wrapText="1"/>
    </xf>
    <xf numFmtId="0" fontId="30" fillId="0" borderId="44" xfId="0" applyFont="1" applyBorder="1" applyAlignment="1">
      <alignment horizontal="center" vertical="center" wrapText="1"/>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49" fontId="52" fillId="0" borderId="12" xfId="0" applyNumberFormat="1" applyFont="1" applyBorder="1" applyAlignment="1">
      <alignment horizontal="center" vertical="top" wrapText="1"/>
    </xf>
    <xf numFmtId="0" fontId="24" fillId="0" borderId="0" xfId="0" applyFont="1" applyBorder="1" applyAlignment="1" applyProtection="1">
      <alignment wrapText="1"/>
      <protection locked="0"/>
    </xf>
    <xf numFmtId="4" fontId="43"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0" fontId="0" fillId="0" borderId="0" xfId="0"/>
    <xf numFmtId="0" fontId="0" fillId="0" borderId="0" xfId="0"/>
    <xf numFmtId="0" fontId="48" fillId="0" borderId="44" xfId="0" applyFont="1" applyFill="1" applyBorder="1" applyAlignment="1">
      <alignment horizontal="left" vertical="center" wrapText="1"/>
    </xf>
    <xf numFmtId="0" fontId="48" fillId="0" borderId="44" xfId="0" applyFont="1" applyFill="1" applyBorder="1" applyAlignment="1">
      <alignment horizontal="center" vertical="center" wrapText="1"/>
    </xf>
    <xf numFmtId="0" fontId="48" fillId="0" borderId="44" xfId="0" applyFont="1" applyFill="1" applyBorder="1" applyAlignment="1">
      <alignment horizontal="justify" vertical="center" wrapText="1"/>
    </xf>
    <xf numFmtId="4" fontId="48" fillId="0" borderId="44" xfId="0" applyNumberFormat="1" applyFont="1" applyFill="1" applyBorder="1" applyAlignment="1">
      <alignment horizontal="right" vertical="center" wrapText="1"/>
    </xf>
    <xf numFmtId="10" fontId="48" fillId="0" borderId="44" xfId="2" applyNumberFormat="1" applyFont="1" applyFill="1" applyBorder="1" applyAlignment="1">
      <alignment horizontal="right" vertical="center" wrapText="1"/>
    </xf>
    <xf numFmtId="0" fontId="29" fillId="0" borderId="0" xfId="0" applyFont="1" applyFill="1"/>
    <xf numFmtId="0" fontId="43" fillId="0" borderId="0" xfId="0" applyFont="1" applyAlignment="1">
      <alignment horizontal="center" vertical="center" wrapText="1"/>
    </xf>
    <xf numFmtId="0" fontId="30" fillId="0" borderId="44" xfId="0" applyFont="1" applyBorder="1" applyAlignment="1">
      <alignment horizontal="center" vertical="center" wrapText="1"/>
    </xf>
    <xf numFmtId="0" fontId="48" fillId="0" borderId="0" xfId="0" applyFont="1" applyFill="1" applyAlignment="1">
      <alignment horizontal="center" vertical="center" wrapText="1"/>
    </xf>
    <xf numFmtId="0" fontId="48" fillId="0" borderId="0" xfId="0" applyFont="1" applyFill="1" applyAlignment="1">
      <alignment horizontal="left" vertical="center" wrapText="1"/>
    </xf>
    <xf numFmtId="4" fontId="48" fillId="0" borderId="0" xfId="0" applyNumberFormat="1" applyFont="1" applyFill="1" applyAlignment="1">
      <alignment horizontal="right" vertical="center" wrapText="1"/>
    </xf>
    <xf numFmtId="4" fontId="24" fillId="0" borderId="0" xfId="0" applyNumberFormat="1" applyFont="1" applyFill="1" applyAlignment="1" applyProtection="1">
      <alignment wrapText="1"/>
      <protection locked="0"/>
    </xf>
    <xf numFmtId="0" fontId="24" fillId="0" borderId="0" xfId="0" applyFont="1" applyFill="1" applyAlignment="1" applyProtection="1">
      <alignment wrapText="1"/>
      <protection locked="0"/>
    </xf>
    <xf numFmtId="0" fontId="30" fillId="0" borderId="0" xfId="0" applyFont="1" applyAlignment="1">
      <alignment horizontal="right" vertical="center" wrapText="1"/>
    </xf>
    <xf numFmtId="4" fontId="30"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30" fillId="0" borderId="44" xfId="0" applyFont="1" applyBorder="1" applyAlignment="1">
      <alignment horizontal="center"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4" fontId="48" fillId="12" borderId="0" xfId="0" applyNumberFormat="1" applyFont="1" applyFill="1" applyAlignment="1">
      <alignment horizontal="center"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48" fillId="0" borderId="0" xfId="0" applyFont="1" applyAlignment="1">
      <alignment horizontal="center" vertical="center"/>
    </xf>
    <xf numFmtId="4" fontId="34" fillId="0" borderId="0" xfId="0" applyNumberFormat="1" applyFont="1" applyAlignment="1">
      <alignment horizontal="center" vertical="center"/>
    </xf>
    <xf numFmtId="174" fontId="34" fillId="0" borderId="0" xfId="0" applyNumberFormat="1" applyFont="1" applyAlignment="1">
      <alignment horizontal="center" vertical="center"/>
    </xf>
    <xf numFmtId="0" fontId="43" fillId="0" borderId="0" xfId="0" applyFont="1" applyAlignment="1">
      <alignment horizontal="lef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0" fillId="0" borderId="0" xfId="0"/>
    <xf numFmtId="0" fontId="43" fillId="0" borderId="0" xfId="0" applyFont="1" applyAlignment="1">
      <alignment horizontal="left" vertical="top"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4" fontId="30" fillId="0" borderId="0" xfId="0" applyNumberFormat="1" applyFont="1" applyAlignment="1">
      <alignment horizontal="right" vertical="center" wrapText="1"/>
    </xf>
    <xf numFmtId="0" fontId="30" fillId="0" borderId="0" xfId="0" applyFont="1" applyAlignment="1">
      <alignment horizontal="right" vertical="center" wrapText="1"/>
    </xf>
    <xf numFmtId="0" fontId="30" fillId="0" borderId="44" xfId="0" applyFont="1" applyBorder="1" applyAlignment="1">
      <alignment horizontal="center" vertical="center" wrapText="1"/>
    </xf>
    <xf numFmtId="0" fontId="0" fillId="0" borderId="0" xfId="0"/>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30" fillId="0" borderId="0" xfId="0" applyNumberFormat="1" applyFont="1" applyAlignment="1">
      <alignment horizontal="right" vertical="center" wrapText="1"/>
    </xf>
    <xf numFmtId="0" fontId="43" fillId="0" borderId="0" xfId="0" applyFont="1" applyAlignment="1">
      <alignment horizontal="center" vertical="center" wrapText="1"/>
    </xf>
    <xf numFmtId="0" fontId="43" fillId="0" borderId="0" xfId="0" applyFont="1" applyAlignment="1">
      <alignment horizontal="left" vertical="top" wrapText="1"/>
    </xf>
    <xf numFmtId="0" fontId="52" fillId="0" borderId="0" xfId="0" applyFont="1" applyAlignment="1">
      <alignment horizontal="center" vertical="center"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0" fontId="30" fillId="0" borderId="44" xfId="0" applyFont="1" applyBorder="1" applyAlignment="1">
      <alignment horizontal="center" vertical="center" wrapText="1"/>
    </xf>
    <xf numFmtId="0" fontId="0" fillId="0" borderId="0" xfId="0"/>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4" fontId="43"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0" fontId="0" fillId="0" borderId="0" xfId="0"/>
    <xf numFmtId="0" fontId="14" fillId="0" borderId="20" xfId="0" applyFont="1" applyBorder="1" applyAlignment="1">
      <alignment horizontal="left" vertical="center" wrapText="1"/>
    </xf>
    <xf numFmtId="0" fontId="14" fillId="0" borderId="22" xfId="0" applyFont="1" applyBorder="1" applyAlignment="1">
      <alignment horizontal="left" vertical="center"/>
    </xf>
    <xf numFmtId="0" fontId="14" fillId="0" borderId="62" xfId="0" applyFont="1" applyBorder="1" applyAlignment="1">
      <alignment horizontal="left" vertical="center" wrapText="1"/>
    </xf>
    <xf numFmtId="0" fontId="14" fillId="0" borderId="63" xfId="0" applyFont="1" applyBorder="1" applyAlignment="1">
      <alignment horizontal="left" vertical="center"/>
    </xf>
    <xf numFmtId="168" fontId="14" fillId="0" borderId="20" xfId="0" applyNumberFormat="1" applyFont="1" applyBorder="1" applyAlignment="1">
      <alignment horizontal="left" vertical="center"/>
    </xf>
    <xf numFmtId="168" fontId="14" fillId="0" borderId="22" xfId="0" applyNumberFormat="1" applyFont="1" applyBorder="1" applyAlignment="1">
      <alignment horizontal="left" vertical="center"/>
    </xf>
    <xf numFmtId="14" fontId="14" fillId="0" borderId="40" xfId="0" applyNumberFormat="1" applyFont="1" applyBorder="1" applyAlignment="1">
      <alignment horizontal="left" vertical="center"/>
    </xf>
    <xf numFmtId="14" fontId="14" fillId="0" borderId="23" xfId="0" applyNumberFormat="1" applyFont="1" applyBorder="1" applyAlignment="1">
      <alignment horizontal="left" vertical="center"/>
    </xf>
    <xf numFmtId="0" fontId="0" fillId="0" borderId="22" xfId="0" applyBorder="1" applyAlignment="1">
      <alignment vertical="center"/>
    </xf>
    <xf numFmtId="17" fontId="14" fillId="0" borderId="20" xfId="0" applyNumberFormat="1" applyFont="1" applyBorder="1" applyAlignment="1">
      <alignment horizontal="left" vertical="center"/>
    </xf>
    <xf numFmtId="17" fontId="14" fillId="0" borderId="22" xfId="0" applyNumberFormat="1" applyFont="1" applyBorder="1" applyAlignment="1">
      <alignment horizontal="left" vertical="center"/>
    </xf>
    <xf numFmtId="49" fontId="14" fillId="0" borderId="20" xfId="0" applyNumberFormat="1" applyFont="1" applyBorder="1" applyAlignment="1">
      <alignment horizontal="left" vertical="center"/>
    </xf>
    <xf numFmtId="49" fontId="14" fillId="0" borderId="22" xfId="0" applyNumberFormat="1" applyFont="1" applyBorder="1" applyAlignment="1">
      <alignment horizontal="left" vertical="center"/>
    </xf>
    <xf numFmtId="49" fontId="14" fillId="0" borderId="20" xfId="0" applyNumberFormat="1" applyFont="1" applyBorder="1" applyAlignment="1">
      <alignment horizontal="left" vertical="center" wrapText="1"/>
    </xf>
    <xf numFmtId="49" fontId="14" fillId="0" borderId="22" xfId="0" applyNumberFormat="1" applyFont="1" applyBorder="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7" fillId="0" borderId="4" xfId="3" applyFont="1" applyBorder="1" applyAlignment="1">
      <alignment horizontal="center"/>
    </xf>
    <xf numFmtId="0" fontId="7" fillId="0" borderId="0" xfId="3" applyFont="1" applyAlignment="1">
      <alignment horizontal="center"/>
    </xf>
    <xf numFmtId="0" fontId="7" fillId="0" borderId="5" xfId="3" applyFont="1" applyBorder="1" applyAlignment="1">
      <alignment horizontal="center"/>
    </xf>
    <xf numFmtId="0" fontId="7" fillId="0" borderId="4" xfId="3" applyFont="1" applyBorder="1" applyAlignment="1">
      <alignment horizontal="center" wrapText="1"/>
    </xf>
    <xf numFmtId="0" fontId="7" fillId="0" borderId="0" xfId="3" applyFont="1" applyAlignment="1">
      <alignment horizontal="center" wrapText="1"/>
    </xf>
    <xf numFmtId="0" fontId="7" fillId="0" borderId="5" xfId="3" applyFont="1" applyBorder="1" applyAlignment="1">
      <alignment horizontal="center" wrapText="1"/>
    </xf>
    <xf numFmtId="0" fontId="9" fillId="0" borderId="4" xfId="0" applyFont="1" applyBorder="1" applyAlignment="1">
      <alignment horizontal="center"/>
    </xf>
    <xf numFmtId="0" fontId="8" fillId="0" borderId="0" xfId="0" applyFont="1" applyAlignment="1">
      <alignment horizontal="center"/>
    </xf>
    <xf numFmtId="0" fontId="8" fillId="0" borderId="5" xfId="0" applyFont="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49" fontId="14" fillId="0" borderId="18" xfId="0" applyNumberFormat="1" applyFont="1" applyBorder="1" applyAlignment="1">
      <alignment horizontal="left" vertical="center"/>
    </xf>
    <xf numFmtId="49" fontId="14" fillId="0" borderId="42" xfId="0" applyNumberFormat="1" applyFont="1" applyBorder="1" applyAlignment="1">
      <alignment horizontal="left" vertical="center"/>
    </xf>
    <xf numFmtId="0" fontId="0" fillId="0" borderId="22" xfId="0" applyBorder="1"/>
    <xf numFmtId="10" fontId="14" fillId="0" borderId="7" xfId="0" applyNumberFormat="1" applyFont="1" applyBorder="1" applyAlignment="1">
      <alignment horizontal="left" vertical="center" wrapText="1"/>
    </xf>
    <xf numFmtId="0" fontId="14" fillId="0" borderId="8" xfId="0" applyFont="1" applyBorder="1" applyAlignment="1">
      <alignment horizontal="left" vertical="center" wrapText="1"/>
    </xf>
    <xf numFmtId="0" fontId="14" fillId="0" borderId="20" xfId="0" applyFont="1" applyBorder="1" applyAlignment="1">
      <alignment horizontal="justify" vertical="top" wrapText="1"/>
    </xf>
    <xf numFmtId="0" fontId="14" fillId="0" borderId="22" xfId="0" applyFont="1" applyBorder="1" applyAlignment="1">
      <alignment horizontal="justify" vertical="top" wrapText="1"/>
    </xf>
    <xf numFmtId="0" fontId="13" fillId="0" borderId="6" xfId="0" applyFont="1" applyBorder="1" applyAlignment="1">
      <alignment horizontal="left" vertical="center"/>
    </xf>
    <xf numFmtId="0" fontId="24" fillId="0" borderId="7" xfId="0" applyFont="1" applyBorder="1"/>
    <xf numFmtId="0" fontId="14" fillId="0" borderId="10" xfId="0" applyFont="1" applyBorder="1" applyAlignment="1">
      <alignment horizontal="justify" vertical="center" wrapText="1"/>
    </xf>
    <xf numFmtId="0" fontId="14" fillId="0" borderId="11" xfId="0" applyFont="1" applyBorder="1" applyAlignment="1">
      <alignment horizontal="justify" vertical="center" wrapText="1"/>
    </xf>
    <xf numFmtId="0" fontId="18" fillId="0" borderId="1" xfId="0" applyFont="1" applyBorder="1" applyAlignment="1">
      <alignment horizontal="left" vertical="center"/>
    </xf>
    <xf numFmtId="0" fontId="18" fillId="0" borderId="2" xfId="0" applyFont="1" applyBorder="1" applyAlignment="1">
      <alignment horizontal="left" vertical="center"/>
    </xf>
    <xf numFmtId="0" fontId="18" fillId="0" borderId="3" xfId="0" applyFont="1" applyBorder="1" applyAlignment="1">
      <alignment horizontal="left" vertical="center"/>
    </xf>
    <xf numFmtId="0" fontId="14" fillId="0" borderId="4" xfId="0" applyFont="1" applyBorder="1" applyAlignment="1">
      <alignment horizontal="left" vertical="center"/>
    </xf>
    <xf numFmtId="0" fontId="0" fillId="0" borderId="0" xfId="0"/>
    <xf numFmtId="0" fontId="14" fillId="0" borderId="0" xfId="0" applyFont="1" applyAlignment="1">
      <alignment horizontal="center" vertical="center" wrapText="1"/>
    </xf>
    <xf numFmtId="0" fontId="33" fillId="4" borderId="12" xfId="5" applyFont="1" applyFill="1" applyBorder="1" applyAlignment="1">
      <alignment horizontal="center" vertical="center" wrapText="1"/>
    </xf>
    <xf numFmtId="0" fontId="21" fillId="0" borderId="12" xfId="5" applyFont="1" applyBorder="1" applyAlignment="1">
      <alignment horizontal="left" vertical="center" wrapText="1"/>
    </xf>
    <xf numFmtId="0" fontId="42" fillId="0" borderId="47" xfId="5" applyFont="1" applyBorder="1" applyAlignment="1">
      <alignment horizontal="left" vertical="top" wrapText="1"/>
    </xf>
    <xf numFmtId="0" fontId="25" fillId="0" borderId="47" xfId="5" applyFont="1" applyBorder="1" applyAlignment="1">
      <alignment horizontal="left" vertical="top" wrapText="1"/>
    </xf>
    <xf numFmtId="0" fontId="43" fillId="0" borderId="0" xfId="0" applyFont="1" applyAlignment="1">
      <alignment horizontal="center" vertical="center" wrapText="1"/>
    </xf>
    <xf numFmtId="0" fontId="0" fillId="0" borderId="0" xfId="0" applyAlignment="1">
      <alignment horizontal="left" vertical="top" wrapText="1"/>
    </xf>
    <xf numFmtId="0" fontId="2" fillId="0" borderId="0" xfId="0" applyFont="1" applyAlignment="1">
      <alignment horizontal="center" vertical="top"/>
    </xf>
    <xf numFmtId="0" fontId="47" fillId="0" borderId="44" xfId="0" applyFont="1" applyBorder="1" applyAlignment="1">
      <alignment horizontal="right" vertical="center" wrapText="1"/>
    </xf>
    <xf numFmtId="0" fontId="51" fillId="0" borderId="0" xfId="0" applyFont="1" applyAlignment="1">
      <alignment horizontal="center" vertical="center" wrapText="1"/>
    </xf>
    <xf numFmtId="0" fontId="29" fillId="3" borderId="7" xfId="0" applyFont="1" applyFill="1" applyBorder="1" applyAlignment="1">
      <alignment horizontal="center" vertical="center"/>
    </xf>
    <xf numFmtId="0" fontId="29" fillId="0" borderId="4" xfId="0" applyFont="1" applyBorder="1" applyAlignment="1">
      <alignment horizontal="center" vertical="center" wrapText="1"/>
    </xf>
    <xf numFmtId="0" fontId="29" fillId="0" borderId="0" xfId="0" applyFont="1" applyAlignment="1">
      <alignment horizontal="center" vertical="center" wrapText="1"/>
    </xf>
    <xf numFmtId="0" fontId="29" fillId="3" borderId="0" xfId="0" applyFont="1" applyFill="1" applyAlignment="1">
      <alignment horizontal="center" vertical="center"/>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29" fillId="3" borderId="4" xfId="0" applyFont="1" applyFill="1" applyBorder="1" applyAlignment="1">
      <alignment horizontal="center" vertical="center"/>
    </xf>
    <xf numFmtId="0" fontId="34" fillId="0" borderId="1" xfId="0" applyFont="1" applyBorder="1" applyAlignment="1">
      <alignment horizontal="left" vertical="top" wrapText="1"/>
    </xf>
    <xf numFmtId="0" fontId="34" fillId="0" borderId="3" xfId="0" applyFont="1" applyBorder="1" applyAlignment="1">
      <alignment horizontal="left" vertical="top" wrapText="1"/>
    </xf>
    <xf numFmtId="0" fontId="34" fillId="0" borderId="4" xfId="0" applyFont="1" applyBorder="1" applyAlignment="1">
      <alignment horizontal="left" vertical="top" wrapText="1"/>
    </xf>
    <xf numFmtId="0" fontId="34" fillId="0" borderId="5" xfId="0" applyFont="1" applyBorder="1" applyAlignment="1">
      <alignment horizontal="left" vertical="top" wrapText="1"/>
    </xf>
    <xf numFmtId="0" fontId="34" fillId="0" borderId="6" xfId="0" applyFont="1" applyBorder="1" applyAlignment="1">
      <alignment horizontal="left" vertical="top" wrapText="1"/>
    </xf>
    <xf numFmtId="0" fontId="34" fillId="0" borderId="8" xfId="0" applyFont="1" applyBorder="1" applyAlignment="1">
      <alignment horizontal="left" vertical="top" wrapText="1"/>
    </xf>
    <xf numFmtId="0" fontId="28" fillId="3" borderId="47" xfId="0" applyFont="1" applyFill="1" applyBorder="1" applyAlignment="1">
      <alignment horizontal="center" vertical="top"/>
    </xf>
    <xf numFmtId="0" fontId="28" fillId="3" borderId="17" xfId="0" applyFont="1" applyFill="1" applyBorder="1" applyAlignment="1">
      <alignment horizontal="center" vertical="top"/>
    </xf>
    <xf numFmtId="0" fontId="28" fillId="3" borderId="53" xfId="0" applyFont="1" applyFill="1" applyBorder="1" applyAlignment="1">
      <alignment horizontal="center" vertical="top"/>
    </xf>
    <xf numFmtId="0" fontId="62" fillId="3" borderId="2" xfId="0" applyFont="1" applyFill="1" applyBorder="1" applyAlignment="1">
      <alignment horizontal="center" vertical="center" wrapText="1"/>
    </xf>
    <xf numFmtId="0" fontId="62" fillId="3" borderId="0" xfId="0" applyFont="1" applyFill="1" applyAlignment="1">
      <alignment horizontal="center" vertical="center" wrapText="1"/>
    </xf>
    <xf numFmtId="0" fontId="62" fillId="3" borderId="6" xfId="0" applyFont="1" applyFill="1" applyBorder="1" applyAlignment="1">
      <alignment horizontal="center" vertical="center"/>
    </xf>
    <xf numFmtId="0" fontId="62" fillId="3" borderId="7" xfId="0" applyFont="1" applyFill="1" applyBorder="1" applyAlignment="1">
      <alignment horizontal="center" vertical="center"/>
    </xf>
    <xf numFmtId="0" fontId="62" fillId="3" borderId="0" xfId="0" applyFont="1" applyFill="1" applyAlignment="1">
      <alignment horizontal="center" vertical="center"/>
    </xf>
    <xf numFmtId="0" fontId="26" fillId="3" borderId="47" xfId="0" applyFont="1" applyFill="1" applyBorder="1" applyAlignment="1">
      <alignment horizontal="center" vertical="top"/>
    </xf>
    <xf numFmtId="0" fontId="26" fillId="3" borderId="17" xfId="0" applyFont="1" applyFill="1" applyBorder="1" applyAlignment="1">
      <alignment horizontal="center" vertical="top"/>
    </xf>
    <xf numFmtId="0" fontId="26" fillId="3" borderId="53" xfId="0" applyFont="1" applyFill="1" applyBorder="1" applyAlignment="1">
      <alignment horizontal="center" vertical="top"/>
    </xf>
    <xf numFmtId="0" fontId="34" fillId="3" borderId="1" xfId="0" applyFont="1" applyFill="1" applyBorder="1" applyAlignment="1">
      <alignment horizontal="left" vertical="top"/>
    </xf>
    <xf numFmtId="0" fontId="34" fillId="3" borderId="3" xfId="0" applyFont="1" applyFill="1" applyBorder="1" applyAlignment="1">
      <alignment horizontal="left" vertical="top"/>
    </xf>
    <xf numFmtId="0" fontId="34" fillId="3" borderId="4" xfId="0" applyFont="1" applyFill="1" applyBorder="1" applyAlignment="1">
      <alignment horizontal="left" vertical="top"/>
    </xf>
    <xf numFmtId="0" fontId="34" fillId="3" borderId="5" xfId="0" applyFont="1" applyFill="1" applyBorder="1" applyAlignment="1">
      <alignment horizontal="left" vertical="top"/>
    </xf>
    <xf numFmtId="0" fontId="34" fillId="3" borderId="6" xfId="0" applyFont="1" applyFill="1" applyBorder="1" applyAlignment="1">
      <alignment horizontal="left" vertical="top"/>
    </xf>
    <xf numFmtId="0" fontId="34" fillId="3" borderId="8" xfId="0" applyFont="1" applyFill="1" applyBorder="1" applyAlignment="1">
      <alignment horizontal="left" vertical="top"/>
    </xf>
    <xf numFmtId="0" fontId="28" fillId="5" borderId="1" xfId="0" applyFont="1" applyFill="1" applyBorder="1" applyAlignment="1">
      <alignment horizontal="center" vertical="center"/>
    </xf>
    <xf numFmtId="0" fontId="28" fillId="5" borderId="2" xfId="0" applyFont="1" applyFill="1" applyBorder="1" applyAlignment="1">
      <alignment horizontal="center" vertical="center"/>
    </xf>
    <xf numFmtId="0" fontId="30" fillId="7" borderId="44" xfId="0" applyFont="1" applyFill="1" applyBorder="1" applyAlignment="1">
      <alignment horizontal="left" vertical="center" wrapText="1"/>
    </xf>
    <xf numFmtId="0" fontId="30" fillId="0" borderId="44" xfId="0" applyFont="1" applyBorder="1" applyAlignment="1">
      <alignment horizontal="right" vertical="top" wrapText="1"/>
    </xf>
    <xf numFmtId="0" fontId="30" fillId="0" borderId="44" xfId="0" applyFont="1" applyBorder="1" applyAlignment="1">
      <alignment horizontal="right" vertical="center" wrapText="1"/>
    </xf>
    <xf numFmtId="0" fontId="30" fillId="0" borderId="45" xfId="0" applyFont="1" applyBorder="1" applyAlignment="1">
      <alignment horizontal="left" vertical="center" wrapText="1"/>
    </xf>
    <xf numFmtId="0" fontId="30" fillId="0" borderId="54" xfId="0" applyFont="1" applyBorder="1" applyAlignment="1">
      <alignment horizontal="left" vertical="center" wrapText="1"/>
    </xf>
    <xf numFmtId="0" fontId="30" fillId="0" borderId="48" xfId="0" applyFont="1" applyBorder="1" applyAlignment="1">
      <alignment horizontal="left" vertical="center" wrapText="1"/>
    </xf>
    <xf numFmtId="0" fontId="43" fillId="0" borderId="0" xfId="0" applyFont="1" applyAlignment="1">
      <alignment horizontal="left" vertical="top" wrapText="1"/>
    </xf>
    <xf numFmtId="0" fontId="52" fillId="0" borderId="0" xfId="0" applyFont="1" applyAlignment="1">
      <alignment horizontal="left" vertical="top" wrapText="1"/>
    </xf>
    <xf numFmtId="0" fontId="30" fillId="0" borderId="45" xfId="0" applyFont="1" applyBorder="1" applyAlignment="1">
      <alignment horizontal="right" vertical="top" wrapText="1"/>
    </xf>
    <xf numFmtId="0" fontId="30" fillId="0" borderId="48" xfId="0" applyFont="1" applyBorder="1" applyAlignment="1">
      <alignment horizontal="right" vertical="top" wrapText="1"/>
    </xf>
    <xf numFmtId="0" fontId="30" fillId="0" borderId="60" xfId="0" applyFont="1" applyBorder="1" applyAlignment="1">
      <alignment horizontal="left" vertical="center" wrapText="1"/>
    </xf>
    <xf numFmtId="0" fontId="43" fillId="0" borderId="54" xfId="0" applyFont="1" applyBorder="1" applyAlignment="1">
      <alignment horizontal="left" vertical="top" wrapText="1"/>
    </xf>
    <xf numFmtId="0" fontId="43" fillId="0" borderId="52" xfId="0" applyFont="1" applyBorder="1" applyAlignment="1">
      <alignment horizontal="left" vertical="top" wrapText="1"/>
    </xf>
    <xf numFmtId="0" fontId="30" fillId="7" borderId="45" xfId="0" applyFont="1" applyFill="1" applyBorder="1" applyAlignment="1">
      <alignment horizontal="left" vertical="center" wrapText="1"/>
    </xf>
    <xf numFmtId="0" fontId="30" fillId="7" borderId="48" xfId="0" applyFont="1" applyFill="1" applyBorder="1" applyAlignment="1">
      <alignment horizontal="left" vertical="center" wrapText="1"/>
    </xf>
    <xf numFmtId="0" fontId="30" fillId="0" borderId="45" xfId="0" applyFont="1" applyBorder="1" applyAlignment="1">
      <alignment horizontal="right" vertical="center" wrapText="1"/>
    </xf>
    <xf numFmtId="0" fontId="30" fillId="0" borderId="48" xfId="0" applyFont="1" applyBorder="1" applyAlignment="1">
      <alignment horizontal="right" vertical="center" wrapText="1"/>
    </xf>
    <xf numFmtId="0" fontId="30" fillId="0" borderId="12" xfId="0" applyFont="1" applyBorder="1" applyAlignment="1">
      <alignment horizontal="right" vertical="center" wrapText="1"/>
    </xf>
    <xf numFmtId="0" fontId="43" fillId="0" borderId="0" xfId="0" applyFont="1" applyAlignment="1">
      <alignment horizontal="left" vertical="center" wrapText="1"/>
    </xf>
    <xf numFmtId="0" fontId="30" fillId="0" borderId="49" xfId="0" applyFont="1" applyBorder="1" applyAlignment="1">
      <alignment horizontal="right" vertical="center" wrapText="1"/>
    </xf>
    <xf numFmtId="0" fontId="30" fillId="7" borderId="49" xfId="0" applyFont="1" applyFill="1" applyBorder="1" applyAlignment="1">
      <alignment horizontal="left" vertical="center" wrapText="1"/>
    </xf>
    <xf numFmtId="0" fontId="30" fillId="0" borderId="12" xfId="0" applyFont="1" applyBorder="1" applyAlignment="1">
      <alignment horizontal="right" vertical="top" wrapText="1"/>
    </xf>
    <xf numFmtId="0" fontId="26" fillId="4" borderId="0" xfId="0" applyFont="1" applyFill="1" applyAlignment="1">
      <alignment horizontal="center" vertical="center"/>
    </xf>
    <xf numFmtId="0" fontId="63" fillId="7" borderId="49" xfId="0" applyFont="1" applyFill="1" applyBorder="1" applyAlignment="1">
      <alignment horizontal="left" vertical="center" wrapText="1"/>
    </xf>
    <xf numFmtId="0" fontId="30" fillId="7" borderId="56" xfId="0" applyFont="1" applyFill="1" applyBorder="1" applyAlignment="1">
      <alignment horizontal="left" vertical="center" wrapText="1"/>
    </xf>
    <xf numFmtId="0" fontId="63" fillId="0" borderId="12" xfId="0" applyFont="1" applyBorder="1" applyAlignment="1">
      <alignment horizontal="right" vertical="top" wrapText="1"/>
    </xf>
    <xf numFmtId="0" fontId="43" fillId="0" borderId="0" xfId="0" applyFont="1" applyAlignment="1">
      <alignment horizontal="center" wrapText="1"/>
    </xf>
    <xf numFmtId="0" fontId="30" fillId="0" borderId="53" xfId="0" applyFont="1" applyBorder="1" applyAlignment="1">
      <alignment horizontal="right" vertical="top" wrapText="1"/>
    </xf>
    <xf numFmtId="0" fontId="63" fillId="7" borderId="12" xfId="0" applyFont="1" applyFill="1" applyBorder="1" applyAlignment="1">
      <alignment horizontal="left" vertical="center" wrapText="1"/>
    </xf>
    <xf numFmtId="0" fontId="30" fillId="0" borderId="53" xfId="0" applyFont="1" applyBorder="1" applyAlignment="1">
      <alignment horizontal="right" vertical="center" wrapText="1"/>
    </xf>
    <xf numFmtId="0" fontId="30" fillId="7" borderId="51" xfId="0" applyFont="1" applyFill="1" applyBorder="1" applyAlignment="1">
      <alignment horizontal="left" vertical="center" wrapText="1"/>
    </xf>
    <xf numFmtId="0" fontId="30" fillId="7" borderId="61" xfId="0" applyFont="1" applyFill="1" applyBorder="1" applyAlignment="1">
      <alignment horizontal="left" vertical="center" wrapText="1"/>
    </xf>
    <xf numFmtId="0" fontId="61" fillId="0" borderId="0" xfId="0" applyFont="1" applyAlignment="1">
      <alignment horizontal="left" vertical="center" wrapText="1"/>
    </xf>
    <xf numFmtId="0" fontId="29" fillId="0" borderId="0" xfId="0" applyFont="1" applyAlignment="1" applyProtection="1">
      <alignment horizontal="center" vertical="center" wrapText="1"/>
      <protection locked="0"/>
    </xf>
    <xf numFmtId="0" fontId="43" fillId="0" borderId="54" xfId="0" applyFont="1" applyBorder="1" applyAlignment="1">
      <alignment horizontal="left" vertical="center" wrapText="1"/>
    </xf>
    <xf numFmtId="0" fontId="62" fillId="4" borderId="0" xfId="0" applyFont="1" applyFill="1" applyAlignment="1">
      <alignment horizontal="center" vertical="center"/>
    </xf>
    <xf numFmtId="0" fontId="48" fillId="0" borderId="0" xfId="0" applyFont="1" applyAlignment="1">
      <alignment horizontal="center" wrapText="1"/>
    </xf>
    <xf numFmtId="0" fontId="44" fillId="3" borderId="0" xfId="0" applyFont="1" applyFill="1" applyAlignment="1">
      <alignment horizontal="center" vertical="center" wrapText="1"/>
    </xf>
    <xf numFmtId="0" fontId="44" fillId="3" borderId="0" xfId="0" applyFont="1" applyFill="1" applyAlignment="1">
      <alignment horizontal="center" vertical="center"/>
    </xf>
    <xf numFmtId="0" fontId="59" fillId="0" borderId="0" xfId="0" applyFont="1" applyAlignment="1">
      <alignment horizontal="center" wrapText="1"/>
    </xf>
    <xf numFmtId="0" fontId="60" fillId="9" borderId="50" xfId="0" applyFont="1" applyFill="1" applyBorder="1" applyAlignment="1">
      <alignment horizontal="center" vertical="center" wrapText="1"/>
    </xf>
    <xf numFmtId="0" fontId="60" fillId="9" borderId="51" xfId="0" applyFont="1" applyFill="1" applyBorder="1" applyAlignment="1">
      <alignment horizontal="center" vertical="center" wrapText="1"/>
    </xf>
    <xf numFmtId="0" fontId="60" fillId="9" borderId="12" xfId="0" applyFont="1" applyFill="1" applyBorder="1" applyAlignment="1">
      <alignment horizontal="left" vertical="center" wrapText="1"/>
    </xf>
    <xf numFmtId="0" fontId="60" fillId="9" borderId="12" xfId="0" applyFont="1" applyFill="1" applyBorder="1" applyAlignment="1">
      <alignment horizontal="center" vertical="center" wrapText="1"/>
    </xf>
    <xf numFmtId="0" fontId="60" fillId="9" borderId="12" xfId="2" applyNumberFormat="1" applyFont="1" applyFill="1" applyBorder="1" applyAlignment="1">
      <alignment horizontal="center" vertical="center" wrapText="1"/>
    </xf>
    <xf numFmtId="0" fontId="60" fillId="9" borderId="49" xfId="0" applyFont="1" applyFill="1" applyBorder="1" applyAlignment="1">
      <alignment horizontal="center" vertical="center" wrapText="1"/>
    </xf>
    <xf numFmtId="0" fontId="60" fillId="9" borderId="57" xfId="0" applyFont="1" applyFill="1" applyBorder="1" applyAlignment="1">
      <alignment horizontal="center" vertical="center" wrapText="1"/>
    </xf>
    <xf numFmtId="0" fontId="58" fillId="5" borderId="45" xfId="0" applyFont="1" applyFill="1" applyBorder="1" applyAlignment="1">
      <alignment horizontal="center" vertical="center" wrapText="1"/>
    </xf>
    <xf numFmtId="0" fontId="58" fillId="5" borderId="48" xfId="0" applyFont="1" applyFill="1" applyBorder="1" applyAlignment="1">
      <alignment horizontal="center" vertical="center" wrapText="1"/>
    </xf>
    <xf numFmtId="0" fontId="60" fillId="9" borderId="56" xfId="0" applyFont="1" applyFill="1" applyBorder="1" applyAlignment="1">
      <alignment horizontal="center" vertical="center" wrapText="1"/>
    </xf>
    <xf numFmtId="0" fontId="60" fillId="9" borderId="49" xfId="0" applyFont="1" applyFill="1" applyBorder="1" applyAlignment="1">
      <alignment horizontal="left" vertical="center" wrapText="1"/>
    </xf>
    <xf numFmtId="0" fontId="60" fillId="9" borderId="57" xfId="0" applyFont="1" applyFill="1" applyBorder="1" applyAlignment="1">
      <alignment horizontal="left" vertical="center" wrapText="1"/>
    </xf>
    <xf numFmtId="0" fontId="52" fillId="0" borderId="0" xfId="0" applyFont="1" applyAlignment="1">
      <alignment horizontal="center" vertical="center" wrapText="1"/>
    </xf>
    <xf numFmtId="0" fontId="30" fillId="4" borderId="12" xfId="0" applyFont="1" applyFill="1" applyBorder="1" applyAlignment="1">
      <alignment horizontal="center" vertical="center" wrapText="1"/>
    </xf>
    <xf numFmtId="4" fontId="30" fillId="4" borderId="12" xfId="0" applyNumberFormat="1" applyFont="1" applyFill="1" applyBorder="1" applyAlignment="1">
      <alignment horizontal="center" vertical="center" wrapText="1"/>
    </xf>
    <xf numFmtId="0" fontId="30" fillId="4" borderId="44" xfId="0" applyFont="1" applyFill="1" applyBorder="1" applyAlignment="1">
      <alignment horizontal="center" vertical="center" wrapText="1"/>
    </xf>
    <xf numFmtId="0" fontId="30" fillId="4" borderId="49" xfId="0" applyFont="1" applyFill="1" applyBorder="1" applyAlignment="1">
      <alignment horizontal="center" vertical="center" wrapText="1"/>
    </xf>
    <xf numFmtId="0" fontId="30" fillId="4" borderId="57" xfId="0" applyFont="1" applyFill="1" applyBorder="1" applyAlignment="1">
      <alignment horizontal="center" vertical="center" wrapText="1"/>
    </xf>
    <xf numFmtId="0" fontId="52" fillId="0" borderId="0" xfId="0" applyFont="1" applyAlignment="1">
      <alignment horizontal="center" wrapText="1"/>
    </xf>
    <xf numFmtId="0" fontId="30" fillId="0" borderId="44" xfId="0" applyFont="1" applyBorder="1" applyAlignment="1">
      <alignment horizontal="center" vertical="top" wrapText="1"/>
    </xf>
    <xf numFmtId="0" fontId="30" fillId="0" borderId="44" xfId="0" applyFont="1" applyBorder="1" applyAlignment="1">
      <alignment horizontal="center" vertical="center" wrapText="1"/>
    </xf>
    <xf numFmtId="0" fontId="30" fillId="0" borderId="0" xfId="0" applyFont="1" applyAlignment="1">
      <alignment horizontal="right" vertical="center" wrapText="1"/>
    </xf>
    <xf numFmtId="170" fontId="43" fillId="0" borderId="44" xfId="0" applyNumberFormat="1" applyFont="1" applyBorder="1" applyAlignment="1">
      <alignment horizontal="right" vertical="top" wrapText="1"/>
    </xf>
    <xf numFmtId="4" fontId="43" fillId="0" borderId="44" xfId="0" applyNumberFormat="1" applyFont="1" applyBorder="1" applyAlignment="1">
      <alignment horizontal="right" vertical="top" wrapText="1"/>
    </xf>
    <xf numFmtId="4" fontId="30" fillId="0" borderId="44" xfId="0" applyNumberFormat="1" applyFont="1" applyBorder="1" applyAlignment="1">
      <alignment horizontal="right" vertical="top" wrapText="1"/>
    </xf>
    <xf numFmtId="4" fontId="30" fillId="0" borderId="0" xfId="0" applyNumberFormat="1" applyFont="1" applyAlignment="1">
      <alignment horizontal="right" vertical="center" wrapText="1"/>
    </xf>
    <xf numFmtId="4" fontId="43" fillId="0" borderId="44" xfId="0" applyNumberFormat="1" applyFont="1" applyFill="1" applyBorder="1" applyAlignment="1" applyProtection="1">
      <alignment horizontal="right" vertical="top" wrapText="1"/>
    </xf>
    <xf numFmtId="0" fontId="46" fillId="0" borderId="0" xfId="0" applyFont="1" applyAlignment="1">
      <alignment horizontal="center"/>
    </xf>
    <xf numFmtId="0" fontId="46" fillId="0" borderId="46" xfId="0" applyFont="1" applyBorder="1" applyAlignment="1">
      <alignment horizontal="center"/>
    </xf>
    <xf numFmtId="0" fontId="44" fillId="3" borderId="46" xfId="0" applyFont="1" applyFill="1" applyBorder="1" applyAlignment="1">
      <alignment horizontal="center" vertical="center"/>
    </xf>
    <xf numFmtId="170" fontId="43" fillId="0" borderId="44" xfId="0" applyNumberFormat="1" applyFont="1" applyFill="1" applyBorder="1" applyAlignment="1" applyProtection="1">
      <alignment horizontal="right" vertical="top" wrapText="1"/>
    </xf>
    <xf numFmtId="0" fontId="39" fillId="3" borderId="0" xfId="0" applyFont="1" applyFill="1" applyAlignment="1">
      <alignment horizontal="left" vertical="center"/>
    </xf>
    <xf numFmtId="0" fontId="39" fillId="3" borderId="0" xfId="0" applyFont="1" applyFill="1" applyAlignment="1">
      <alignment horizontal="left" vertical="center" wrapText="1"/>
    </xf>
    <xf numFmtId="0" fontId="29" fillId="3" borderId="0" xfId="0" applyFont="1" applyFill="1" applyAlignment="1">
      <alignment horizontal="left" vertical="center"/>
    </xf>
    <xf numFmtId="0" fontId="28" fillId="3" borderId="0" xfId="0" applyFont="1" applyFill="1" applyAlignment="1">
      <alignment horizontal="center" vertical="center" wrapText="1"/>
    </xf>
    <xf numFmtId="0" fontId="28" fillId="3" borderId="0" xfId="0" applyFont="1" applyFill="1" applyAlignment="1">
      <alignment horizontal="center" vertical="center"/>
    </xf>
    <xf numFmtId="0" fontId="34" fillId="3" borderId="0" xfId="0" applyFont="1" applyFill="1" applyAlignment="1">
      <alignment horizontal="right" vertical="center"/>
    </xf>
    <xf numFmtId="0" fontId="37" fillId="3" borderId="0" xfId="0" applyFont="1" applyFill="1" applyAlignment="1">
      <alignment horizontal="right" vertical="center"/>
    </xf>
    <xf numFmtId="0" fontId="37" fillId="3" borderId="0" xfId="0" applyFont="1" applyFill="1" applyAlignment="1">
      <alignment vertical="center"/>
    </xf>
    <xf numFmtId="0" fontId="34" fillId="3" borderId="0" xfId="0" applyFont="1" applyFill="1" applyAlignment="1">
      <alignment horizontal="center" vertical="center"/>
    </xf>
    <xf numFmtId="0" fontId="37" fillId="3" borderId="0" xfId="0" applyFont="1" applyFill="1" applyAlignment="1">
      <alignment horizontal="left" vertical="center"/>
    </xf>
    <xf numFmtId="0" fontId="34" fillId="3" borderId="0" xfId="0" applyFont="1" applyFill="1" applyAlignment="1">
      <alignment horizontal="left" vertical="center"/>
    </xf>
    <xf numFmtId="0" fontId="26" fillId="0" borderId="31" xfId="0" applyFont="1" applyBorder="1" applyAlignment="1">
      <alignment horizontal="right" vertical="center"/>
    </xf>
    <xf numFmtId="0" fontId="26" fillId="0" borderId="32" xfId="0" applyFont="1" applyBorder="1" applyAlignment="1">
      <alignment horizontal="right" vertical="center"/>
    </xf>
    <xf numFmtId="0" fontId="26" fillId="0" borderId="33" xfId="0" applyFont="1" applyBorder="1" applyAlignment="1">
      <alignment horizontal="right" vertical="center"/>
    </xf>
    <xf numFmtId="0" fontId="29" fillId="0" borderId="27" xfId="0" applyFont="1" applyBorder="1" applyAlignment="1">
      <alignment horizontal="center" vertical="center"/>
    </xf>
    <xf numFmtId="0" fontId="29" fillId="0" borderId="7" xfId="0" applyFont="1" applyBorder="1" applyAlignment="1">
      <alignment horizontal="center" vertical="center"/>
    </xf>
    <xf numFmtId="0" fontId="29" fillId="0" borderId="28" xfId="0" applyFont="1" applyBorder="1" applyAlignment="1">
      <alignment horizontal="center" vertical="center"/>
    </xf>
    <xf numFmtId="0" fontId="29" fillId="0" borderId="9"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26" fillId="6" borderId="36" xfId="0" applyFont="1" applyFill="1" applyBorder="1" applyAlignment="1">
      <alignment horizontal="right" vertical="center"/>
    </xf>
    <xf numFmtId="0" fontId="26" fillId="6" borderId="37" xfId="0" applyFont="1" applyFill="1" applyBorder="1" applyAlignment="1">
      <alignment horizontal="right" vertical="center"/>
    </xf>
    <xf numFmtId="0" fontId="26" fillId="6" borderId="38" xfId="0" applyFont="1" applyFill="1" applyBorder="1" applyAlignment="1">
      <alignment horizontal="right" vertical="center"/>
    </xf>
    <xf numFmtId="0" fontId="26" fillId="3" borderId="0" xfId="0" applyFont="1" applyFill="1" applyAlignment="1">
      <alignment horizontal="center" vertic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30" xfId="0" applyFont="1" applyBorder="1" applyAlignment="1">
      <alignment horizontal="center" vertic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4" xfId="0" applyFont="1" applyBorder="1" applyAlignment="1">
      <alignment horizontal="left" vertical="center"/>
    </xf>
    <xf numFmtId="0" fontId="29" fillId="0" borderId="0" xfId="0" applyFont="1" applyAlignment="1">
      <alignment horizontal="left" vertical="center"/>
    </xf>
    <xf numFmtId="0" fontId="29" fillId="0" borderId="5" xfId="0" applyFont="1" applyBorder="1" applyAlignment="1">
      <alignment horizontal="left" vertical="center"/>
    </xf>
    <xf numFmtId="0" fontId="29"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35" fillId="3" borderId="0" xfId="0" applyFont="1" applyFill="1" applyAlignment="1" applyProtection="1">
      <alignment horizontal="center" vertical="center"/>
      <protection locked="0"/>
    </xf>
    <xf numFmtId="0" fontId="26" fillId="6" borderId="25" xfId="0" applyFont="1" applyFill="1" applyBorder="1" applyAlignment="1">
      <alignment horizontal="center" vertical="center"/>
    </xf>
  </cellXfs>
  <cellStyles count="13">
    <cellStyle name="Hiperlink" xfId="10" builtinId="8"/>
    <cellStyle name="Moeda" xfId="1" builtinId="4"/>
    <cellStyle name="Moeda 2" xfId="11" xr:uid="{9ED40425-5AF8-4675-B195-E5735B306735}"/>
    <cellStyle name="Moeda 4 4" xfId="9" xr:uid="{9DD73005-4CD2-4D33-BAF9-FF906CBC1A8A}"/>
    <cellStyle name="Moeda_capa 54107" xfId="4" xr:uid="{00000000-0005-0000-0000-000002000000}"/>
    <cellStyle name="Normal" xfId="0" builtinId="0"/>
    <cellStyle name="Normal 2 19" xfId="3" xr:uid="{00000000-0005-0000-0000-000004000000}"/>
    <cellStyle name="Normal 220" xfId="5" xr:uid="{00000000-0005-0000-0000-000005000000}"/>
    <cellStyle name="Porcentagem" xfId="2" builtinId="5"/>
    <cellStyle name="Porcentagem 10 2" xfId="8" xr:uid="{00000000-0005-0000-0000-000007000000}"/>
    <cellStyle name="Porcentagem 3 2" xfId="6" xr:uid="{00000000-0005-0000-0000-000008000000}"/>
    <cellStyle name="Vírgula 2 2" xfId="7" xr:uid="{00000000-0005-0000-0000-00000A000000}"/>
    <cellStyle name="Vírgula 2 2 2" xfId="12" xr:uid="{B57DB59E-0EA3-454A-80A8-662BD6931834}"/>
  </cellStyles>
  <dxfs count="559">
    <dxf>
      <fill>
        <patternFill>
          <bgColor theme="9" tint="0.59996337778862885"/>
        </patternFill>
      </fill>
    </dxf>
    <dxf>
      <fill>
        <patternFill>
          <bgColor theme="7" tint="0.79998168889431442"/>
        </patternFill>
      </fill>
    </dxf>
    <dxf>
      <fill>
        <patternFill>
          <bgColor theme="5" tint="0.79998168889431442"/>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ill>
        <patternFill>
          <bgColor theme="9" tint="0.59996337778862885"/>
        </patternFill>
      </fill>
    </dxf>
    <dxf>
      <fill>
        <patternFill>
          <bgColor theme="7" tint="0.79998168889431442"/>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7" tint="0.79998168889431442"/>
        </patternFill>
      </fill>
    </dxf>
    <dxf>
      <fill>
        <patternFill>
          <bgColor theme="5"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s>
  <tableStyles count="0" defaultTableStyle="TableStyleMedium2" defaultPivotStyle="PivotStyleLight16"/>
  <colors>
    <mruColors>
      <color rgb="FFFFF9E7"/>
      <color rgb="FFFF7979"/>
      <color rgb="FFEE9C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ustomXml" Target="../customXml/item1.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CURVA 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lineChart>
        <c:grouping val="stacke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'7 - CRONOGRAMA'!$D$8:$M$8</c:f>
              <c:strCache>
                <c:ptCount val="10"/>
                <c:pt idx="0">
                  <c:v>MÊS 1</c:v>
                </c:pt>
                <c:pt idx="1">
                  <c:v>MÊS 2</c:v>
                </c:pt>
                <c:pt idx="2">
                  <c:v>MÊS 3</c:v>
                </c:pt>
                <c:pt idx="3">
                  <c:v>MÊS 4</c:v>
                </c:pt>
                <c:pt idx="4">
                  <c:v>MÊS 5</c:v>
                </c:pt>
                <c:pt idx="5">
                  <c:v>MÊS 6</c:v>
                </c:pt>
                <c:pt idx="6">
                  <c:v>MÊS 7</c:v>
                </c:pt>
                <c:pt idx="7">
                  <c:v>MÊS 8</c:v>
                </c:pt>
                <c:pt idx="8">
                  <c:v>MÊS 9</c:v>
                </c:pt>
                <c:pt idx="9">
                  <c:v>MÊS 10</c:v>
                </c:pt>
              </c:strCache>
            </c:strRef>
          </c:cat>
          <c:val>
            <c:numRef>
              <c:f>'7 - CRONOGRAMA'!$D$178:$M$178</c:f>
              <c:numCache>
                <c:formatCode>#,##0.00</c:formatCode>
                <c:ptCount val="10"/>
                <c:pt idx="0">
                  <c:v>945932.26820000005</c:v>
                </c:pt>
                <c:pt idx="1">
                  <c:v>1423539.0452000001</c:v>
                </c:pt>
                <c:pt idx="2">
                  <c:v>2090275.2741999999</c:v>
                </c:pt>
                <c:pt idx="3">
                  <c:v>2364083.7240999998</c:v>
                </c:pt>
                <c:pt idx="4">
                  <c:v>2907840.1968999999</c:v>
                </c:pt>
                <c:pt idx="5">
                  <c:v>3427183.0033999998</c:v>
                </c:pt>
                <c:pt idx="6">
                  <c:v>4167075.5318</c:v>
                </c:pt>
                <c:pt idx="7">
                  <c:v>4879979.9234999996</c:v>
                </c:pt>
                <c:pt idx="8">
                  <c:v>5538542.9539999999</c:v>
                </c:pt>
                <c:pt idx="9">
                  <c:v>5858270.9299999997</c:v>
                </c:pt>
              </c:numCache>
            </c:numRef>
          </c:val>
          <c:smooth val="0"/>
          <c:extLst>
            <c:ext xmlns:c16="http://schemas.microsoft.com/office/drawing/2014/chart" uri="{C3380CC4-5D6E-409C-BE32-E72D297353CC}">
              <c16:uniqueId val="{00000000-93D0-4243-AB8D-040E022EB233}"/>
            </c:ext>
          </c:extLst>
        </c:ser>
        <c:dLbls>
          <c:dLblPos val="t"/>
          <c:showLegendKey val="0"/>
          <c:showVal val="1"/>
          <c:showCatName val="0"/>
          <c:showSerName val="0"/>
          <c:showPercent val="0"/>
          <c:showBubbleSize val="0"/>
        </c:dLbls>
        <c:smooth val="0"/>
        <c:axId val="65262624"/>
        <c:axId val="810315760"/>
      </c:lineChart>
      <c:catAx>
        <c:axId val="65262624"/>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10315760"/>
        <c:crosses val="autoZero"/>
        <c:auto val="1"/>
        <c:lblAlgn val="ctr"/>
        <c:lblOffset val="100"/>
        <c:noMultiLvlLbl val="0"/>
      </c:catAx>
      <c:valAx>
        <c:axId val="810315760"/>
        <c:scaling>
          <c:orientation val="minMax"/>
          <c:max val="6500000"/>
          <c:min val="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VALORES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65262624"/>
        <c:crosses val="autoZero"/>
        <c:crossBetween val="between"/>
        <c:majorUnit val="50000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GRÁFICO DO HISTOGRAMA</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[17]HISTOGRAMA!$D$8:$M$8</c:f>
              <c:strCache>
                <c:ptCount val="10"/>
                <c:pt idx="0">
                  <c:v>MÊS 1</c:v>
                </c:pt>
                <c:pt idx="1">
                  <c:v>MÊS 2</c:v>
                </c:pt>
                <c:pt idx="2">
                  <c:v>MÊS 3</c:v>
                </c:pt>
                <c:pt idx="3">
                  <c:v>MÊS 4</c:v>
                </c:pt>
                <c:pt idx="4">
                  <c:v>MÊS 5</c:v>
                </c:pt>
                <c:pt idx="5">
                  <c:v>MÊS 6</c:v>
                </c:pt>
                <c:pt idx="6">
                  <c:v>MÊS 7</c:v>
                </c:pt>
                <c:pt idx="7">
                  <c:v>MÊS 8</c:v>
                </c:pt>
                <c:pt idx="8">
                  <c:v>MÊS 9</c:v>
                </c:pt>
                <c:pt idx="9">
                  <c:v>MÊS 10</c:v>
                </c:pt>
              </c:strCache>
            </c:strRef>
          </c:cat>
          <c:val>
            <c:numRef>
              <c:f>[17]HISTOGRAMA!$D$9:$M$9</c:f>
              <c:numCache>
                <c:formatCode>General</c:formatCode>
                <c:ptCount val="10"/>
                <c:pt idx="0">
                  <c:v>39</c:v>
                </c:pt>
                <c:pt idx="1">
                  <c:v>33</c:v>
                </c:pt>
                <c:pt idx="2">
                  <c:v>43</c:v>
                </c:pt>
                <c:pt idx="3">
                  <c:v>32</c:v>
                </c:pt>
                <c:pt idx="4">
                  <c:v>45</c:v>
                </c:pt>
                <c:pt idx="5">
                  <c:v>45</c:v>
                </c:pt>
                <c:pt idx="6">
                  <c:v>42</c:v>
                </c:pt>
                <c:pt idx="7">
                  <c:v>45</c:v>
                </c:pt>
                <c:pt idx="8">
                  <c:v>44</c:v>
                </c:pt>
                <c:pt idx="9">
                  <c:v>46</c:v>
                </c:pt>
              </c:numCache>
            </c:numRef>
          </c:val>
          <c:extLst>
            <c:ext xmlns:c16="http://schemas.microsoft.com/office/drawing/2014/chart" uri="{C3380CC4-5D6E-409C-BE32-E72D297353CC}">
              <c16:uniqueId val="{00000000-B575-4F88-A547-A3EC18C38C32}"/>
            </c:ext>
          </c:extLst>
        </c:ser>
        <c:dLbls>
          <c:dLblPos val="outEnd"/>
          <c:showLegendKey val="0"/>
          <c:showVal val="1"/>
          <c:showCatName val="0"/>
          <c:showSerName val="0"/>
          <c:showPercent val="0"/>
          <c:showBubbleSize val="0"/>
        </c:dLbls>
        <c:gapWidth val="100"/>
        <c:overlap val="-24"/>
        <c:axId val="82302815"/>
        <c:axId val="167703087"/>
      </c:barChart>
      <c:catAx>
        <c:axId val="82302815"/>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TEMPO</a:t>
                </a:r>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67703087"/>
        <c:crosses val="autoZero"/>
        <c:auto val="1"/>
        <c:lblAlgn val="ctr"/>
        <c:lblOffset val="100"/>
        <c:noMultiLvlLbl val="0"/>
      </c:catAx>
      <c:valAx>
        <c:axId val="167703087"/>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r>
                  <a:rPr lang="pt-BR"/>
                  <a:t>FUNCIONÁRIOS</a:t>
                </a:r>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823028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1339453</xdr:colOff>
      <xdr:row>3</xdr:row>
      <xdr:rowOff>95250</xdr:rowOff>
    </xdr:from>
    <xdr:to>
      <xdr:col>3</xdr:col>
      <xdr:colOff>2314365</xdr:colOff>
      <xdr:row>6</xdr:row>
      <xdr:rowOff>641537</xdr:rowOff>
    </xdr:to>
    <xdr:pic>
      <xdr:nvPicPr>
        <xdr:cNvPr id="2" name="Imagem 1">
          <a:extLst>
            <a:ext uri="{FF2B5EF4-FFF2-40B4-BE49-F238E27FC236}">
              <a16:creationId xmlns:a16="http://schemas.microsoft.com/office/drawing/2014/main" id="{D40715D2-DDAE-4546-B286-D01AF71CB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703" y="304800"/>
          <a:ext cx="974912" cy="9749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272161</xdr:colOff>
      <xdr:row>0</xdr:row>
      <xdr:rowOff>36367</xdr:rowOff>
    </xdr:from>
    <xdr:to>
      <xdr:col>1</xdr:col>
      <xdr:colOff>984857</xdr:colOff>
      <xdr:row>4</xdr:row>
      <xdr:rowOff>356135</xdr:rowOff>
    </xdr:to>
    <xdr:pic>
      <xdr:nvPicPr>
        <xdr:cNvPr id="4" name="Imagem 3">
          <a:extLst>
            <a:ext uri="{FF2B5EF4-FFF2-40B4-BE49-F238E27FC236}">
              <a16:creationId xmlns:a16="http://schemas.microsoft.com/office/drawing/2014/main" id="{26D5EF3D-99A2-4C3E-BE10-7FAC1C3C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2" name="Imagem 1">
          <a:extLst>
            <a:ext uri="{FF2B5EF4-FFF2-40B4-BE49-F238E27FC236}">
              <a16:creationId xmlns:a16="http://schemas.microsoft.com/office/drawing/2014/main" id="{CF425B58-4400-4F33-B5C3-71A5075CA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5" name="Imagem 4">
          <a:extLst>
            <a:ext uri="{FF2B5EF4-FFF2-40B4-BE49-F238E27FC236}">
              <a16:creationId xmlns:a16="http://schemas.microsoft.com/office/drawing/2014/main" id="{17BD88F8-9A85-44E1-BA96-CF1C42CC46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editAs="oneCell">
    <xdr:from>
      <xdr:col>0</xdr:col>
      <xdr:colOff>272161</xdr:colOff>
      <xdr:row>0</xdr:row>
      <xdr:rowOff>36367</xdr:rowOff>
    </xdr:from>
    <xdr:to>
      <xdr:col>1</xdr:col>
      <xdr:colOff>984857</xdr:colOff>
      <xdr:row>4</xdr:row>
      <xdr:rowOff>356135</xdr:rowOff>
    </xdr:to>
    <xdr:pic>
      <xdr:nvPicPr>
        <xdr:cNvPr id="6" name="Imagem 5">
          <a:extLst>
            <a:ext uri="{FF2B5EF4-FFF2-40B4-BE49-F238E27FC236}">
              <a16:creationId xmlns:a16="http://schemas.microsoft.com/office/drawing/2014/main" id="{C7558645-C294-4EE5-941D-935B6AD338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61" y="36367"/>
          <a:ext cx="1388971" cy="1300843"/>
        </a:xfrm>
        <a:prstGeom prst="rect">
          <a:avLst/>
        </a:prstGeom>
      </xdr:spPr>
    </xdr:pic>
    <xdr:clientData/>
  </xdr:twoCellAnchor>
  <xdr:twoCellAnchor>
    <xdr:from>
      <xdr:col>0</xdr:col>
      <xdr:colOff>517071</xdr:colOff>
      <xdr:row>258</xdr:row>
      <xdr:rowOff>136073</xdr:rowOff>
    </xdr:from>
    <xdr:to>
      <xdr:col>12</xdr:col>
      <xdr:colOff>600869</xdr:colOff>
      <xdr:row>300</xdr:row>
      <xdr:rowOff>50387</xdr:rowOff>
    </xdr:to>
    <xdr:graphicFrame macro="">
      <xdr:nvGraphicFramePr>
        <xdr:cNvPr id="3" name="Gráfico 2">
          <a:extLst>
            <a:ext uri="{FF2B5EF4-FFF2-40B4-BE49-F238E27FC236}">
              <a16:creationId xmlns:a16="http://schemas.microsoft.com/office/drawing/2014/main" id="{32991CAD-4DF8-4B9D-847C-D608D8BC5B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266837</xdr:colOff>
      <xdr:row>0</xdr:row>
      <xdr:rowOff>0</xdr:rowOff>
    </xdr:from>
    <xdr:to>
      <xdr:col>1</xdr:col>
      <xdr:colOff>409575</xdr:colOff>
      <xdr:row>4</xdr:row>
      <xdr:rowOff>339062</xdr:rowOff>
    </xdr:to>
    <xdr:pic>
      <xdr:nvPicPr>
        <xdr:cNvPr id="2" name="Imagem 1">
          <a:extLst>
            <a:ext uri="{FF2B5EF4-FFF2-40B4-BE49-F238E27FC236}">
              <a16:creationId xmlns:a16="http://schemas.microsoft.com/office/drawing/2014/main" id="{7A6FD6EB-F4DF-41DA-8A69-C4713369BC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152388" cy="11391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226016</xdr:colOff>
      <xdr:row>0</xdr:row>
      <xdr:rowOff>40822</xdr:rowOff>
    </xdr:from>
    <xdr:to>
      <xdr:col>1</xdr:col>
      <xdr:colOff>376918</xdr:colOff>
      <xdr:row>4</xdr:row>
      <xdr:rowOff>312965</xdr:rowOff>
    </xdr:to>
    <xdr:pic>
      <xdr:nvPicPr>
        <xdr:cNvPr id="2" name="Imagem 1">
          <a:extLst>
            <a:ext uri="{FF2B5EF4-FFF2-40B4-BE49-F238E27FC236}">
              <a16:creationId xmlns:a16="http://schemas.microsoft.com/office/drawing/2014/main" id="{5689E759-28DA-490B-8C58-FBF9DD1463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016" y="40822"/>
          <a:ext cx="1157831" cy="10749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266837</xdr:colOff>
      <xdr:row>0</xdr:row>
      <xdr:rowOff>0</xdr:rowOff>
    </xdr:from>
    <xdr:to>
      <xdr:col>1</xdr:col>
      <xdr:colOff>426894</xdr:colOff>
      <xdr:row>4</xdr:row>
      <xdr:rowOff>339062</xdr:rowOff>
    </xdr:to>
    <xdr:pic>
      <xdr:nvPicPr>
        <xdr:cNvPr id="2" name="Imagem 1">
          <a:extLst>
            <a:ext uri="{FF2B5EF4-FFF2-40B4-BE49-F238E27FC236}">
              <a16:creationId xmlns:a16="http://schemas.microsoft.com/office/drawing/2014/main" id="{734A3AEB-67BE-4147-9147-2117ABE8C8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837" y="0"/>
          <a:ext cx="1152388" cy="113916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74735</xdr:colOff>
      <xdr:row>0</xdr:row>
      <xdr:rowOff>28575</xdr:rowOff>
    </xdr:from>
    <xdr:to>
      <xdr:col>1</xdr:col>
      <xdr:colOff>161925</xdr:colOff>
      <xdr:row>3</xdr:row>
      <xdr:rowOff>176403</xdr:rowOff>
    </xdr:to>
    <xdr:pic>
      <xdr:nvPicPr>
        <xdr:cNvPr id="3" name="Imagem 2">
          <a:extLst>
            <a:ext uri="{FF2B5EF4-FFF2-40B4-BE49-F238E27FC236}">
              <a16:creationId xmlns:a16="http://schemas.microsoft.com/office/drawing/2014/main" id="{549FBB68-B837-413D-B662-529755055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5" y="28575"/>
          <a:ext cx="725365" cy="862203"/>
        </a:xfrm>
        <a:prstGeom prst="rect">
          <a:avLst/>
        </a:prstGeom>
      </xdr:spPr>
    </xdr:pic>
    <xdr:clientData/>
  </xdr:twoCellAnchor>
  <xdr:twoCellAnchor editAs="oneCell">
    <xdr:from>
      <xdr:col>0</xdr:col>
      <xdr:colOff>74734</xdr:colOff>
      <xdr:row>0</xdr:row>
      <xdr:rowOff>28575</xdr:rowOff>
    </xdr:from>
    <xdr:to>
      <xdr:col>1</xdr:col>
      <xdr:colOff>504825</xdr:colOff>
      <xdr:row>4</xdr:row>
      <xdr:rowOff>180923</xdr:rowOff>
    </xdr:to>
    <xdr:pic>
      <xdr:nvPicPr>
        <xdr:cNvPr id="4" name="Imagem 3">
          <a:extLst>
            <a:ext uri="{FF2B5EF4-FFF2-40B4-BE49-F238E27FC236}">
              <a16:creationId xmlns:a16="http://schemas.microsoft.com/office/drawing/2014/main" id="{7FE5F794-6824-4F0F-8A1C-8C396E5842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734" y="28575"/>
          <a:ext cx="1030166" cy="105722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5" name="Imagem 4">
          <a:extLst>
            <a:ext uri="{FF2B5EF4-FFF2-40B4-BE49-F238E27FC236}">
              <a16:creationId xmlns:a16="http://schemas.microsoft.com/office/drawing/2014/main" id="{979C3834-FB86-1A24-3622-A8772C986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9231" cy="8792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36635</xdr:colOff>
      <xdr:row>0</xdr:row>
      <xdr:rowOff>21981</xdr:rowOff>
    </xdr:from>
    <xdr:to>
      <xdr:col>2</xdr:col>
      <xdr:colOff>95251</xdr:colOff>
      <xdr:row>1</xdr:row>
      <xdr:rowOff>131885</xdr:rowOff>
    </xdr:to>
    <xdr:pic>
      <xdr:nvPicPr>
        <xdr:cNvPr id="2" name="Imagem 1">
          <a:extLst>
            <a:ext uri="{FF2B5EF4-FFF2-40B4-BE49-F238E27FC236}">
              <a16:creationId xmlns:a16="http://schemas.microsoft.com/office/drawing/2014/main" id="{D2D9316A-0AC6-4CEE-A1F0-2B1D28BAF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5" y="21981"/>
          <a:ext cx="877766" cy="88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1339453</xdr:colOff>
      <xdr:row>3</xdr:row>
      <xdr:rowOff>95250</xdr:rowOff>
    </xdr:from>
    <xdr:to>
      <xdr:col>3</xdr:col>
      <xdr:colOff>2314365</xdr:colOff>
      <xdr:row>6</xdr:row>
      <xdr:rowOff>641537</xdr:rowOff>
    </xdr:to>
    <xdr:pic>
      <xdr:nvPicPr>
        <xdr:cNvPr id="2" name="Imagem 1">
          <a:extLst>
            <a:ext uri="{FF2B5EF4-FFF2-40B4-BE49-F238E27FC236}">
              <a16:creationId xmlns:a16="http://schemas.microsoft.com/office/drawing/2014/main" id="{E2773E94-B174-49A1-9A69-7AE810F6D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8703" y="303609"/>
          <a:ext cx="974912" cy="974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215348</xdr:colOff>
      <xdr:row>0</xdr:row>
      <xdr:rowOff>91109</xdr:rowOff>
    </xdr:from>
    <xdr:to>
      <xdr:col>1</xdr:col>
      <xdr:colOff>1091648</xdr:colOff>
      <xdr:row>5</xdr:row>
      <xdr:rowOff>14909</xdr:rowOff>
    </xdr:to>
    <xdr:pic>
      <xdr:nvPicPr>
        <xdr:cNvPr id="4" name="Picture 1">
          <a:extLst>
            <a:ext uri="{FF2B5EF4-FFF2-40B4-BE49-F238E27FC236}">
              <a16:creationId xmlns:a16="http://schemas.microsoft.com/office/drawing/2014/main" id="{2CD4689F-BF5F-42F0-9B5C-914D36CF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8261" y="91109"/>
          <a:ext cx="876300"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181697</xdr:colOff>
      <xdr:row>0</xdr:row>
      <xdr:rowOff>48824</xdr:rowOff>
    </xdr:from>
    <xdr:ext cx="1094653" cy="1066483"/>
    <xdr:pic>
      <xdr:nvPicPr>
        <xdr:cNvPr id="2" name="Imagem 1">
          <a:extLst>
            <a:ext uri="{FF2B5EF4-FFF2-40B4-BE49-F238E27FC236}">
              <a16:creationId xmlns:a16="http://schemas.microsoft.com/office/drawing/2014/main" id="{2978E55C-01E7-4F2A-87C9-DAC5FE39D2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697" y="48824"/>
          <a:ext cx="1094653" cy="106648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74735</xdr:colOff>
      <xdr:row>0</xdr:row>
      <xdr:rowOff>28575</xdr:rowOff>
    </xdr:from>
    <xdr:to>
      <xdr:col>0</xdr:col>
      <xdr:colOff>941492</xdr:colOff>
      <xdr:row>4</xdr:row>
      <xdr:rowOff>101739</xdr:rowOff>
    </xdr:to>
    <xdr:pic>
      <xdr:nvPicPr>
        <xdr:cNvPr id="3" name="Imagem 2">
          <a:extLst>
            <a:ext uri="{FF2B5EF4-FFF2-40B4-BE49-F238E27FC236}">
              <a16:creationId xmlns:a16="http://schemas.microsoft.com/office/drawing/2014/main" id="{B2D26816-53F1-4FFA-807B-4FA590AB01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5" y="28575"/>
          <a:ext cx="877766" cy="881429"/>
        </a:xfrm>
        <a:prstGeom prst="rect">
          <a:avLst/>
        </a:prstGeom>
      </xdr:spPr>
    </xdr:pic>
    <xdr:clientData/>
  </xdr:twoCellAnchor>
  <xdr:twoCellAnchor editAs="oneCell">
    <xdr:from>
      <xdr:col>0</xdr:col>
      <xdr:colOff>74734</xdr:colOff>
      <xdr:row>0</xdr:row>
      <xdr:rowOff>28576</xdr:rowOff>
    </xdr:from>
    <xdr:to>
      <xdr:col>1</xdr:col>
      <xdr:colOff>47872</xdr:colOff>
      <xdr:row>4</xdr:row>
      <xdr:rowOff>138125</xdr:rowOff>
    </xdr:to>
    <xdr:pic>
      <xdr:nvPicPr>
        <xdr:cNvPr id="4" name="Imagem 3">
          <a:extLst>
            <a:ext uri="{FF2B5EF4-FFF2-40B4-BE49-F238E27FC236}">
              <a16:creationId xmlns:a16="http://schemas.microsoft.com/office/drawing/2014/main" id="{313688FC-567E-4B48-AE5D-E7C3D34FA6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34" y="28576"/>
          <a:ext cx="953965" cy="9114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334781</xdr:colOff>
      <xdr:row>0</xdr:row>
      <xdr:rowOff>0</xdr:rowOff>
    </xdr:from>
    <xdr:to>
      <xdr:col>1</xdr:col>
      <xdr:colOff>692726</xdr:colOff>
      <xdr:row>5</xdr:row>
      <xdr:rowOff>56958</xdr:rowOff>
    </xdr:to>
    <xdr:pic>
      <xdr:nvPicPr>
        <xdr:cNvPr id="2" name="Imagem 1">
          <a:extLst>
            <a:ext uri="{FF2B5EF4-FFF2-40B4-BE49-F238E27FC236}">
              <a16:creationId xmlns:a16="http://schemas.microsoft.com/office/drawing/2014/main" id="{91B27383-65C8-48A1-A34A-D98668CB48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781" y="0"/>
          <a:ext cx="1275809" cy="1182640"/>
        </a:xfrm>
        <a:prstGeom prst="rect">
          <a:avLst/>
        </a:prstGeom>
      </xdr:spPr>
    </xdr:pic>
    <xdr:clientData/>
  </xdr:twoCellAnchor>
  <xdr:twoCellAnchor editAs="oneCell">
    <xdr:from>
      <xdr:col>0</xdr:col>
      <xdr:colOff>504825</xdr:colOff>
      <xdr:row>190</xdr:row>
      <xdr:rowOff>152400</xdr:rowOff>
    </xdr:from>
    <xdr:to>
      <xdr:col>2</xdr:col>
      <xdr:colOff>1260306</xdr:colOff>
      <xdr:row>200</xdr:row>
      <xdr:rowOff>104989</xdr:rowOff>
    </xdr:to>
    <xdr:pic>
      <xdr:nvPicPr>
        <xdr:cNvPr id="3" name="Imagem 2">
          <a:extLst>
            <a:ext uri="{FF2B5EF4-FFF2-40B4-BE49-F238E27FC236}">
              <a16:creationId xmlns:a16="http://schemas.microsoft.com/office/drawing/2014/main" id="{2EC729F3-BFDE-4345-84A9-41FC79D3C0F2}"/>
            </a:ext>
          </a:extLst>
        </xdr:cNvPr>
        <xdr:cNvPicPr>
          <a:picLocks noChangeAspect="1"/>
        </xdr:cNvPicPr>
      </xdr:nvPicPr>
      <xdr:blipFill>
        <a:blip xmlns:r="http://schemas.openxmlformats.org/officeDocument/2006/relationships" r:embed="rId2"/>
        <a:stretch>
          <a:fillRect/>
        </a:stretch>
      </xdr:blipFill>
      <xdr:spPr>
        <a:xfrm>
          <a:off x="504825" y="33299400"/>
          <a:ext cx="2924583" cy="1571840"/>
        </a:xfrm>
        <a:prstGeom prst="rect">
          <a:avLst/>
        </a:prstGeom>
      </xdr:spPr>
    </xdr:pic>
    <xdr:clientData/>
  </xdr:twoCellAnchor>
  <xdr:twoCellAnchor editAs="oneCell">
    <xdr:from>
      <xdr:col>2</xdr:col>
      <xdr:colOff>1562100</xdr:colOff>
      <xdr:row>190</xdr:row>
      <xdr:rowOff>85725</xdr:rowOff>
    </xdr:from>
    <xdr:to>
      <xdr:col>2</xdr:col>
      <xdr:colOff>7286625</xdr:colOff>
      <xdr:row>208</xdr:row>
      <xdr:rowOff>113024</xdr:rowOff>
    </xdr:to>
    <xdr:pic>
      <xdr:nvPicPr>
        <xdr:cNvPr id="4" name="Imagem 3">
          <a:extLst>
            <a:ext uri="{FF2B5EF4-FFF2-40B4-BE49-F238E27FC236}">
              <a16:creationId xmlns:a16="http://schemas.microsoft.com/office/drawing/2014/main" id="{2CAADBEE-7A54-4227-A146-BFF1719D9159}"/>
            </a:ext>
          </a:extLst>
        </xdr:cNvPr>
        <xdr:cNvPicPr>
          <a:picLocks noChangeAspect="1"/>
        </xdr:cNvPicPr>
      </xdr:nvPicPr>
      <xdr:blipFill>
        <a:blip xmlns:r="http://schemas.openxmlformats.org/officeDocument/2006/relationships" r:embed="rId3"/>
        <a:stretch>
          <a:fillRect/>
        </a:stretch>
      </xdr:blipFill>
      <xdr:spPr>
        <a:xfrm>
          <a:off x="3609975" y="33232725"/>
          <a:ext cx="5724525" cy="2941950"/>
        </a:xfrm>
        <a:prstGeom prst="rect">
          <a:avLst/>
        </a:prstGeom>
      </xdr:spPr>
    </xdr:pic>
    <xdr:clientData/>
  </xdr:twoCellAnchor>
  <xdr:twoCellAnchor editAs="oneCell">
    <xdr:from>
      <xdr:col>2</xdr:col>
      <xdr:colOff>7524751</xdr:colOff>
      <xdr:row>190</xdr:row>
      <xdr:rowOff>152401</xdr:rowOff>
    </xdr:from>
    <xdr:to>
      <xdr:col>7</xdr:col>
      <xdr:colOff>467050</xdr:colOff>
      <xdr:row>206</xdr:row>
      <xdr:rowOff>142876</xdr:rowOff>
    </xdr:to>
    <xdr:pic>
      <xdr:nvPicPr>
        <xdr:cNvPr id="5" name="Imagem 4">
          <a:extLst>
            <a:ext uri="{FF2B5EF4-FFF2-40B4-BE49-F238E27FC236}">
              <a16:creationId xmlns:a16="http://schemas.microsoft.com/office/drawing/2014/main" id="{ECA75C45-1266-4D7A-B8E1-0AE898CFC48F}"/>
            </a:ext>
          </a:extLst>
        </xdr:cNvPr>
        <xdr:cNvPicPr>
          <a:picLocks noChangeAspect="1"/>
        </xdr:cNvPicPr>
      </xdr:nvPicPr>
      <xdr:blipFill>
        <a:blip xmlns:r="http://schemas.openxmlformats.org/officeDocument/2006/relationships" r:embed="rId4"/>
        <a:stretch>
          <a:fillRect/>
        </a:stretch>
      </xdr:blipFill>
      <xdr:spPr>
        <a:xfrm>
          <a:off x="9572626" y="33299401"/>
          <a:ext cx="5355972" cy="2581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197999</xdr:colOff>
      <xdr:row>0</xdr:row>
      <xdr:rowOff>17373</xdr:rowOff>
    </xdr:from>
    <xdr:to>
      <xdr:col>1</xdr:col>
      <xdr:colOff>593912</xdr:colOff>
      <xdr:row>4</xdr:row>
      <xdr:rowOff>123265</xdr:rowOff>
    </xdr:to>
    <xdr:pic>
      <xdr:nvPicPr>
        <xdr:cNvPr id="2" name="Imagem 1">
          <a:extLst>
            <a:ext uri="{FF2B5EF4-FFF2-40B4-BE49-F238E27FC236}">
              <a16:creationId xmlns:a16="http://schemas.microsoft.com/office/drawing/2014/main" id="{20ED62B9-E96C-4376-92B1-043F8037BE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999" y="17373"/>
          <a:ext cx="1001031" cy="10023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150934</xdr:colOff>
      <xdr:row>0</xdr:row>
      <xdr:rowOff>19049</xdr:rowOff>
    </xdr:from>
    <xdr:to>
      <xdr:col>1</xdr:col>
      <xdr:colOff>806178</xdr:colOff>
      <xdr:row>4</xdr:row>
      <xdr:rowOff>367392</xdr:rowOff>
    </xdr:to>
    <xdr:pic>
      <xdr:nvPicPr>
        <xdr:cNvPr id="2" name="Imagem 1">
          <a:extLst>
            <a:ext uri="{FF2B5EF4-FFF2-40B4-BE49-F238E27FC236}">
              <a16:creationId xmlns:a16="http://schemas.microsoft.com/office/drawing/2014/main" id="{0BDFFACA-5731-4C8B-8A42-C2A1D39E8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93053" cy="1328057"/>
        </a:xfrm>
        <a:prstGeom prst="rect">
          <a:avLst/>
        </a:prstGeom>
      </xdr:spPr>
    </xdr:pic>
    <xdr:clientData/>
  </xdr:twoCellAnchor>
  <xdr:twoCellAnchor editAs="oneCell">
    <xdr:from>
      <xdr:col>0</xdr:col>
      <xdr:colOff>150934</xdr:colOff>
      <xdr:row>0</xdr:row>
      <xdr:rowOff>19049</xdr:rowOff>
    </xdr:from>
    <xdr:to>
      <xdr:col>1</xdr:col>
      <xdr:colOff>796653</xdr:colOff>
      <xdr:row>4</xdr:row>
      <xdr:rowOff>367392</xdr:rowOff>
    </xdr:to>
    <xdr:pic>
      <xdr:nvPicPr>
        <xdr:cNvPr id="3" name="Imagem 2">
          <a:extLst>
            <a:ext uri="{FF2B5EF4-FFF2-40B4-BE49-F238E27FC236}">
              <a16:creationId xmlns:a16="http://schemas.microsoft.com/office/drawing/2014/main" id="{E816A1A3-E670-404A-8C37-8F55671B4E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934" y="19049"/>
          <a:ext cx="1388971" cy="13294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370414</xdr:colOff>
      <xdr:row>8</xdr:row>
      <xdr:rowOff>137581</xdr:rowOff>
    </xdr:from>
    <xdr:to>
      <xdr:col>12</xdr:col>
      <xdr:colOff>603249</xdr:colOff>
      <xdr:row>61</xdr:row>
      <xdr:rowOff>31750</xdr:rowOff>
    </xdr:to>
    <xdr:graphicFrame macro="">
      <xdr:nvGraphicFramePr>
        <xdr:cNvPr id="4" name="Gráfico 3">
          <a:extLst>
            <a:ext uri="{FF2B5EF4-FFF2-40B4-BE49-F238E27FC236}">
              <a16:creationId xmlns:a16="http://schemas.microsoft.com/office/drawing/2014/main" id="{DB9E0A9B-F524-42F0-A300-7291C7FDB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272161</xdr:colOff>
      <xdr:row>0</xdr:row>
      <xdr:rowOff>36367</xdr:rowOff>
    </xdr:from>
    <xdr:to>
      <xdr:col>1</xdr:col>
      <xdr:colOff>925134</xdr:colOff>
      <xdr:row>4</xdr:row>
      <xdr:rowOff>272142</xdr:rowOff>
    </xdr:to>
    <xdr:pic>
      <xdr:nvPicPr>
        <xdr:cNvPr id="9" name="Imagem 8">
          <a:extLst>
            <a:ext uri="{FF2B5EF4-FFF2-40B4-BE49-F238E27FC236}">
              <a16:creationId xmlns:a16="http://schemas.microsoft.com/office/drawing/2014/main" id="{D3AFE8D7-F1BE-4B41-B19C-9111462A9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61" y="36367"/>
          <a:ext cx="1265294" cy="1215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efeitura%20Municipal%20de%20Itaja&#237;\01-XXXX-PreventivosGlobal\00-Aprovados\06-0465-An&#237;balC&#233;sar(EB)\04Planilhas\Orc\0465.OR&#199;AMENTO.PCI.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s03\de-seor&#231;a\Users\Eduardo\01%20-%20TRABALHOS\01_PROJETOS\2009.06%20-%20CAIXA%20IGUATU\IGUATU\04_PE\PLO\3716-08-CAIXA-AGE-IGUATU-PE-PLO-010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0380.Or&#231;amento.FNDE_R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vemail2.terra.com.br/cgi-bin/webmail.exe/5-CSANEO%20ENGENHARIA/Vila%20Ol&#237;mpica/Samambaia/DrenaCalc5j_VOSamambaiar_DRN-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ropbox/FFF%20Engenharia/1.%20PROJETOS%20P&#218;BLICOS/2024_93_DEFENSORIA%20PUBLICA%20-%20PROJETOS%20DIVERSOS/02%20-%20Naj%20Sol%20Nascente/01%20-%20Anteprojeto/00%20-%20Or&#231;amento/R_01/2%20-%20OR&#199;.%20GERAL%20com%20desonera&#231;&#227;o/NAJ_SNC_OR&#199;_DES_PECE_R0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E:\Dropbox\FFF%20Engenharia\1.%20PROJETOS%20P&#218;BLICOS\2024_93_DEFENSORIA%20PUBLICA%20-%20PROJETOS%20DIVERSOS\02%20-%20Naj%20Sol%20Nascente\01%20-%20Anteprojeto\00%20-%20Or&#231;amento\R_02\2%20-%20OR&#199;.%20GERAL%20com%20desonera&#231;&#227;o\NAJ_SNC_OR&#199;_DES_PECE_R02.xlsx" TargetMode="External"/><Relationship Id="rId1" Type="http://schemas.openxmlformats.org/officeDocument/2006/relationships/externalLinkPath" Target="/Dropbox/FFF%20Engenharia/1.%20PROJETOS%20P&#218;BLICOS/2024_93_DEFENSORIA%20PUBLICA%20-%20PROJETOS%20DIVERSOS/02%20-%20Naj%20Sol%20Nascente/01%20-%20Anteprojeto/00%20-%20Or&#231;amento/R_02/2%20-%20OR&#199;.%20GERAL%20com%20desonera&#231;&#227;o/NAJ_SNC_OR&#199;_DES_PECE_R02.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E:\Dropbox\FFF%20Engenharia\1.%20PROJETOS%20P&#218;BLICOS\2024_93_DEFENSORIA%20PUBLICA%20-%20PROJETOS%20DIVERSOS\02%20-%20Naj%20Sol%20Nascente\01%20-%20Anteprojeto\00%20-%20Or&#231;amento\R_03\2%20-%20OR&#199;.%20GERAL%20com%20desonera&#231;&#227;o\NAJ_SNC_OR&#199;_DES_PECE_R03.xlsx" TargetMode="External"/><Relationship Id="rId1" Type="http://schemas.openxmlformats.org/officeDocument/2006/relationships/externalLinkPath" Target="/Dropbox/FFF%20Engenharia/1.%20PROJETOS%20P&#218;BLICOS/2024_93_DEFENSORIA%20PUBLICA%20-%20PROJETOS%20DIVERSOS/02%20-%20Naj%20Sol%20Nascente/01%20-%20Anteprojeto/00%20-%20Or&#231;amento/R_03/2%20-%20OR&#199;.%20GERAL%20com%20desonera&#231;&#227;o/NAJ_SNC_OR&#199;_DES_PECE_R0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ropbox/FFF%20Engenharia/1.%20PROJETOS%20P&#218;BLICOS/2024_93_DEFENSORIA%20PUBLICA%20-%20PROJETOS%20DIVERSOS/01%20-%20Naj%20S&#227;o%20Sebasti&#227;o/03%20-%20Executivo/00%20-%20Or&#231;amentos/Histograma%20m&#227;o%20obr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FFF%20Engenharia\Desktop\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07-SEOR&#199;A\RELAT&#211;RIO%20E%20ANEXOS%20-%20Novo%20BDI\Anexo%20III%20-%20Demonstrativo%20BD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fensoriapublicadodistr300.sharepoint.com/Prefeitura%20Municipal%20de%20Itaja&#237;/01-XXXX-PreventivosGlobal/00-Aprovados/06-0465-An&#237;balC&#233;sar(EB)/04Planilhas/Orc/0465.OR&#199;AMENTO.PCI.R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Prefeitura%20Municipal%20de%20Joinville\07-0365-Pauline%20Parucker(EM)\04Planilhas\Orc\ReformaCoberturas\0365.GER.ORC.ReformaCoberturas.R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03\Gilmar\OR&#199;AMENTOS\AJL%20Constru&#231;&#245;es\COMPOSI&#199;&#213;ES%20PARA%20LICITA&#199;&#213;ES\Cal&#231;adas%20Bras&#237;lia\CAL&#199;ADAS%20BRAS&#205;LIA%20-%20lote%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Users\jose.neto.NOVACAP-SEDE\Downloads\PROJ-DE-037-17-OR&#199;-DT-111-17-SEOR&#199;A-PLA-CLP.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5gm\Meus%20documentos\2915\Excel\Compra\Prodasen-CC_01-08_completa_custo_F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INSUMO"/>
      <sheetName val="Plan2"/>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sheetName val="Cronograma"/>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
      <sheetName val="Plan2"/>
      <sheetName val="Plan1"/>
      <sheetName val="Desenho"/>
      <sheetName val="Plan"/>
      <sheetName val="QuantLigacao"/>
      <sheetName val="QuantRede"/>
      <sheetName val="Tabela Novacap"/>
      <sheetName val="Tabela TCPO"/>
      <sheetName val="Tabela TCPO 1"/>
      <sheetName val="Drenagem"/>
      <sheetName val="Pre Molda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ENCARGOS"/>
      <sheetName val="13 -BDI-EDIFICAÇÕES - DESON"/>
      <sheetName val="14 - BDI-EQUIPAMENTOS - DESON"/>
    </sheetNames>
    <sheetDataSet>
      <sheetData sheetId="0" refreshError="1"/>
      <sheetData sheetId="1" refreshError="1"/>
      <sheetData sheetId="2" refreshError="1"/>
      <sheetData sheetId="3">
        <row r="16">
          <cell r="A16" t="str">
            <v>01.00.000</v>
          </cell>
        </row>
        <row r="190">
          <cell r="A190" t="str">
            <v>4.1.2.1.12</v>
          </cell>
          <cell r="B190" t="str">
            <v>CCU 050</v>
          </cell>
          <cell r="C190" t="str">
            <v>FECHADURA EM INOX LIXADO PARA PORTA INTERNA REF. ARCHITECT INOX 892, LA FONTE OU EQUIVALENTE - FORNECIMENTO E INSTALAÇÃO. REF. 91306/SINAPI</v>
          </cell>
          <cell r="E190" t="str">
            <v>UN</v>
          </cell>
        </row>
        <row r="278">
          <cell r="A278" t="str">
            <v>4.1.6.1.22</v>
          </cell>
          <cell r="B278" t="str">
            <v>CCU 033</v>
          </cell>
          <cell r="C278" t="str">
            <v>SISTEMA DE ALARME PNE COM INDICADOR AUDIOVISUAL, SISTEMA SEM FIO (WIRELESS), PARA PESSOAS COM MOBILIDADE REDUZIDA OU CADEIRANTE REF. 30.06.064/SP OBRAS</v>
          </cell>
          <cell r="E278" t="str">
            <v>CJ</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3">
          <cell r="H23">
            <v>0.28347674918197008</v>
          </cell>
        </row>
      </sheetData>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CURVA ABC MATERIAIS"/>
      <sheetName val="13 - ENCARGOS"/>
      <sheetName val="14 -BDI-EDIFICAÇÕES - DESON"/>
      <sheetName val="15 - BDI-EQUIPAMENTOS - DESON"/>
    </sheetNames>
    <sheetDataSet>
      <sheetData sheetId="0" refreshError="1"/>
      <sheetData sheetId="1" refreshError="1"/>
      <sheetData sheetId="2" refreshError="1"/>
      <sheetData sheetId="3">
        <row r="528">
          <cell r="A528" t="str">
            <v>6.1.4.14</v>
          </cell>
          <cell r="B528" t="str">
            <v>CCU 114</v>
          </cell>
          <cell r="C528" t="str">
            <v>LUMINÁRIA PLAFON (EMBUTIR) - 24 W REF. 103788/SINAPI</v>
          </cell>
          <cell r="E528" t="str">
            <v>UN</v>
          </cell>
        </row>
        <row r="531">
          <cell r="A531" t="str">
            <v>6.1.4.17</v>
          </cell>
          <cell r="B531" t="str">
            <v>CCU 130</v>
          </cell>
          <cell r="C531" t="str">
            <v>LUMINÁRIA TIPO SPOT LED PARA PISO REF. 105546/SINAPI</v>
          </cell>
          <cell r="E531" t="str">
            <v>UN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 - ARQUIVOS DA PLANILHA"/>
      <sheetName val="1 - CAPA"/>
      <sheetName val="2 - RESUMO GLOBAL"/>
      <sheetName val="3 - PLAN. ORÇAMENTÁRIA"/>
      <sheetName val="4 - R. ANALÍTICO - ORIGINAIS"/>
      <sheetName val="5 - R. ANALÍTICO - MODIFICAD"/>
      <sheetName val="6 - COTAÇÃO MERCADO"/>
      <sheetName val="7 - CRONOGRAMA"/>
      <sheetName val="8 - CURVA S"/>
      <sheetName val="9 - HISTOGRAMA"/>
      <sheetName val="10 - CURVA ABC SERVIÇOS"/>
      <sheetName val="11 - CURVA ABC EQUIPAMENTOS"/>
      <sheetName val="12 - CURVA ABC MATERIAIS"/>
      <sheetName val="13 - ENCARGOS"/>
      <sheetName val="14 -BDI-EDIFICAÇÕES - DESON"/>
      <sheetName val="15 - BDI-EQUIPAMENTOS - DESON"/>
    </sheetNames>
    <sheetDataSet>
      <sheetData sheetId="0" refreshError="1"/>
      <sheetData sheetId="1" refreshError="1"/>
      <sheetData sheetId="2" refreshError="1"/>
      <sheetData sheetId="3"/>
      <sheetData sheetId="4" refreshError="1"/>
      <sheetData sheetId="5" refreshError="1"/>
      <sheetData sheetId="6">
        <row r="76">
          <cell r="C76" t="str">
            <v>CHAPAS VIDRO LAMINADO REFLETIVO 8MM (4+4) - MATERIAL</v>
          </cell>
          <cell r="E76" t="str">
            <v>M2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HISTOGRAMA"/>
      <sheetName val="CURVA ABC GERAL"/>
      <sheetName val="ENCARGOS"/>
      <sheetName val="BDI-EDIFICAÇÕES - NÃO DESONERAD"/>
      <sheetName val="BDI-EQUIPAMENTOS - NÃO DESON"/>
    </sheetNames>
    <sheetDataSet>
      <sheetData sheetId="0"/>
      <sheetData sheetId="1"/>
      <sheetData sheetId="2">
        <row r="15">
          <cell r="B15" t="str">
            <v>SERVIÇOS TÉCNICOS PROFISSIONAIS</v>
          </cell>
        </row>
        <row r="22">
          <cell r="B22" t="str">
            <v>SERVIÇOS PRELIMINARES</v>
          </cell>
        </row>
      </sheetData>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GLOBAL"/>
      <sheetName val="ORÇAMENTO"/>
      <sheetName val="RELATÓRIO ANALÍTICO - ORIGINAIS"/>
      <sheetName val="RELATÓRIO ANALÍTICO - MODIFICAD"/>
      <sheetName val="COMPOSIÇÃO PRÓPRIA"/>
      <sheetName val="CRONOGRAMA"/>
      <sheetName val="CURVA S"/>
      <sheetName val="HISTOGRAMA"/>
      <sheetName val="CURVA ABC"/>
      <sheetName val="ENCARGOS"/>
      <sheetName val="BDI-EDIFICAÇÕES - DESONERAD"/>
      <sheetName val="BDI-EQUIPAMENTOS - DESON"/>
    </sheetNames>
    <sheetDataSet>
      <sheetData sheetId="0"/>
      <sheetData sheetId="1"/>
      <sheetData sheetId="2"/>
      <sheetData sheetId="3"/>
      <sheetData sheetId="4"/>
      <sheetData sheetId="5"/>
      <sheetData sheetId="6">
        <row r="8">
          <cell r="D8" t="str">
            <v>MÊS 1</v>
          </cell>
        </row>
      </sheetData>
      <sheetData sheetId="7"/>
      <sheetData sheetId="8">
        <row r="8">
          <cell r="D8" t="str">
            <v>MÊS 1</v>
          </cell>
          <cell r="E8" t="str">
            <v>MÊS 2</v>
          </cell>
          <cell r="F8" t="str">
            <v>MÊS 3</v>
          </cell>
          <cell r="G8" t="str">
            <v>MÊS 4</v>
          </cell>
          <cell r="H8" t="str">
            <v>MÊS 5</v>
          </cell>
          <cell r="I8" t="str">
            <v>MÊS 6</v>
          </cell>
          <cell r="J8" t="str">
            <v>MÊS 7</v>
          </cell>
          <cell r="K8" t="str">
            <v>MÊS 8</v>
          </cell>
          <cell r="L8" t="str">
            <v>MÊS 9</v>
          </cell>
          <cell r="M8" t="str">
            <v>MÊS 10</v>
          </cell>
        </row>
        <row r="9">
          <cell r="D9">
            <v>39</v>
          </cell>
          <cell r="E9">
            <v>33</v>
          </cell>
          <cell r="F9">
            <v>43</v>
          </cell>
          <cell r="G9">
            <v>32</v>
          </cell>
          <cell r="H9">
            <v>45</v>
          </cell>
          <cell r="I9">
            <v>45</v>
          </cell>
          <cell r="J9">
            <v>42</v>
          </cell>
          <cell r="K9">
            <v>45</v>
          </cell>
          <cell r="L9">
            <v>44</v>
          </cell>
          <cell r="M9">
            <v>46</v>
          </cell>
        </row>
      </sheetData>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ADOS"/>
      <sheetName val="Edificações COM"/>
      <sheetName val="Edificações SEM"/>
      <sheetName val="Vias Urbanas COM"/>
      <sheetName val="Vias Urbanas SEM"/>
      <sheetName val="Drenagem COM"/>
      <sheetName val="Drenagem SEM"/>
      <sheetName val="Pavimentação e Drenagem COM"/>
      <sheetName val="Pavimentação e Drenagem SEM"/>
      <sheetName val="Paisagismo COM"/>
      <sheetName val="Paisagismo SEM"/>
      <sheetName val="Pequenas Obras COM"/>
      <sheetName val="Pequenas Obras SEM"/>
      <sheetName val="Materiais COM"/>
      <sheetName val="Materiais SEM"/>
      <sheetName val="Quadro Comparativo"/>
      <sheetName val="Quadro Geral"/>
      <sheetName val="Comparativo"/>
      <sheetName val="BDI Matriz"/>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ow r="6">
          <cell r="C6" t="str">
            <v>1º Quartil</v>
          </cell>
          <cell r="D6" t="str">
            <v>Médio</v>
          </cell>
          <cell r="E6" t="str">
            <v>3º Quartil</v>
          </cell>
          <cell r="F6" t="str">
            <v>1º Quartil</v>
          </cell>
          <cell r="G6" t="str">
            <v>Médio</v>
          </cell>
          <cell r="H6" t="str">
            <v>3º Quartil</v>
          </cell>
          <cell r="I6" t="str">
            <v>1º Quartil</v>
          </cell>
          <cell r="J6" t="str">
            <v>Médio</v>
          </cell>
          <cell r="K6" t="str">
            <v>3º Quartil</v>
          </cell>
          <cell r="L6" t="str">
            <v>1º Quartil</v>
          </cell>
          <cell r="M6" t="str">
            <v>Médio</v>
          </cell>
          <cell r="N6" t="str">
            <v>3º Quartil</v>
          </cell>
          <cell r="O6" t="str">
            <v>1º Quartil</v>
          </cell>
          <cell r="P6" t="str">
            <v>Médio</v>
          </cell>
          <cell r="Q6" t="str">
            <v>3º Quartil</v>
          </cell>
        </row>
        <row r="7">
          <cell r="C7">
            <v>0.03</v>
          </cell>
          <cell r="D7">
            <v>0.04</v>
          </cell>
          <cell r="E7">
            <v>5.5E-2</v>
          </cell>
          <cell r="F7">
            <v>8.0000000000000002E-3</v>
          </cell>
          <cell r="G7">
            <v>8.0000000000000002E-3</v>
          </cell>
          <cell r="H7">
            <v>0.01</v>
          </cell>
          <cell r="I7">
            <v>9.7000000000000003E-3</v>
          </cell>
          <cell r="J7">
            <v>1.2699999999999999E-2</v>
          </cell>
          <cell r="K7">
            <v>1.2699999999999999E-2</v>
          </cell>
          <cell r="L7">
            <v>5.8999999999999999E-3</v>
          </cell>
          <cell r="M7">
            <v>1.23E-2</v>
          </cell>
          <cell r="N7">
            <v>1.3899999999999999E-2</v>
          </cell>
          <cell r="O7">
            <v>6.1600000000000002E-2</v>
          </cell>
          <cell r="P7">
            <v>7.3999999999999996E-2</v>
          </cell>
          <cell r="Q7">
            <v>8.9599999999999999E-2</v>
          </cell>
        </row>
        <row r="9">
          <cell r="A9" t="str">
            <v>Drenagem Pluvial, Redes de Abastecimento de Água, Coleta de Esgoto e Construções Correlatas</v>
          </cell>
        </row>
        <row r="10">
          <cell r="A10" t="str">
            <v>Drenagem Pluvial com Pavimentação</v>
          </cell>
        </row>
        <row r="11">
          <cell r="A11" t="str">
            <v>Paisagismo, Parques e Jardins</v>
          </cell>
        </row>
        <row r="12">
          <cell r="A12" t="str">
            <v>Obras de Menor Complexidade (Praças, Calçadas, Ciclovias, Meios Fios, Quiosques e Obras Correlatas)</v>
          </cell>
        </row>
        <row r="13">
          <cell r="A13" t="str">
            <v>Fornecimento de Materiais Betuminosos e Outros Materiais e Equipamentos de Grande Relevância de Natureza Específica</v>
          </cell>
        </row>
      </sheetData>
      <sheetData sheetId="16">
        <row r="4">
          <cell r="B4" t="str">
            <v>Administração Central</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Sintético"/>
      <sheetName val="Analítico"/>
      <sheetName val="Médias Preventivo"/>
      <sheetName val="Cronograma"/>
      <sheetName val="Plan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ético"/>
      <sheetName val="Analitico"/>
      <sheetName val="Médias Cobertura"/>
      <sheetName val="MedianasEst.Met."/>
      <sheetName val="Cronograma"/>
      <sheetName val="est.met."/>
      <sheetName val="composiçoes cob"/>
    </sheetNames>
    <sheetDataSet>
      <sheetData sheetId="0"/>
      <sheetData sheetId="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OBRAS"/>
      <sheetName val="Encargos"/>
      <sheetName val="CRONGRAMA"/>
      <sheetName val="ORÇAMENTO"/>
      <sheetName val="CPU's"/>
      <sheetName val="CPA's"/>
    </sheetNames>
    <sheetDataSet>
      <sheetData sheetId="0"/>
      <sheetData sheetId="1"/>
      <sheetData sheetId="2"/>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17-CAPA"/>
      <sheetName val="111.01-17-ADM OBRA"/>
      <sheetName val="111.02-17-EDIF"/>
      <sheetName val="111.03-17-IMPLA."/>
      <sheetName val="111.04-17-EQUIP"/>
      <sheetName val="111-17-CRON"/>
      <sheetName val="111-17-ABC"/>
      <sheetName val="111-17-COMP.ARQ."/>
      <sheetName val="111-17-COMP.IMPL."/>
      <sheetName val="111-17-COMP.INST."/>
      <sheetName val="111-17-COMP.AUX"/>
      <sheetName val="111-17-COTAÇÃO"/>
      <sheetName val="Encargos"/>
      <sheetName val="BDI obra"/>
      <sheetName val="BDI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 val="116-18-CAPA"/>
      <sheetName val="116.01-18-ADM"/>
      <sheetName val="116.02-18-IMPLANTAÇÃO."/>
      <sheetName val="SERVIÇOS"/>
      <sheetName val="INSUMOS"/>
      <sheetName val="116.03-18-BLOCO A"/>
      <sheetName val="116.04-18-BLOCO B"/>
      <sheetName val="116.05-18-BLOCO C"/>
      <sheetName val="116.06-18-BLOCO D"/>
      <sheetName val="116.07-18-BLOCO E"/>
      <sheetName val="116.08-18-BLOCO F"/>
      <sheetName val="116.09-18-QUADRA"/>
      <sheetName val="116.10-18-PARQUINHO"/>
      <sheetName val="116-18-CCU's"/>
      <sheetName val="116-18-CRO"/>
      <sheetName val="116-18-ABC"/>
      <sheetName val="116-18-cotação"/>
      <sheetName val="Encargos"/>
      <sheetName val="BDI-Obras"/>
      <sheetName val="comp_instalação"/>
      <sheetName val="l_sociai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 val="l_sociais"/>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trica"/>
      <sheetName val="Hidro"/>
      <sheetName val="C-Incendio"/>
      <sheetName val="cabeamento"/>
      <sheetName val="SSCP"/>
      <sheetName val="acesso"/>
      <sheetName val="CFTV"/>
      <sheetName val="AC"/>
      <sheetName val="inst edital Definitiva"/>
      <sheetName val="unit arq"/>
      <sheetName val="ARQ"/>
      <sheetName val="CRONOGRAMA"/>
      <sheetName val="b.d.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magazineluiza.com.br/" TargetMode="External"/><Relationship Id="rId18" Type="http://schemas.openxmlformats.org/officeDocument/2006/relationships/hyperlink" Target="http://www.lojas2001.com.br/" TargetMode="External"/><Relationship Id="rId26" Type="http://schemas.openxmlformats.org/officeDocument/2006/relationships/hyperlink" Target="http://www.mundomax.com.br/" TargetMode="External"/><Relationship Id="rId39" Type="http://schemas.openxmlformats.org/officeDocument/2006/relationships/hyperlink" Target="http://www.hidroshop.com.br/" TargetMode="External"/><Relationship Id="rId21" Type="http://schemas.openxmlformats.org/officeDocument/2006/relationships/hyperlink" Target="http://www.temper.com.br/" TargetMode="External"/><Relationship Id="rId34" Type="http://schemas.openxmlformats.org/officeDocument/2006/relationships/hyperlink" Target="https://jardinsromeromelo.com.br/" TargetMode="External"/><Relationship Id="rId42" Type="http://schemas.openxmlformats.org/officeDocument/2006/relationships/hyperlink" Target="http://www.isitron.com.br/" TargetMode="External"/><Relationship Id="rId47" Type="http://schemas.openxmlformats.org/officeDocument/2006/relationships/hyperlink" Target="http://www.copafer.com.br/" TargetMode="External"/><Relationship Id="rId50" Type="http://schemas.openxmlformats.org/officeDocument/2006/relationships/drawing" Target="../drawings/drawing7.xml"/><Relationship Id="rId7" Type="http://schemas.openxmlformats.org/officeDocument/2006/relationships/hyperlink" Target="https://www.audioexpresso.com.br/" TargetMode="External"/><Relationship Id="rId2" Type="http://schemas.openxmlformats.org/officeDocument/2006/relationships/hyperlink" Target="http://www.allever.com/" TargetMode="External"/><Relationship Id="rId16" Type="http://schemas.openxmlformats.org/officeDocument/2006/relationships/hyperlink" Target="http://www.energiasolarecologica.com.br/" TargetMode="External"/><Relationship Id="rId29" Type="http://schemas.openxmlformats.org/officeDocument/2006/relationships/hyperlink" Target="https://www.decaloja.com.br/" TargetMode="External"/><Relationship Id="rId11" Type="http://schemas.openxmlformats.org/officeDocument/2006/relationships/hyperlink" Target="http://www.leroymerlin.com.br/" TargetMode="External"/><Relationship Id="rId24" Type="http://schemas.openxmlformats.org/officeDocument/2006/relationships/hyperlink" Target="http://www.loja.oacustico.com.br/" TargetMode="External"/><Relationship Id="rId32" Type="http://schemas.openxmlformats.org/officeDocument/2006/relationships/hyperlink" Target="https://jardinsromeromelo.com.br/" TargetMode="External"/><Relationship Id="rId37" Type="http://schemas.openxmlformats.org/officeDocument/2006/relationships/hyperlink" Target="https://jardinsromeromelo.com.br/" TargetMode="External"/><Relationship Id="rId40" Type="http://schemas.openxmlformats.org/officeDocument/2006/relationships/hyperlink" Target="http://www.lojaagrometal.com.br/" TargetMode="External"/><Relationship Id="rId45" Type="http://schemas.openxmlformats.org/officeDocument/2006/relationships/hyperlink" Target="http://www.obramax.com.br/" TargetMode="External"/><Relationship Id="rId5" Type="http://schemas.openxmlformats.org/officeDocument/2006/relationships/hyperlink" Target="http://www.alumax.com.br/" TargetMode="External"/><Relationship Id="rId15" Type="http://schemas.openxmlformats.org/officeDocument/2006/relationships/hyperlink" Target="http://www.consultsolar.net/" TargetMode="External"/><Relationship Id="rId23" Type="http://schemas.openxmlformats.org/officeDocument/2006/relationships/hyperlink" Target="https://www.maisvidros.com.br/" TargetMode="External"/><Relationship Id="rId28" Type="http://schemas.openxmlformats.org/officeDocument/2006/relationships/hyperlink" Target="http://www.franpisos.com.br/" TargetMode="External"/><Relationship Id="rId36" Type="http://schemas.openxmlformats.org/officeDocument/2006/relationships/hyperlink" Target="https://jardinsromeromelo.com.br/" TargetMode="External"/><Relationship Id="rId49" Type="http://schemas.openxmlformats.org/officeDocument/2006/relationships/printerSettings" Target="../printerSettings/printerSettings7.bin"/><Relationship Id="rId10" Type="http://schemas.openxmlformats.org/officeDocument/2006/relationships/hyperlink" Target="http://www.magazineluiza.com.br/" TargetMode="External"/><Relationship Id="rId19" Type="http://schemas.openxmlformats.org/officeDocument/2006/relationships/hyperlink" Target="http://www.construbel.com.br/" TargetMode="External"/><Relationship Id="rId31" Type="http://schemas.openxmlformats.org/officeDocument/2006/relationships/hyperlink" Target="https://jardinsromeromelo.com.br/" TargetMode="External"/><Relationship Id="rId44" Type="http://schemas.openxmlformats.org/officeDocument/2006/relationships/hyperlink" Target="http://www.copafer.com.br/" TargetMode="External"/><Relationship Id="rId4" Type="http://schemas.openxmlformats.org/officeDocument/2006/relationships/hyperlink" Target="http://www.prismacv.com.br/" TargetMode="External"/><Relationship Id="rId9" Type="http://schemas.openxmlformats.org/officeDocument/2006/relationships/hyperlink" Target="http://www.dronline.com.br/" TargetMode="External"/><Relationship Id="rId14" Type="http://schemas.openxmlformats.org/officeDocument/2006/relationships/hyperlink" Target="http://www.combinado.com.br/" TargetMode="External"/><Relationship Id="rId22" Type="http://schemas.openxmlformats.org/officeDocument/2006/relationships/hyperlink" Target="https://vidracariaperola.com.br/" TargetMode="External"/><Relationship Id="rId27" Type="http://schemas.openxmlformats.org/officeDocument/2006/relationships/hyperlink" Target="http://www.padovani.com.br/" TargetMode="External"/><Relationship Id="rId30" Type="http://schemas.openxmlformats.org/officeDocument/2006/relationships/hyperlink" Target="https://www.qiesquadriasdealuminiodf.com.br/" TargetMode="External"/><Relationship Id="rId35" Type="http://schemas.openxmlformats.org/officeDocument/2006/relationships/hyperlink" Target="https://jardinsromeromelo.com.br/" TargetMode="External"/><Relationship Id="rId43" Type="http://schemas.openxmlformats.org/officeDocument/2006/relationships/hyperlink" Target="http://www.metalferco.com.br/" TargetMode="External"/><Relationship Id="rId48" Type="http://schemas.openxmlformats.org/officeDocument/2006/relationships/hyperlink" Target="https://www.decaloja.com.br/" TargetMode="External"/><Relationship Id="rId8" Type="http://schemas.openxmlformats.org/officeDocument/2006/relationships/hyperlink" Target="http://www.loja.brakey.com.br/" TargetMode="External"/><Relationship Id="rId3" Type="http://schemas.openxmlformats.org/officeDocument/2006/relationships/hyperlink" Target="http://www.slu.df.gov.br/" TargetMode="External"/><Relationship Id="rId12" Type="http://schemas.openxmlformats.org/officeDocument/2006/relationships/hyperlink" Target="http://www.madeiramadeira.com.br/" TargetMode="External"/><Relationship Id="rId17" Type="http://schemas.openxmlformats.org/officeDocument/2006/relationships/hyperlink" Target="http://www.picosolar.com.br/" TargetMode="External"/><Relationship Id="rId25" Type="http://schemas.openxmlformats.org/officeDocument/2006/relationships/hyperlink" Target="http://www.lojaconstelacao.com.br/" TargetMode="External"/><Relationship Id="rId33" Type="http://schemas.openxmlformats.org/officeDocument/2006/relationships/hyperlink" Target="https://jardinsromeromelo.com.br/" TargetMode="External"/><Relationship Id="rId38" Type="http://schemas.openxmlformats.org/officeDocument/2006/relationships/hyperlink" Target="https://jardinsromeromelo.com.br/" TargetMode="External"/><Relationship Id="rId46" Type="http://schemas.openxmlformats.org/officeDocument/2006/relationships/hyperlink" Target="http://www.metalferco.com.br/" TargetMode="External"/><Relationship Id="rId20" Type="http://schemas.openxmlformats.org/officeDocument/2006/relationships/hyperlink" Target="http://www.hidralmarchi.com.br/" TargetMode="External"/><Relationship Id="rId41" Type="http://schemas.openxmlformats.org/officeDocument/2006/relationships/hyperlink" Target="http://www.zero41led.com.br/" TargetMode="External"/><Relationship Id="rId1" Type="http://schemas.openxmlformats.org/officeDocument/2006/relationships/hyperlink" Target="http://www.eletrotrafo.com.br/" TargetMode="External"/><Relationship Id="rId6" Type="http://schemas.openxmlformats.org/officeDocument/2006/relationships/hyperlink" Target="http://www.startprint.com.br/"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81A1A-8FD2-403F-872D-2B7978D2835E}">
  <sheetPr>
    <tabColor rgb="FF00B0F0"/>
    <pageSetUpPr fitToPage="1"/>
  </sheetPr>
  <dimension ref="B1:K36"/>
  <sheetViews>
    <sheetView showGridLines="0" tabSelected="1" view="pageBreakPreview" topLeftCell="A2" zoomScale="115" zoomScaleNormal="100" zoomScaleSheetLayoutView="115" workbookViewId="0">
      <selection activeCell="I10" sqref="I10"/>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7" ht="85.5" hidden="1" customHeight="1">
      <c r="B1" s="550" t="s">
        <v>0</v>
      </c>
      <c r="C1" s="551"/>
      <c r="D1" s="551"/>
      <c r="E1" s="551"/>
      <c r="F1" s="551"/>
      <c r="G1" s="551"/>
    </row>
    <row r="2" spans="2:7" ht="7.5" customHeight="1"/>
    <row r="3" spans="2:7" ht="9" customHeight="1">
      <c r="B3" s="85"/>
      <c r="C3" s="89"/>
      <c r="D3" s="90"/>
      <c r="E3" s="89"/>
      <c r="F3" s="74"/>
    </row>
    <row r="4" spans="2:7" ht="9.75" customHeight="1">
      <c r="B4" s="86"/>
      <c r="C4" s="552"/>
      <c r="D4" s="553"/>
      <c r="E4" s="554"/>
      <c r="F4" s="75"/>
    </row>
    <row r="5" spans="2:7" ht="9" customHeight="1">
      <c r="B5" s="86"/>
      <c r="C5" s="555"/>
      <c r="D5" s="556"/>
      <c r="E5" s="557"/>
      <c r="F5" s="75"/>
    </row>
    <row r="6" spans="2:7">
      <c r="B6" s="86"/>
      <c r="C6" s="555"/>
      <c r="D6" s="556"/>
      <c r="E6" s="557"/>
      <c r="F6" s="75"/>
    </row>
    <row r="7" spans="2:7" ht="58.5" customHeight="1">
      <c r="B7" s="86"/>
      <c r="C7" s="555"/>
      <c r="D7" s="556"/>
      <c r="E7" s="557"/>
      <c r="F7" s="75"/>
    </row>
    <row r="8" spans="2:7" ht="15.75">
      <c r="B8" s="86"/>
      <c r="C8" s="558" t="s">
        <v>1</v>
      </c>
      <c r="D8" s="559"/>
      <c r="E8" s="560"/>
      <c r="F8" s="75"/>
    </row>
    <row r="9" spans="2:7" ht="15.75">
      <c r="B9" s="86"/>
      <c r="C9" s="561" t="s">
        <v>2</v>
      </c>
      <c r="D9" s="562"/>
      <c r="E9" s="563"/>
      <c r="F9" s="75"/>
    </row>
    <row r="10" spans="2:7" ht="15.75">
      <c r="B10" s="86"/>
      <c r="C10" s="558" t="s">
        <v>3</v>
      </c>
      <c r="D10" s="559"/>
      <c r="E10" s="560"/>
      <c r="F10" s="75"/>
    </row>
    <row r="11" spans="2:7" ht="15" customHeight="1">
      <c r="B11" s="86"/>
      <c r="C11" s="564" t="s">
        <v>2712</v>
      </c>
      <c r="D11" s="565"/>
      <c r="E11" s="566"/>
      <c r="F11" s="76"/>
    </row>
    <row r="12" spans="2:7" ht="3.75" customHeight="1">
      <c r="B12" s="86"/>
      <c r="C12" s="567"/>
      <c r="D12" s="568"/>
      <c r="E12" s="569"/>
      <c r="F12" s="76"/>
    </row>
    <row r="13" spans="2:7" ht="6" customHeight="1">
      <c r="B13" s="86"/>
      <c r="C13" s="96"/>
      <c r="D13" s="97"/>
      <c r="E13" s="96"/>
      <c r="F13" s="75"/>
    </row>
    <row r="14" spans="2:7" s="2" customFormat="1" ht="12.75">
      <c r="B14" s="94"/>
      <c r="C14" s="249">
        <v>1</v>
      </c>
      <c r="D14" s="570" t="s">
        <v>2713</v>
      </c>
      <c r="E14" s="571"/>
      <c r="F14" s="77"/>
    </row>
    <row r="15" spans="2:7" s="2" customFormat="1" ht="12.75">
      <c r="B15" s="94"/>
      <c r="C15" s="250">
        <v>2</v>
      </c>
      <c r="D15" s="548" t="s">
        <v>2714</v>
      </c>
      <c r="E15" s="549"/>
      <c r="F15" s="77"/>
    </row>
    <row r="16" spans="2:7" s="2" customFormat="1" ht="12.75">
      <c r="B16" s="94"/>
      <c r="C16" s="249">
        <v>3</v>
      </c>
      <c r="D16" s="546" t="s">
        <v>743</v>
      </c>
      <c r="E16" s="547"/>
      <c r="F16" s="77"/>
    </row>
    <row r="17" spans="2:11" s="2" customFormat="1">
      <c r="B17" s="94"/>
      <c r="C17" s="250">
        <v>4</v>
      </c>
      <c r="D17" s="546" t="s">
        <v>2718</v>
      </c>
      <c r="E17" s="572"/>
      <c r="F17" s="77"/>
      <c r="K17" s="2" t="s">
        <v>8</v>
      </c>
    </row>
    <row r="18" spans="2:11" s="2" customFormat="1" ht="12.75">
      <c r="B18" s="94"/>
      <c r="C18" s="249">
        <v>5</v>
      </c>
      <c r="D18" s="548" t="s">
        <v>2719</v>
      </c>
      <c r="E18" s="549"/>
      <c r="F18" s="78"/>
    </row>
    <row r="19" spans="2:11" s="2" customFormat="1" ht="12.75">
      <c r="B19" s="94"/>
      <c r="C19" s="250">
        <v>6</v>
      </c>
      <c r="D19" s="539" t="s">
        <v>2720</v>
      </c>
      <c r="E19" s="540"/>
      <c r="F19" s="79"/>
    </row>
    <row r="20" spans="2:11" s="2" customFormat="1" ht="14.25" customHeight="1">
      <c r="B20" s="94"/>
      <c r="C20" s="249">
        <v>7</v>
      </c>
      <c r="D20" s="541" t="s">
        <v>744</v>
      </c>
      <c r="E20" s="542"/>
      <c r="F20" s="79"/>
    </row>
    <row r="21" spans="2:11" s="2" customFormat="1">
      <c r="B21" s="94"/>
      <c r="C21" s="250">
        <v>8</v>
      </c>
      <c r="D21" s="535" t="s">
        <v>2717</v>
      </c>
      <c r="E21" s="543"/>
      <c r="F21" s="79"/>
    </row>
    <row r="22" spans="2:11" s="2" customFormat="1" ht="12.75">
      <c r="B22" s="94"/>
      <c r="C22" s="249">
        <v>9</v>
      </c>
      <c r="D22" s="544" t="s">
        <v>2716</v>
      </c>
      <c r="E22" s="545"/>
      <c r="F22" s="79"/>
    </row>
    <row r="23" spans="2:11" s="2" customFormat="1" ht="14.25" customHeight="1">
      <c r="B23" s="94"/>
      <c r="C23" s="250">
        <v>10</v>
      </c>
      <c r="D23" s="546" t="s">
        <v>3005</v>
      </c>
      <c r="E23" s="547"/>
      <c r="F23" s="79"/>
    </row>
    <row r="24" spans="2:11" s="2" customFormat="1" ht="12.75">
      <c r="B24" s="94"/>
      <c r="C24" s="249">
        <v>11</v>
      </c>
      <c r="D24" s="535" t="s">
        <v>2715</v>
      </c>
      <c r="E24" s="536"/>
      <c r="F24" s="79"/>
    </row>
    <row r="25" spans="2:11" s="2" customFormat="1" ht="12.75">
      <c r="B25" s="94"/>
      <c r="C25" s="249">
        <v>12</v>
      </c>
      <c r="D25" s="546" t="s">
        <v>3003</v>
      </c>
      <c r="E25" s="547"/>
      <c r="F25" s="79"/>
    </row>
    <row r="26" spans="2:11" s="2" customFormat="1" ht="12.75">
      <c r="B26" s="94"/>
      <c r="C26" s="249">
        <v>13</v>
      </c>
      <c r="D26" s="535" t="s">
        <v>737</v>
      </c>
      <c r="E26" s="536"/>
      <c r="F26" s="79"/>
    </row>
    <row r="27" spans="2:11" s="2" customFormat="1" ht="12.75">
      <c r="B27" s="94"/>
      <c r="C27" s="249">
        <v>14</v>
      </c>
      <c r="D27" s="535" t="s">
        <v>2862</v>
      </c>
      <c r="E27" s="536"/>
      <c r="F27" s="79"/>
    </row>
    <row r="28" spans="2:11" s="2" customFormat="1" ht="12.75">
      <c r="B28" s="94"/>
      <c r="C28" s="249">
        <v>15</v>
      </c>
      <c r="D28" s="537" t="s">
        <v>2863</v>
      </c>
      <c r="E28" s="538"/>
      <c r="F28" s="79"/>
    </row>
    <row r="29" spans="2:11">
      <c r="B29" s="124"/>
      <c r="C29" s="251"/>
      <c r="D29" s="253"/>
      <c r="E29" s="254"/>
      <c r="F29" s="252"/>
      <c r="G29" s="16"/>
    </row>
    <row r="30" spans="2:11">
      <c r="D30" s="17"/>
    </row>
    <row r="31" spans="2:11">
      <c r="E31" s="18"/>
    </row>
    <row r="32" spans="2:11">
      <c r="D32" s="19"/>
      <c r="G32" s="20"/>
    </row>
    <row r="33" spans="4:7">
      <c r="D33" s="21"/>
    </row>
    <row r="34" spans="4:7">
      <c r="G34" s="22"/>
    </row>
    <row r="36" spans="4:7">
      <c r="D36" s="19"/>
    </row>
  </sheetData>
  <mergeCells count="22">
    <mergeCell ref="D18:E18"/>
    <mergeCell ref="B1:G1"/>
    <mergeCell ref="C4:E7"/>
    <mergeCell ref="C8:E8"/>
    <mergeCell ref="C9:E9"/>
    <mergeCell ref="C10:E10"/>
    <mergeCell ref="C11:E11"/>
    <mergeCell ref="C12:E12"/>
    <mergeCell ref="D14:E14"/>
    <mergeCell ref="D15:E15"/>
    <mergeCell ref="D16:E16"/>
    <mergeCell ref="D17:E17"/>
    <mergeCell ref="D26:E26"/>
    <mergeCell ref="D27:E27"/>
    <mergeCell ref="D28:E28"/>
    <mergeCell ref="D19:E19"/>
    <mergeCell ref="D20:E20"/>
    <mergeCell ref="D21:E21"/>
    <mergeCell ref="D22:E22"/>
    <mergeCell ref="D23:E23"/>
    <mergeCell ref="D24:E24"/>
    <mergeCell ref="D25:E25"/>
  </mergeCells>
  <printOptions horizontalCentered="1"/>
  <pageMargins left="0.23622047244094491" right="0.23622047244094491" top="0.23622047244094491" bottom="0.23622047244094491" header="0" footer="0"/>
  <pageSetup paperSize="9" scale="9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93078-ADA9-49FE-92DA-6EF82AD006A4}">
  <sheetPr>
    <tabColor rgb="FF00B0F0"/>
    <pageSetUpPr fitToPage="1"/>
  </sheetPr>
  <dimension ref="A1:M306"/>
  <sheetViews>
    <sheetView view="pageBreakPreview" zoomScale="70" zoomScaleNormal="55" zoomScaleSheetLayoutView="70" workbookViewId="0">
      <selection activeCell="K38" sqref="K38:K39"/>
    </sheetView>
  </sheetViews>
  <sheetFormatPr defaultColWidth="9.140625" defaultRowHeight="14.25"/>
  <cols>
    <col min="1" max="1" width="10.140625" style="179" customWidth="1"/>
    <col min="2" max="2" width="66.28515625" style="179" customWidth="1"/>
    <col min="3" max="3" width="17.7109375" style="216" customWidth="1"/>
    <col min="4" max="13" width="14.28515625" style="179" customWidth="1"/>
    <col min="14" max="16384" width="9.140625" style="179"/>
  </cols>
  <sheetData>
    <row r="1" spans="1:13" ht="12.75" customHeight="1">
      <c r="A1" s="613" t="s">
        <v>62</v>
      </c>
      <c r="B1" s="613"/>
      <c r="C1" s="613"/>
      <c r="D1" s="613"/>
      <c r="E1" s="613"/>
      <c r="F1" s="613"/>
      <c r="G1" s="613"/>
      <c r="H1" s="613"/>
      <c r="I1" s="613"/>
      <c r="J1" s="613"/>
      <c r="K1" s="613"/>
      <c r="L1" s="613"/>
      <c r="M1" s="613"/>
    </row>
    <row r="2" spans="1:13" ht="30" customHeight="1">
      <c r="A2" s="613"/>
      <c r="B2" s="613"/>
      <c r="C2" s="613"/>
      <c r="D2" s="613"/>
      <c r="E2" s="613"/>
      <c r="F2" s="613"/>
      <c r="G2" s="613"/>
      <c r="H2" s="613"/>
      <c r="I2" s="613"/>
      <c r="J2" s="613"/>
      <c r="K2" s="613"/>
      <c r="L2" s="613"/>
      <c r="M2" s="613"/>
    </row>
    <row r="3" spans="1:13" ht="19.5" customHeight="1">
      <c r="A3" s="613"/>
      <c r="B3" s="613"/>
      <c r="C3" s="613"/>
      <c r="D3" s="613"/>
      <c r="E3" s="613"/>
      <c r="F3" s="613"/>
      <c r="G3" s="613"/>
      <c r="H3" s="613"/>
      <c r="I3" s="613"/>
      <c r="J3" s="613"/>
      <c r="K3" s="613"/>
      <c r="L3" s="613"/>
      <c r="M3" s="613"/>
    </row>
    <row r="4" spans="1:13" ht="15" customHeight="1">
      <c r="A4" s="613"/>
      <c r="B4" s="613"/>
      <c r="C4" s="613"/>
      <c r="D4" s="613"/>
      <c r="E4" s="613"/>
      <c r="F4" s="613"/>
      <c r="G4" s="613"/>
      <c r="H4" s="613"/>
      <c r="I4" s="613"/>
      <c r="J4" s="613"/>
      <c r="K4" s="613"/>
      <c r="L4" s="613"/>
      <c r="M4" s="613"/>
    </row>
    <row r="5" spans="1:13" ht="30" customHeight="1">
      <c r="A5" s="616" t="s">
        <v>2028</v>
      </c>
      <c r="B5" s="616"/>
      <c r="C5" s="616"/>
      <c r="D5" s="616"/>
      <c r="E5" s="616"/>
      <c r="F5" s="616"/>
      <c r="G5" s="616"/>
      <c r="H5" s="616"/>
      <c r="I5" s="616"/>
      <c r="J5" s="616"/>
      <c r="K5" s="616"/>
      <c r="L5" s="616"/>
      <c r="M5" s="616"/>
    </row>
    <row r="6" spans="1:13">
      <c r="A6" s="181"/>
      <c r="B6" s="181"/>
      <c r="C6" s="209"/>
      <c r="D6" s="181"/>
      <c r="E6" s="181"/>
      <c r="F6" s="181"/>
      <c r="G6" s="181"/>
      <c r="H6" s="181"/>
      <c r="I6" s="181"/>
      <c r="J6" s="181"/>
      <c r="K6" s="181"/>
      <c r="L6" s="181"/>
      <c r="M6" s="181"/>
    </row>
    <row r="7" spans="1:13">
      <c r="A7" s="181"/>
      <c r="B7" s="181"/>
      <c r="C7" s="209"/>
      <c r="D7" s="181"/>
      <c r="E7" s="181"/>
      <c r="F7" s="181"/>
      <c r="G7" s="181"/>
      <c r="H7" s="181"/>
      <c r="I7" s="181"/>
      <c r="J7" s="181"/>
      <c r="K7" s="181"/>
      <c r="L7" s="181"/>
      <c r="M7" s="181"/>
    </row>
    <row r="8" spans="1:13" s="184" customFormat="1" ht="40.5">
      <c r="A8" s="141" t="s">
        <v>18</v>
      </c>
      <c r="B8" s="141" t="s">
        <v>33</v>
      </c>
      <c r="C8" s="141" t="s">
        <v>2029</v>
      </c>
      <c r="D8" s="141" t="s">
        <v>780</v>
      </c>
      <c r="E8" s="141" t="s">
        <v>781</v>
      </c>
      <c r="F8" s="141" t="s">
        <v>782</v>
      </c>
      <c r="G8" s="141" t="s">
        <v>783</v>
      </c>
      <c r="H8" s="142" t="s">
        <v>784</v>
      </c>
      <c r="I8" s="141" t="s">
        <v>785</v>
      </c>
      <c r="J8" s="141" t="s">
        <v>786</v>
      </c>
      <c r="K8" s="141" t="s">
        <v>787</v>
      </c>
      <c r="L8" s="141" t="s">
        <v>788</v>
      </c>
      <c r="M8" s="141" t="s">
        <v>789</v>
      </c>
    </row>
    <row r="9" spans="1:13" s="184" customFormat="1" ht="21" customHeight="1">
      <c r="A9" s="675" t="s">
        <v>2030</v>
      </c>
      <c r="B9" s="676"/>
      <c r="C9" s="204">
        <f>LARGE(D9:M9,1)</f>
        <v>46</v>
      </c>
      <c r="D9" s="205">
        <f t="shared" ref="D9:M9" si="0">D10+D19+D38+D53+D60+D70+D77+D85+D94+D103+D110+D120+D126+D132+D144+D153+D160+D166+D179+D187+D202+D210+D220+D226+D239+D248+D253</f>
        <v>39</v>
      </c>
      <c r="E9" s="205">
        <f t="shared" si="0"/>
        <v>33</v>
      </c>
      <c r="F9" s="205">
        <f t="shared" si="0"/>
        <v>43</v>
      </c>
      <c r="G9" s="205">
        <f t="shared" si="0"/>
        <v>32</v>
      </c>
      <c r="H9" s="205">
        <f t="shared" si="0"/>
        <v>45</v>
      </c>
      <c r="I9" s="205">
        <f t="shared" si="0"/>
        <v>45</v>
      </c>
      <c r="J9" s="205">
        <f t="shared" si="0"/>
        <v>42</v>
      </c>
      <c r="K9" s="205">
        <f t="shared" si="0"/>
        <v>45</v>
      </c>
      <c r="L9" s="205">
        <f t="shared" si="0"/>
        <v>44</v>
      </c>
      <c r="M9" s="205">
        <f t="shared" si="0"/>
        <v>46</v>
      </c>
    </row>
    <row r="10" spans="1:13" ht="12" customHeight="1">
      <c r="A10" s="673" t="s">
        <v>118</v>
      </c>
      <c r="B10" s="678" t="str">
        <f>[16]ORÇAMENTO!B15</f>
        <v>SERVIÇOS TÉCNICOS PROFISSIONAIS</v>
      </c>
      <c r="C10" s="673">
        <f>LARGE(D10:M11,1)</f>
        <v>5</v>
      </c>
      <c r="D10" s="673">
        <f>SUM(D12:D18)</f>
        <v>5</v>
      </c>
      <c r="E10" s="673">
        <f t="shared" ref="E10:M10" si="1">SUM(E12:E18)</f>
        <v>5</v>
      </c>
      <c r="F10" s="673">
        <f t="shared" si="1"/>
        <v>5</v>
      </c>
      <c r="G10" s="673">
        <f t="shared" si="1"/>
        <v>5</v>
      </c>
      <c r="H10" s="673">
        <f t="shared" si="1"/>
        <v>5</v>
      </c>
      <c r="I10" s="673">
        <f t="shared" si="1"/>
        <v>5</v>
      </c>
      <c r="J10" s="673">
        <f t="shared" si="1"/>
        <v>5</v>
      </c>
      <c r="K10" s="673">
        <f t="shared" si="1"/>
        <v>5</v>
      </c>
      <c r="L10" s="673">
        <f t="shared" si="1"/>
        <v>5</v>
      </c>
      <c r="M10" s="673">
        <f t="shared" si="1"/>
        <v>5</v>
      </c>
    </row>
    <row r="11" spans="1:13" ht="12.95" customHeight="1">
      <c r="A11" s="677"/>
      <c r="B11" s="679"/>
      <c r="C11" s="674"/>
      <c r="D11" s="674"/>
      <c r="E11" s="674"/>
      <c r="F11" s="674"/>
      <c r="G11" s="674"/>
      <c r="H11" s="674"/>
      <c r="I11" s="674"/>
      <c r="J11" s="674"/>
      <c r="K11" s="674"/>
      <c r="L11" s="674"/>
      <c r="M11" s="674"/>
    </row>
    <row r="12" spans="1:13" ht="18">
      <c r="A12" s="210"/>
      <c r="B12" s="211" t="s">
        <v>2031</v>
      </c>
      <c r="C12" s="212"/>
      <c r="D12" s="213">
        <v>1</v>
      </c>
      <c r="E12" s="213">
        <v>1</v>
      </c>
      <c r="F12" s="213">
        <v>1</v>
      </c>
      <c r="G12" s="213">
        <v>1</v>
      </c>
      <c r="H12" s="213">
        <v>1</v>
      </c>
      <c r="I12" s="213">
        <v>1</v>
      </c>
      <c r="J12" s="213">
        <v>1</v>
      </c>
      <c r="K12" s="213">
        <v>1</v>
      </c>
      <c r="L12" s="213">
        <v>1</v>
      </c>
      <c r="M12" s="213">
        <v>1</v>
      </c>
    </row>
    <row r="13" spans="1:13" ht="18">
      <c r="A13" s="210"/>
      <c r="B13" s="211" t="s">
        <v>2032</v>
      </c>
      <c r="C13" s="212"/>
      <c r="D13" s="213">
        <v>1</v>
      </c>
      <c r="E13" s="213">
        <v>1</v>
      </c>
      <c r="F13" s="213">
        <v>1</v>
      </c>
      <c r="G13" s="213">
        <v>1</v>
      </c>
      <c r="H13" s="213">
        <v>1</v>
      </c>
      <c r="I13" s="213">
        <v>1</v>
      </c>
      <c r="J13" s="213">
        <v>1</v>
      </c>
      <c r="K13" s="213">
        <v>1</v>
      </c>
      <c r="L13" s="213">
        <v>1</v>
      </c>
      <c r="M13" s="213">
        <v>1</v>
      </c>
    </row>
    <row r="14" spans="1:13" ht="18">
      <c r="A14" s="210"/>
      <c r="B14" s="211" t="s">
        <v>2033</v>
      </c>
      <c r="C14" s="212"/>
      <c r="D14" s="213">
        <v>1</v>
      </c>
      <c r="E14" s="213">
        <v>1</v>
      </c>
      <c r="F14" s="213">
        <v>1</v>
      </c>
      <c r="G14" s="213">
        <v>1</v>
      </c>
      <c r="H14" s="213">
        <v>1</v>
      </c>
      <c r="I14" s="213">
        <v>1</v>
      </c>
      <c r="J14" s="213">
        <v>1</v>
      </c>
      <c r="K14" s="213">
        <v>1</v>
      </c>
      <c r="L14" s="213">
        <v>1</v>
      </c>
      <c r="M14" s="213">
        <v>1</v>
      </c>
    </row>
    <row r="15" spans="1:13" ht="18">
      <c r="A15" s="210"/>
      <c r="B15" s="211" t="s">
        <v>2034</v>
      </c>
      <c r="C15" s="212"/>
      <c r="D15" s="213">
        <v>1</v>
      </c>
      <c r="E15" s="213">
        <v>1</v>
      </c>
      <c r="F15" s="213">
        <v>1</v>
      </c>
      <c r="G15" s="213">
        <v>1</v>
      </c>
      <c r="H15" s="213">
        <v>1</v>
      </c>
      <c r="I15" s="213">
        <v>1</v>
      </c>
      <c r="J15" s="213">
        <v>1</v>
      </c>
      <c r="K15" s="213">
        <v>1</v>
      </c>
      <c r="L15" s="213">
        <v>1</v>
      </c>
      <c r="M15" s="213">
        <v>1</v>
      </c>
    </row>
    <row r="16" spans="1:13" ht="18">
      <c r="A16" s="210"/>
      <c r="B16" s="211" t="s">
        <v>2035</v>
      </c>
      <c r="C16" s="212"/>
      <c r="D16" s="213">
        <v>1</v>
      </c>
      <c r="E16" s="213">
        <v>1</v>
      </c>
      <c r="F16" s="213">
        <v>1</v>
      </c>
      <c r="G16" s="213">
        <v>1</v>
      </c>
      <c r="H16" s="213">
        <v>1</v>
      </c>
      <c r="I16" s="213">
        <v>1</v>
      </c>
      <c r="J16" s="213">
        <v>1</v>
      </c>
      <c r="K16" s="213">
        <v>1</v>
      </c>
      <c r="L16" s="213">
        <v>1</v>
      </c>
      <c r="M16" s="213">
        <v>1</v>
      </c>
    </row>
    <row r="17" spans="1:13" ht="18">
      <c r="A17" s="210"/>
      <c r="B17" s="211"/>
      <c r="C17" s="212"/>
      <c r="D17" s="213"/>
      <c r="E17" s="213"/>
      <c r="F17" s="213"/>
      <c r="G17" s="213"/>
      <c r="H17" s="213"/>
      <c r="I17" s="213"/>
      <c r="J17" s="213"/>
      <c r="K17" s="213"/>
      <c r="L17" s="213"/>
      <c r="M17" s="213"/>
    </row>
    <row r="18" spans="1:13" ht="18">
      <c r="A18" s="210"/>
      <c r="B18" s="211"/>
      <c r="C18" s="212"/>
      <c r="D18" s="213"/>
      <c r="E18" s="213"/>
      <c r="F18" s="213"/>
      <c r="G18" s="213"/>
      <c r="H18" s="213"/>
      <c r="I18" s="213"/>
      <c r="J18" s="213"/>
      <c r="K18" s="213"/>
      <c r="L18" s="213"/>
      <c r="M18" s="213"/>
    </row>
    <row r="19" spans="1:13" ht="12" customHeight="1">
      <c r="A19" s="668" t="s">
        <v>124</v>
      </c>
      <c r="B19" s="670" t="str">
        <f>[16]ORÇAMENTO!B22</f>
        <v>SERVIÇOS PRELIMINARES</v>
      </c>
      <c r="C19" s="671">
        <f>LARGE(D19:M20,1)</f>
        <v>13</v>
      </c>
      <c r="D19" s="671">
        <f t="shared" ref="D19:M19" si="2">SUM(D21:D37)</f>
        <v>13</v>
      </c>
      <c r="E19" s="671">
        <f t="shared" si="2"/>
        <v>9</v>
      </c>
      <c r="F19" s="671">
        <f t="shared" si="2"/>
        <v>0</v>
      </c>
      <c r="G19" s="671">
        <f t="shared" si="2"/>
        <v>0</v>
      </c>
      <c r="H19" s="671">
        <f t="shared" si="2"/>
        <v>0</v>
      </c>
      <c r="I19" s="671">
        <f t="shared" si="2"/>
        <v>0</v>
      </c>
      <c r="J19" s="671">
        <f t="shared" si="2"/>
        <v>0</v>
      </c>
      <c r="K19" s="671">
        <f t="shared" si="2"/>
        <v>2</v>
      </c>
      <c r="L19" s="671">
        <f t="shared" si="2"/>
        <v>0</v>
      </c>
      <c r="M19" s="671">
        <f t="shared" si="2"/>
        <v>2</v>
      </c>
    </row>
    <row r="20" spans="1:13" ht="12.95" customHeight="1">
      <c r="A20" s="669"/>
      <c r="B20" s="670"/>
      <c r="C20" s="671"/>
      <c r="D20" s="671"/>
      <c r="E20" s="671"/>
      <c r="F20" s="671"/>
      <c r="G20" s="671"/>
      <c r="H20" s="671"/>
      <c r="I20" s="671"/>
      <c r="J20" s="671"/>
      <c r="K20" s="671"/>
      <c r="L20" s="671"/>
      <c r="M20" s="671"/>
    </row>
    <row r="21" spans="1:13" ht="18">
      <c r="A21" s="210"/>
      <c r="B21" s="211" t="s">
        <v>2036</v>
      </c>
      <c r="C21" s="212"/>
      <c r="D21" s="213">
        <v>1</v>
      </c>
      <c r="E21" s="213">
        <v>2</v>
      </c>
      <c r="F21" s="213"/>
      <c r="G21" s="213"/>
      <c r="H21" s="213"/>
      <c r="I21" s="213"/>
      <c r="J21" s="213"/>
      <c r="K21" s="213"/>
      <c r="L21" s="213"/>
      <c r="M21" s="213"/>
    </row>
    <row r="22" spans="1:13" ht="18">
      <c r="A22" s="210"/>
      <c r="B22" s="211" t="s">
        <v>2037</v>
      </c>
      <c r="C22" s="212"/>
      <c r="D22" s="213">
        <v>1</v>
      </c>
      <c r="E22" s="213"/>
      <c r="F22" s="213"/>
      <c r="G22" s="213"/>
      <c r="H22" s="213"/>
      <c r="I22" s="213"/>
      <c r="J22" s="213"/>
      <c r="K22" s="213"/>
      <c r="L22" s="213"/>
      <c r="M22" s="213"/>
    </row>
    <row r="23" spans="1:13" ht="18">
      <c r="A23" s="210"/>
      <c r="B23" s="211" t="s">
        <v>2038</v>
      </c>
      <c r="C23" s="212"/>
      <c r="D23" s="213">
        <v>1</v>
      </c>
      <c r="E23" s="213"/>
      <c r="F23" s="213"/>
      <c r="G23" s="213"/>
      <c r="H23" s="213"/>
      <c r="I23" s="213"/>
      <c r="J23" s="213"/>
      <c r="K23" s="213"/>
      <c r="L23" s="213"/>
      <c r="M23" s="213"/>
    </row>
    <row r="24" spans="1:13" ht="18">
      <c r="A24" s="210"/>
      <c r="B24" s="211" t="s">
        <v>2039</v>
      </c>
      <c r="C24" s="212"/>
      <c r="D24" s="213">
        <v>1</v>
      </c>
      <c r="E24" s="213">
        <v>2</v>
      </c>
      <c r="F24" s="213"/>
      <c r="G24" s="213"/>
      <c r="H24" s="213"/>
      <c r="I24" s="213"/>
      <c r="J24" s="213"/>
      <c r="K24" s="213"/>
      <c r="L24" s="213"/>
      <c r="M24" s="213"/>
    </row>
    <row r="25" spans="1:13" ht="18">
      <c r="A25" s="210"/>
      <c r="B25" s="211" t="s">
        <v>2040</v>
      </c>
      <c r="C25" s="212"/>
      <c r="D25" s="213">
        <v>1</v>
      </c>
      <c r="E25" s="213"/>
      <c r="F25" s="213"/>
      <c r="G25" s="213"/>
      <c r="H25" s="213"/>
      <c r="I25" s="213"/>
      <c r="J25" s="213"/>
      <c r="K25" s="213"/>
      <c r="L25" s="213"/>
      <c r="M25" s="213"/>
    </row>
    <row r="26" spans="1:13" ht="18">
      <c r="A26" s="210"/>
      <c r="B26" s="211" t="s">
        <v>2041</v>
      </c>
      <c r="C26" s="212"/>
      <c r="D26" s="213">
        <v>1</v>
      </c>
      <c r="E26" s="213"/>
      <c r="F26" s="213"/>
      <c r="G26" s="213"/>
      <c r="H26" s="213"/>
      <c r="I26" s="213"/>
      <c r="J26" s="213"/>
      <c r="K26" s="213"/>
      <c r="L26" s="213"/>
      <c r="M26" s="213">
        <v>1</v>
      </c>
    </row>
    <row r="27" spans="1:13" ht="18">
      <c r="A27" s="210"/>
      <c r="B27" s="211" t="s">
        <v>2042</v>
      </c>
      <c r="C27" s="212"/>
      <c r="D27" s="213">
        <v>1</v>
      </c>
      <c r="E27" s="213"/>
      <c r="F27" s="213"/>
      <c r="G27" s="213"/>
      <c r="H27" s="213"/>
      <c r="I27" s="213"/>
      <c r="J27" s="213"/>
      <c r="K27" s="213"/>
      <c r="L27" s="213"/>
      <c r="M27" s="213"/>
    </row>
    <row r="28" spans="1:13" ht="18">
      <c r="A28" s="210"/>
      <c r="B28" s="211" t="s">
        <v>2043</v>
      </c>
      <c r="C28" s="212"/>
      <c r="D28" s="213">
        <v>2</v>
      </c>
      <c r="E28" s="213">
        <v>2</v>
      </c>
      <c r="F28" s="213"/>
      <c r="G28" s="213"/>
      <c r="H28" s="213"/>
      <c r="I28" s="213"/>
      <c r="J28" s="213"/>
      <c r="K28" s="213">
        <v>1</v>
      </c>
      <c r="L28" s="213"/>
      <c r="M28" s="213">
        <v>1</v>
      </c>
    </row>
    <row r="29" spans="1:13" ht="18">
      <c r="A29" s="210"/>
      <c r="B29" s="211" t="s">
        <v>2044</v>
      </c>
      <c r="C29" s="212"/>
      <c r="D29" s="213">
        <v>1</v>
      </c>
      <c r="E29" s="213"/>
      <c r="F29" s="213"/>
      <c r="G29" s="213"/>
      <c r="H29" s="213"/>
      <c r="I29" s="213"/>
      <c r="J29" s="213"/>
      <c r="K29" s="213"/>
      <c r="L29" s="213"/>
      <c r="M29" s="213"/>
    </row>
    <row r="30" spans="1:13" ht="18">
      <c r="A30" s="210"/>
      <c r="B30" s="211" t="s">
        <v>2045</v>
      </c>
      <c r="C30" s="212"/>
      <c r="D30" s="213">
        <v>1</v>
      </c>
      <c r="E30" s="213"/>
      <c r="F30" s="213"/>
      <c r="G30" s="213"/>
      <c r="H30" s="213"/>
      <c r="I30" s="213"/>
      <c r="J30" s="213"/>
      <c r="K30" s="213"/>
      <c r="L30" s="213"/>
      <c r="M30" s="213"/>
    </row>
    <row r="31" spans="1:13" ht="18">
      <c r="A31" s="210"/>
      <c r="B31" s="211" t="s">
        <v>2496</v>
      </c>
      <c r="C31" s="212"/>
      <c r="D31" s="213"/>
      <c r="E31" s="213"/>
      <c r="F31" s="213"/>
      <c r="G31" s="213"/>
      <c r="H31" s="213"/>
      <c r="I31" s="213"/>
      <c r="J31" s="213"/>
      <c r="K31" s="213">
        <v>1</v>
      </c>
      <c r="L31" s="213"/>
      <c r="M31" s="213"/>
    </row>
    <row r="32" spans="1:13" ht="18">
      <c r="A32" s="210"/>
      <c r="B32" s="211" t="s">
        <v>2046</v>
      </c>
      <c r="C32" s="212"/>
      <c r="D32" s="213"/>
      <c r="E32" s="213">
        <v>1</v>
      </c>
      <c r="F32" s="213"/>
      <c r="G32" s="213"/>
      <c r="H32" s="213"/>
      <c r="I32" s="213"/>
      <c r="J32" s="213"/>
      <c r="K32" s="213"/>
      <c r="L32" s="213"/>
      <c r="M32" s="213"/>
    </row>
    <row r="33" spans="1:13" ht="18">
      <c r="A33" s="210"/>
      <c r="B33" s="211" t="s">
        <v>2047</v>
      </c>
      <c r="C33" s="212"/>
      <c r="D33" s="213"/>
      <c r="E33" s="213">
        <v>1</v>
      </c>
      <c r="F33" s="213"/>
      <c r="G33" s="213"/>
      <c r="H33" s="213"/>
      <c r="I33" s="213"/>
      <c r="J33" s="213"/>
      <c r="K33" s="213"/>
      <c r="L33" s="213"/>
      <c r="M33" s="213"/>
    </row>
    <row r="34" spans="1:13" ht="18">
      <c r="A34" s="210"/>
      <c r="B34" s="211" t="s">
        <v>2049</v>
      </c>
      <c r="C34" s="212"/>
      <c r="D34" s="213">
        <v>1</v>
      </c>
      <c r="E34" s="213">
        <v>1</v>
      </c>
      <c r="F34" s="213"/>
      <c r="G34" s="213"/>
      <c r="H34" s="213"/>
      <c r="I34" s="213"/>
      <c r="J34" s="213"/>
      <c r="K34" s="213"/>
      <c r="L34" s="213"/>
      <c r="M34" s="213"/>
    </row>
    <row r="35" spans="1:13" ht="18">
      <c r="A35" s="210"/>
      <c r="B35" s="211" t="s">
        <v>2062</v>
      </c>
      <c r="C35" s="212"/>
      <c r="D35" s="213">
        <v>1</v>
      </c>
      <c r="E35" s="213"/>
      <c r="F35" s="213"/>
      <c r="G35" s="213"/>
      <c r="H35" s="213"/>
      <c r="I35" s="213"/>
      <c r="J35" s="213"/>
      <c r="K35" s="213"/>
      <c r="L35" s="213"/>
      <c r="M35" s="213"/>
    </row>
    <row r="36" spans="1:13" ht="18">
      <c r="A36" s="210"/>
      <c r="B36" s="211"/>
      <c r="C36" s="212"/>
      <c r="D36" s="213"/>
      <c r="E36" s="213"/>
      <c r="F36" s="213"/>
      <c r="G36" s="213"/>
      <c r="H36" s="213"/>
      <c r="I36" s="213"/>
      <c r="J36" s="213"/>
      <c r="K36" s="213"/>
      <c r="L36" s="213"/>
      <c r="M36" s="213"/>
    </row>
    <row r="37" spans="1:13" ht="18">
      <c r="A37" s="210"/>
      <c r="B37" s="211"/>
      <c r="C37" s="212"/>
      <c r="D37" s="213"/>
      <c r="E37" s="213"/>
      <c r="F37" s="213"/>
      <c r="G37" s="213"/>
      <c r="H37" s="213"/>
      <c r="I37" s="213"/>
      <c r="J37" s="213"/>
      <c r="K37" s="213"/>
      <c r="L37" s="213"/>
      <c r="M37" s="213"/>
    </row>
    <row r="38" spans="1:13" ht="12" customHeight="1">
      <c r="A38" s="668" t="s">
        <v>192</v>
      </c>
      <c r="B38" s="670" t="s">
        <v>24</v>
      </c>
      <c r="C38" s="671">
        <f>LARGE(D38:M39,1)</f>
        <v>19</v>
      </c>
      <c r="D38" s="671">
        <f t="shared" ref="D38:M38" si="3">SUM(D40:D52)</f>
        <v>19</v>
      </c>
      <c r="E38" s="671">
        <f t="shared" si="3"/>
        <v>19</v>
      </c>
      <c r="F38" s="671">
        <f t="shared" si="3"/>
        <v>18</v>
      </c>
      <c r="G38" s="671">
        <f t="shared" si="3"/>
        <v>1</v>
      </c>
      <c r="H38" s="671">
        <f t="shared" si="3"/>
        <v>6</v>
      </c>
      <c r="I38" s="671">
        <f t="shared" si="3"/>
        <v>0</v>
      </c>
      <c r="J38" s="671">
        <f t="shared" si="3"/>
        <v>5</v>
      </c>
      <c r="K38" s="671">
        <f t="shared" si="3"/>
        <v>0</v>
      </c>
      <c r="L38" s="671">
        <f t="shared" si="3"/>
        <v>0</v>
      </c>
      <c r="M38" s="671">
        <f t="shared" si="3"/>
        <v>0</v>
      </c>
    </row>
    <row r="39" spans="1:13" ht="12.95" customHeight="1">
      <c r="A39" s="669"/>
      <c r="B39" s="670"/>
      <c r="C39" s="671"/>
      <c r="D39" s="671"/>
      <c r="E39" s="671"/>
      <c r="F39" s="671"/>
      <c r="G39" s="671"/>
      <c r="H39" s="671"/>
      <c r="I39" s="671"/>
      <c r="J39" s="671"/>
      <c r="K39" s="671"/>
      <c r="L39" s="671"/>
      <c r="M39" s="671"/>
    </row>
    <row r="40" spans="1:13" ht="18">
      <c r="A40" s="210"/>
      <c r="B40" s="211" t="s">
        <v>2043</v>
      </c>
      <c r="C40" s="212"/>
      <c r="D40" s="213">
        <v>3</v>
      </c>
      <c r="E40" s="213">
        <v>3</v>
      </c>
      <c r="F40" s="213">
        <v>3</v>
      </c>
      <c r="G40" s="213"/>
      <c r="H40" s="213">
        <v>1</v>
      </c>
      <c r="I40" s="213"/>
      <c r="J40" s="213">
        <v>1</v>
      </c>
      <c r="K40" s="213"/>
      <c r="L40" s="213"/>
      <c r="M40" s="213"/>
    </row>
    <row r="41" spans="1:13" ht="18">
      <c r="A41" s="210"/>
      <c r="B41" s="211" t="s">
        <v>2049</v>
      </c>
      <c r="C41" s="212"/>
      <c r="D41" s="213">
        <v>1</v>
      </c>
      <c r="E41" s="213">
        <v>1</v>
      </c>
      <c r="F41" s="213"/>
      <c r="G41" s="213"/>
      <c r="H41" s="213"/>
      <c r="I41" s="213"/>
      <c r="J41" s="213"/>
      <c r="K41" s="213"/>
      <c r="L41" s="213"/>
      <c r="M41" s="213"/>
    </row>
    <row r="42" spans="1:13" ht="18">
      <c r="A42" s="210"/>
      <c r="B42" s="211" t="s">
        <v>2050</v>
      </c>
      <c r="C42" s="212"/>
      <c r="D42" s="213">
        <v>3</v>
      </c>
      <c r="E42" s="213">
        <v>3</v>
      </c>
      <c r="F42" s="213">
        <v>3</v>
      </c>
      <c r="G42" s="213"/>
      <c r="H42" s="213"/>
      <c r="I42" s="213"/>
      <c r="J42" s="213"/>
      <c r="K42" s="213"/>
      <c r="L42" s="213"/>
      <c r="M42" s="213"/>
    </row>
    <row r="43" spans="1:13" ht="18">
      <c r="A43" s="210"/>
      <c r="B43" s="211" t="s">
        <v>2051</v>
      </c>
      <c r="C43" s="212"/>
      <c r="D43" s="213">
        <v>2</v>
      </c>
      <c r="E43" s="213">
        <v>2</v>
      </c>
      <c r="F43" s="213">
        <v>2</v>
      </c>
      <c r="G43" s="213"/>
      <c r="H43" s="213"/>
      <c r="I43" s="213"/>
      <c r="J43" s="213"/>
      <c r="K43" s="213"/>
      <c r="L43" s="213"/>
      <c r="M43" s="213"/>
    </row>
    <row r="44" spans="1:13" ht="18">
      <c r="A44" s="210"/>
      <c r="B44" s="211" t="s">
        <v>2041</v>
      </c>
      <c r="C44" s="212"/>
      <c r="D44" s="213">
        <v>2</v>
      </c>
      <c r="E44" s="213">
        <v>2</v>
      </c>
      <c r="F44" s="213">
        <v>2</v>
      </c>
      <c r="G44" s="213"/>
      <c r="H44" s="213">
        <v>1</v>
      </c>
      <c r="I44" s="213"/>
      <c r="J44" s="213">
        <v>1</v>
      </c>
      <c r="K44" s="213"/>
      <c r="L44" s="213"/>
      <c r="M44" s="213"/>
    </row>
    <row r="45" spans="1:13" ht="18">
      <c r="A45" s="210"/>
      <c r="B45" s="211" t="s">
        <v>2036</v>
      </c>
      <c r="C45" s="212"/>
      <c r="D45" s="213">
        <v>3</v>
      </c>
      <c r="E45" s="213">
        <v>3</v>
      </c>
      <c r="F45" s="213">
        <v>3</v>
      </c>
      <c r="G45" s="213"/>
      <c r="H45" s="213"/>
      <c r="I45" s="213"/>
      <c r="J45" s="213"/>
      <c r="K45" s="213"/>
      <c r="L45" s="213"/>
      <c r="M45" s="213"/>
    </row>
    <row r="46" spans="1:13" ht="18">
      <c r="A46" s="210"/>
      <c r="B46" s="211" t="s">
        <v>2039</v>
      </c>
      <c r="C46" s="212"/>
      <c r="D46" s="213">
        <v>2</v>
      </c>
      <c r="E46" s="213">
        <v>2</v>
      </c>
      <c r="F46" s="213">
        <v>2</v>
      </c>
      <c r="G46" s="213"/>
      <c r="H46" s="213"/>
      <c r="I46" s="213"/>
      <c r="J46" s="213"/>
      <c r="K46" s="213"/>
      <c r="L46" s="213"/>
      <c r="M46" s="213"/>
    </row>
    <row r="47" spans="1:13" ht="18">
      <c r="A47" s="210"/>
      <c r="B47" s="211" t="s">
        <v>2052</v>
      </c>
      <c r="C47" s="212"/>
      <c r="D47" s="213">
        <v>1</v>
      </c>
      <c r="E47" s="213">
        <v>1</v>
      </c>
      <c r="F47" s="213">
        <v>1</v>
      </c>
      <c r="G47" s="213"/>
      <c r="H47" s="213">
        <v>1</v>
      </c>
      <c r="I47" s="213"/>
      <c r="J47" s="213">
        <v>1</v>
      </c>
      <c r="K47" s="213"/>
      <c r="L47" s="213"/>
      <c r="M47" s="213"/>
    </row>
    <row r="48" spans="1:13" ht="18">
      <c r="A48" s="210"/>
      <c r="B48" s="211" t="s">
        <v>2053</v>
      </c>
      <c r="C48" s="212"/>
      <c r="D48" s="213">
        <v>1</v>
      </c>
      <c r="E48" s="213">
        <v>1</v>
      </c>
      <c r="F48" s="213">
        <v>1</v>
      </c>
      <c r="G48" s="213"/>
      <c r="H48" s="213">
        <v>1</v>
      </c>
      <c r="I48" s="213"/>
      <c r="J48" s="213">
        <v>1</v>
      </c>
      <c r="K48" s="213"/>
      <c r="L48" s="213"/>
      <c r="M48" s="213"/>
    </row>
    <row r="49" spans="1:13" ht="18">
      <c r="A49" s="210"/>
      <c r="B49" s="211" t="s">
        <v>2042</v>
      </c>
      <c r="C49" s="212"/>
      <c r="D49" s="213">
        <v>1</v>
      </c>
      <c r="E49" s="213">
        <v>1</v>
      </c>
      <c r="F49" s="213">
        <v>1</v>
      </c>
      <c r="G49" s="213">
        <v>1</v>
      </c>
      <c r="H49" s="213">
        <v>1</v>
      </c>
      <c r="I49" s="213"/>
      <c r="J49" s="213"/>
      <c r="K49" s="213"/>
      <c r="L49" s="213"/>
      <c r="M49" s="213"/>
    </row>
    <row r="50" spans="1:13" ht="18">
      <c r="A50" s="210"/>
      <c r="B50" s="211" t="s">
        <v>2496</v>
      </c>
      <c r="C50" s="212"/>
      <c r="D50" s="213"/>
      <c r="E50" s="213"/>
      <c r="F50" s="213"/>
      <c r="G50" s="213"/>
      <c r="H50" s="213">
        <v>1</v>
      </c>
      <c r="I50" s="213"/>
      <c r="J50" s="213">
        <v>1</v>
      </c>
      <c r="K50" s="213"/>
      <c r="L50" s="213"/>
      <c r="M50" s="213"/>
    </row>
    <row r="51" spans="1:13" ht="18">
      <c r="A51" s="210"/>
      <c r="B51" s="211"/>
      <c r="C51" s="212"/>
      <c r="D51" s="213"/>
      <c r="E51" s="213"/>
      <c r="F51" s="213"/>
      <c r="G51" s="213"/>
      <c r="H51" s="213"/>
      <c r="I51" s="213"/>
      <c r="J51" s="213"/>
      <c r="K51" s="213"/>
      <c r="L51" s="213"/>
      <c r="M51" s="213"/>
    </row>
    <row r="52" spans="1:13" ht="18">
      <c r="A52" s="210"/>
      <c r="B52" s="211"/>
      <c r="C52" s="212"/>
      <c r="D52" s="213"/>
      <c r="E52" s="213"/>
      <c r="F52" s="213"/>
      <c r="G52" s="213"/>
      <c r="H52" s="213"/>
      <c r="I52" s="213"/>
      <c r="J52" s="213"/>
      <c r="K52" s="213"/>
      <c r="L52" s="213"/>
      <c r="M52" s="213"/>
    </row>
    <row r="53" spans="1:13" ht="12" customHeight="1">
      <c r="A53" s="668" t="s">
        <v>252</v>
      </c>
      <c r="B53" s="670" t="s">
        <v>253</v>
      </c>
      <c r="C53" s="671">
        <f>LARGE(D53:M54,1)</f>
        <v>7</v>
      </c>
      <c r="D53" s="671">
        <f>SUM(D55:D59)</f>
        <v>0</v>
      </c>
      <c r="E53" s="671">
        <f t="shared" ref="E53:M53" si="4">SUM(E55:E59)</f>
        <v>0</v>
      </c>
      <c r="F53" s="671">
        <f t="shared" si="4"/>
        <v>0</v>
      </c>
      <c r="G53" s="671">
        <f t="shared" si="4"/>
        <v>7</v>
      </c>
      <c r="H53" s="671">
        <f t="shared" si="4"/>
        <v>5</v>
      </c>
      <c r="I53" s="671">
        <f t="shared" si="4"/>
        <v>3</v>
      </c>
      <c r="J53" s="671">
        <f t="shared" si="4"/>
        <v>0</v>
      </c>
      <c r="K53" s="671">
        <f t="shared" si="4"/>
        <v>0</v>
      </c>
      <c r="L53" s="671">
        <f t="shared" si="4"/>
        <v>0</v>
      </c>
      <c r="M53" s="671">
        <f t="shared" si="4"/>
        <v>0</v>
      </c>
    </row>
    <row r="54" spans="1:13" ht="12.95" customHeight="1">
      <c r="A54" s="669"/>
      <c r="B54" s="670"/>
      <c r="C54" s="671"/>
      <c r="D54" s="671"/>
      <c r="E54" s="671"/>
      <c r="F54" s="671"/>
      <c r="G54" s="671"/>
      <c r="H54" s="671"/>
      <c r="I54" s="671"/>
      <c r="J54" s="671"/>
      <c r="K54" s="671"/>
      <c r="L54" s="671"/>
      <c r="M54" s="671"/>
    </row>
    <row r="55" spans="1:13" ht="18">
      <c r="A55" s="210"/>
      <c r="B55" s="211" t="s">
        <v>2041</v>
      </c>
      <c r="C55" s="212"/>
      <c r="D55" s="213" t="s">
        <v>8</v>
      </c>
      <c r="E55" s="213" t="s">
        <v>8</v>
      </c>
      <c r="F55" s="213" t="s">
        <v>8</v>
      </c>
      <c r="G55" s="213">
        <v>3</v>
      </c>
      <c r="H55" s="213">
        <v>2</v>
      </c>
      <c r="I55" s="213">
        <v>1</v>
      </c>
      <c r="J55" s="213"/>
      <c r="K55" s="213"/>
      <c r="L55" s="213"/>
      <c r="M55" s="213"/>
    </row>
    <row r="56" spans="1:13" ht="18">
      <c r="A56" s="210"/>
      <c r="B56" s="211" t="s">
        <v>2043</v>
      </c>
      <c r="C56" s="212"/>
      <c r="D56" s="213" t="s">
        <v>8</v>
      </c>
      <c r="E56" s="213" t="s">
        <v>8</v>
      </c>
      <c r="F56" s="213" t="s">
        <v>8</v>
      </c>
      <c r="G56" s="213">
        <v>3</v>
      </c>
      <c r="H56" s="213">
        <v>2</v>
      </c>
      <c r="I56" s="213">
        <v>1</v>
      </c>
      <c r="J56" s="213"/>
      <c r="K56" s="213"/>
      <c r="L56" s="213"/>
      <c r="M56" s="213"/>
    </row>
    <row r="57" spans="1:13" ht="18">
      <c r="A57" s="210"/>
      <c r="B57" s="211" t="s">
        <v>2054</v>
      </c>
      <c r="C57" s="212"/>
      <c r="D57" s="213" t="s">
        <v>8</v>
      </c>
      <c r="E57" s="213" t="s">
        <v>8</v>
      </c>
      <c r="F57" s="213" t="s">
        <v>8</v>
      </c>
      <c r="G57" s="213">
        <v>1</v>
      </c>
      <c r="H57" s="213">
        <v>1</v>
      </c>
      <c r="I57" s="213">
        <v>1</v>
      </c>
      <c r="J57" s="213"/>
      <c r="K57" s="213"/>
      <c r="L57" s="213"/>
      <c r="M57" s="213"/>
    </row>
    <row r="58" spans="1:13" ht="18">
      <c r="A58" s="210"/>
      <c r="B58" s="211"/>
      <c r="C58" s="212"/>
      <c r="D58" s="213" t="s">
        <v>8</v>
      </c>
      <c r="E58" s="213"/>
      <c r="F58" s="213"/>
      <c r="G58" s="213"/>
      <c r="H58" s="213"/>
      <c r="I58" s="213"/>
      <c r="J58" s="213"/>
      <c r="K58" s="213"/>
      <c r="L58" s="213"/>
      <c r="M58" s="213"/>
    </row>
    <row r="59" spans="1:13" ht="18">
      <c r="A59" s="210"/>
      <c r="B59" s="211"/>
      <c r="C59" s="212"/>
      <c r="D59" s="213" t="s">
        <v>8</v>
      </c>
      <c r="E59" s="213"/>
      <c r="F59" s="213"/>
      <c r="G59" s="213"/>
      <c r="H59" s="213"/>
      <c r="I59" s="213"/>
      <c r="J59" s="213"/>
      <c r="K59" s="213"/>
      <c r="L59" s="213"/>
      <c r="M59" s="213"/>
    </row>
    <row r="60" spans="1:13" ht="12" customHeight="1">
      <c r="A60" s="668" t="s">
        <v>264</v>
      </c>
      <c r="B60" s="670" t="s">
        <v>265</v>
      </c>
      <c r="C60" s="671">
        <f>LARGE(D60:M61,1)</f>
        <v>7</v>
      </c>
      <c r="D60" s="672">
        <f t="shared" ref="D60:M60" si="5">SUM(D62:D69)</f>
        <v>0</v>
      </c>
      <c r="E60" s="672">
        <f t="shared" si="5"/>
        <v>0</v>
      </c>
      <c r="F60" s="672">
        <f t="shared" si="5"/>
        <v>0</v>
      </c>
      <c r="G60" s="672">
        <f t="shared" si="5"/>
        <v>0</v>
      </c>
      <c r="H60" s="672">
        <f t="shared" si="5"/>
        <v>7</v>
      </c>
      <c r="I60" s="672">
        <f t="shared" si="5"/>
        <v>7</v>
      </c>
      <c r="J60" s="672">
        <f t="shared" si="5"/>
        <v>0</v>
      </c>
      <c r="K60" s="672">
        <f t="shared" si="5"/>
        <v>0</v>
      </c>
      <c r="L60" s="672">
        <f t="shared" si="5"/>
        <v>0</v>
      </c>
      <c r="M60" s="672">
        <f t="shared" si="5"/>
        <v>0</v>
      </c>
    </row>
    <row r="61" spans="1:13" ht="12.95" customHeight="1">
      <c r="A61" s="669"/>
      <c r="B61" s="670"/>
      <c r="C61" s="671"/>
      <c r="D61" s="672"/>
      <c r="E61" s="672"/>
      <c r="F61" s="672"/>
      <c r="G61" s="672"/>
      <c r="H61" s="672"/>
      <c r="I61" s="672"/>
      <c r="J61" s="672"/>
      <c r="K61" s="672"/>
      <c r="L61" s="672"/>
      <c r="M61" s="672"/>
    </row>
    <row r="62" spans="1:13" ht="18">
      <c r="A62" s="210"/>
      <c r="B62" s="211" t="s">
        <v>2044</v>
      </c>
      <c r="C62" s="212"/>
      <c r="D62" s="213" t="s">
        <v>8</v>
      </c>
      <c r="E62" s="213" t="s">
        <v>8</v>
      </c>
      <c r="F62" s="213" t="s">
        <v>8</v>
      </c>
      <c r="G62" s="213" t="s">
        <v>8</v>
      </c>
      <c r="H62" s="213">
        <v>1</v>
      </c>
      <c r="I62" s="213">
        <v>1</v>
      </c>
      <c r="J62" s="213"/>
      <c r="K62" s="213" t="s">
        <v>8</v>
      </c>
      <c r="L62" s="213" t="s">
        <v>8</v>
      </c>
      <c r="M62" s="213"/>
    </row>
    <row r="63" spans="1:13" ht="18">
      <c r="A63" s="210"/>
      <c r="B63" s="211" t="s">
        <v>2055</v>
      </c>
      <c r="C63" s="212"/>
      <c r="D63" s="213" t="s">
        <v>8</v>
      </c>
      <c r="E63" s="213" t="s">
        <v>8</v>
      </c>
      <c r="F63" s="213" t="s">
        <v>8</v>
      </c>
      <c r="G63" s="213" t="s">
        <v>8</v>
      </c>
      <c r="H63" s="213">
        <v>1</v>
      </c>
      <c r="I63" s="213">
        <v>1</v>
      </c>
      <c r="J63" s="213"/>
      <c r="K63" s="213" t="s">
        <v>8</v>
      </c>
      <c r="L63" s="213" t="s">
        <v>8</v>
      </c>
      <c r="M63" s="213"/>
    </row>
    <row r="64" spans="1:13" ht="18">
      <c r="A64" s="210"/>
      <c r="B64" s="211" t="s">
        <v>2041</v>
      </c>
      <c r="C64" s="212"/>
      <c r="D64" s="213" t="s">
        <v>8</v>
      </c>
      <c r="E64" s="213" t="s">
        <v>8</v>
      </c>
      <c r="F64" s="213" t="s">
        <v>8</v>
      </c>
      <c r="G64" s="213" t="s">
        <v>8</v>
      </c>
      <c r="H64" s="213">
        <v>2</v>
      </c>
      <c r="I64" s="213">
        <v>2</v>
      </c>
      <c r="J64" s="213"/>
      <c r="K64" s="213" t="s">
        <v>8</v>
      </c>
      <c r="L64" s="213" t="s">
        <v>8</v>
      </c>
      <c r="M64" s="213"/>
    </row>
    <row r="65" spans="1:13" ht="18">
      <c r="A65" s="210"/>
      <c r="B65" s="211" t="s">
        <v>2056</v>
      </c>
      <c r="C65" s="212"/>
      <c r="D65" s="213" t="s">
        <v>8</v>
      </c>
      <c r="E65" s="213" t="s">
        <v>8</v>
      </c>
      <c r="F65" s="213" t="s">
        <v>8</v>
      </c>
      <c r="G65" s="213" t="s">
        <v>8</v>
      </c>
      <c r="H65" s="213">
        <v>1</v>
      </c>
      <c r="I65" s="213">
        <v>1</v>
      </c>
      <c r="J65" s="213"/>
      <c r="K65" s="213" t="s">
        <v>8</v>
      </c>
      <c r="L65" s="213" t="s">
        <v>8</v>
      </c>
      <c r="M65" s="213"/>
    </row>
    <row r="66" spans="1:13" ht="18">
      <c r="A66" s="210"/>
      <c r="B66" s="211" t="s">
        <v>2039</v>
      </c>
      <c r="C66" s="212"/>
      <c r="D66" s="213" t="s">
        <v>8</v>
      </c>
      <c r="E66" s="213" t="s">
        <v>8</v>
      </c>
      <c r="F66" s="213" t="s">
        <v>8</v>
      </c>
      <c r="G66" s="213" t="s">
        <v>8</v>
      </c>
      <c r="H66" s="213">
        <v>1</v>
      </c>
      <c r="I66" s="213">
        <v>1</v>
      </c>
      <c r="J66" s="213"/>
      <c r="K66" s="213" t="s">
        <v>8</v>
      </c>
      <c r="L66" s="213" t="s">
        <v>8</v>
      </c>
      <c r="M66" s="213"/>
    </row>
    <row r="67" spans="1:13" ht="18">
      <c r="A67" s="210"/>
      <c r="B67" s="211" t="s">
        <v>2048</v>
      </c>
      <c r="C67" s="212"/>
      <c r="D67" s="213" t="s">
        <v>8</v>
      </c>
      <c r="E67" s="213" t="s">
        <v>8</v>
      </c>
      <c r="F67" s="213" t="s">
        <v>8</v>
      </c>
      <c r="G67" s="213" t="s">
        <v>8</v>
      </c>
      <c r="H67" s="213">
        <v>1</v>
      </c>
      <c r="I67" s="213">
        <v>1</v>
      </c>
      <c r="J67" s="213"/>
      <c r="K67" s="213"/>
      <c r="L67" s="213"/>
      <c r="M67" s="213"/>
    </row>
    <row r="68" spans="1:13" ht="18">
      <c r="A68" s="210"/>
      <c r="B68" s="211"/>
      <c r="C68" s="212"/>
      <c r="D68" s="213" t="s">
        <v>8</v>
      </c>
      <c r="E68" s="213" t="s">
        <v>8</v>
      </c>
      <c r="F68" s="213" t="s">
        <v>8</v>
      </c>
      <c r="G68" s="213" t="s">
        <v>8</v>
      </c>
      <c r="H68" s="213" t="s">
        <v>8</v>
      </c>
      <c r="I68" s="213" t="s">
        <v>8</v>
      </c>
      <c r="J68" s="213" t="s">
        <v>8</v>
      </c>
      <c r="K68" s="213" t="s">
        <v>8</v>
      </c>
      <c r="L68" s="213"/>
      <c r="M68" s="213"/>
    </row>
    <row r="69" spans="1:13" ht="18">
      <c r="A69" s="210"/>
      <c r="B69" s="211"/>
      <c r="C69" s="212"/>
      <c r="D69" s="213" t="s">
        <v>8</v>
      </c>
      <c r="E69" s="213" t="s">
        <v>8</v>
      </c>
      <c r="F69" s="213" t="s">
        <v>8</v>
      </c>
      <c r="G69" s="213" t="s">
        <v>8</v>
      </c>
      <c r="H69" s="213" t="s">
        <v>8</v>
      </c>
      <c r="I69" s="213" t="s">
        <v>8</v>
      </c>
      <c r="J69" s="213" t="s">
        <v>8</v>
      </c>
      <c r="K69" s="213" t="s">
        <v>8</v>
      </c>
      <c r="L69" s="213"/>
      <c r="M69" s="213"/>
    </row>
    <row r="70" spans="1:13" ht="12" customHeight="1">
      <c r="A70" s="668" t="s">
        <v>277</v>
      </c>
      <c r="B70" s="670" t="s">
        <v>1084</v>
      </c>
      <c r="C70" s="671">
        <f>LARGE(D70:M71,1)</f>
        <v>3</v>
      </c>
      <c r="D70" s="671">
        <f>SUM(D72:D76)</f>
        <v>0</v>
      </c>
      <c r="E70" s="671">
        <f t="shared" ref="E70:M70" si="6">SUM(E72:E76)</f>
        <v>0</v>
      </c>
      <c r="F70" s="671">
        <f t="shared" si="6"/>
        <v>0</v>
      </c>
      <c r="G70" s="671">
        <f t="shared" si="6"/>
        <v>0</v>
      </c>
      <c r="H70" s="671">
        <f t="shared" si="6"/>
        <v>3</v>
      </c>
      <c r="I70" s="671">
        <f t="shared" si="6"/>
        <v>3</v>
      </c>
      <c r="J70" s="671">
        <f t="shared" si="6"/>
        <v>0</v>
      </c>
      <c r="K70" s="671">
        <f t="shared" si="6"/>
        <v>0</v>
      </c>
      <c r="L70" s="671">
        <f t="shared" si="6"/>
        <v>0</v>
      </c>
      <c r="M70" s="671">
        <f t="shared" si="6"/>
        <v>0</v>
      </c>
    </row>
    <row r="71" spans="1:13" ht="12.95" customHeight="1">
      <c r="A71" s="669"/>
      <c r="B71" s="670"/>
      <c r="C71" s="671"/>
      <c r="D71" s="671"/>
      <c r="E71" s="671"/>
      <c r="F71" s="671"/>
      <c r="G71" s="671"/>
      <c r="H71" s="671"/>
      <c r="I71" s="671"/>
      <c r="J71" s="671"/>
      <c r="K71" s="671"/>
      <c r="L71" s="671"/>
      <c r="M71" s="671"/>
    </row>
    <row r="72" spans="1:13" ht="18">
      <c r="A72" s="210"/>
      <c r="B72" s="211" t="s">
        <v>2041</v>
      </c>
      <c r="C72" s="212"/>
      <c r="D72" s="213" t="s">
        <v>8</v>
      </c>
      <c r="E72" s="213" t="s">
        <v>8</v>
      </c>
      <c r="F72" s="213" t="s">
        <v>8</v>
      </c>
      <c r="G72" s="213" t="s">
        <v>8</v>
      </c>
      <c r="H72" s="213">
        <v>1</v>
      </c>
      <c r="I72" s="213">
        <v>1</v>
      </c>
      <c r="J72" s="213"/>
      <c r="K72" s="213" t="s">
        <v>8</v>
      </c>
      <c r="L72" s="213" t="s">
        <v>8</v>
      </c>
      <c r="M72" s="213"/>
    </row>
    <row r="73" spans="1:13" ht="18">
      <c r="A73" s="210"/>
      <c r="B73" s="211" t="s">
        <v>2057</v>
      </c>
      <c r="C73" s="212"/>
      <c r="D73" s="213" t="s">
        <v>8</v>
      </c>
      <c r="E73" s="213" t="s">
        <v>8</v>
      </c>
      <c r="F73" s="213" t="s">
        <v>8</v>
      </c>
      <c r="G73" s="213" t="s">
        <v>8</v>
      </c>
      <c r="H73" s="213">
        <v>1</v>
      </c>
      <c r="I73" s="213">
        <v>1</v>
      </c>
      <c r="J73" s="213"/>
      <c r="K73" s="213" t="s">
        <v>8</v>
      </c>
      <c r="L73" s="213" t="s">
        <v>8</v>
      </c>
      <c r="M73" s="213"/>
    </row>
    <row r="74" spans="1:13" ht="18">
      <c r="A74" s="210"/>
      <c r="B74" s="211" t="s">
        <v>2056</v>
      </c>
      <c r="C74" s="212"/>
      <c r="D74" s="213" t="s">
        <v>8</v>
      </c>
      <c r="E74" s="213" t="s">
        <v>8</v>
      </c>
      <c r="F74" s="213" t="s">
        <v>8</v>
      </c>
      <c r="G74" s="213" t="s">
        <v>8</v>
      </c>
      <c r="H74" s="213">
        <v>1</v>
      </c>
      <c r="I74" s="213">
        <v>1</v>
      </c>
      <c r="J74" s="213"/>
      <c r="K74" s="213" t="s">
        <v>8</v>
      </c>
      <c r="L74" s="213" t="s">
        <v>8</v>
      </c>
      <c r="M74" s="213"/>
    </row>
    <row r="75" spans="1:13" ht="18">
      <c r="A75" s="210"/>
      <c r="B75" s="211"/>
      <c r="C75" s="212"/>
      <c r="D75" s="213" t="s">
        <v>8</v>
      </c>
      <c r="E75" s="213" t="s">
        <v>8</v>
      </c>
      <c r="F75" s="213" t="s">
        <v>8</v>
      </c>
      <c r="G75" s="213" t="s">
        <v>8</v>
      </c>
      <c r="H75" s="213" t="s">
        <v>8</v>
      </c>
      <c r="I75" s="213" t="s">
        <v>8</v>
      </c>
      <c r="J75" s="213" t="s">
        <v>8</v>
      </c>
      <c r="K75" s="213" t="s">
        <v>8</v>
      </c>
      <c r="L75" s="213"/>
      <c r="M75" s="213"/>
    </row>
    <row r="76" spans="1:13" ht="18">
      <c r="A76" s="210"/>
      <c r="B76" s="211"/>
      <c r="C76" s="212"/>
      <c r="D76" s="213" t="s">
        <v>8</v>
      </c>
      <c r="E76" s="213" t="s">
        <v>8</v>
      </c>
      <c r="F76" s="213" t="s">
        <v>8</v>
      </c>
      <c r="G76" s="213" t="s">
        <v>8</v>
      </c>
      <c r="H76" s="213" t="s">
        <v>8</v>
      </c>
      <c r="I76" s="213" t="s">
        <v>8</v>
      </c>
      <c r="J76" s="213" t="s">
        <v>8</v>
      </c>
      <c r="K76" s="213" t="s">
        <v>8</v>
      </c>
      <c r="L76" s="213"/>
      <c r="M76" s="213"/>
    </row>
    <row r="77" spans="1:13" ht="12" customHeight="1">
      <c r="A77" s="668" t="s">
        <v>279</v>
      </c>
      <c r="B77" s="670" t="s">
        <v>250</v>
      </c>
      <c r="C77" s="671">
        <f>LARGE(D77:M78,1)</f>
        <v>4</v>
      </c>
      <c r="D77" s="671">
        <f t="shared" ref="D77:M77" si="7">SUM(D79:D84)</f>
        <v>0</v>
      </c>
      <c r="E77" s="671">
        <f t="shared" si="7"/>
        <v>0</v>
      </c>
      <c r="F77" s="671">
        <f t="shared" si="7"/>
        <v>0</v>
      </c>
      <c r="G77" s="671">
        <f t="shared" si="7"/>
        <v>0</v>
      </c>
      <c r="H77" s="671">
        <f t="shared" si="7"/>
        <v>0</v>
      </c>
      <c r="I77" s="671">
        <f t="shared" si="7"/>
        <v>0</v>
      </c>
      <c r="J77" s="671">
        <f t="shared" si="7"/>
        <v>4</v>
      </c>
      <c r="K77" s="671">
        <f t="shared" si="7"/>
        <v>0</v>
      </c>
      <c r="L77" s="671">
        <f t="shared" si="7"/>
        <v>0</v>
      </c>
      <c r="M77" s="671">
        <f t="shared" si="7"/>
        <v>0</v>
      </c>
    </row>
    <row r="78" spans="1:13" ht="12.95" customHeight="1">
      <c r="A78" s="669"/>
      <c r="B78" s="670"/>
      <c r="C78" s="671"/>
      <c r="D78" s="671"/>
      <c r="E78" s="671"/>
      <c r="F78" s="671"/>
      <c r="G78" s="671"/>
      <c r="H78" s="671"/>
      <c r="I78" s="671"/>
      <c r="J78" s="671"/>
      <c r="K78" s="671"/>
      <c r="L78" s="671"/>
      <c r="M78" s="671"/>
    </row>
    <row r="79" spans="1:13" ht="18">
      <c r="A79" s="210"/>
      <c r="B79" s="211" t="s">
        <v>2058</v>
      </c>
      <c r="C79" s="212"/>
      <c r="D79" s="213" t="s">
        <v>8</v>
      </c>
      <c r="E79" s="213" t="s">
        <v>8</v>
      </c>
      <c r="F79" s="213" t="s">
        <v>8</v>
      </c>
      <c r="G79" s="213" t="s">
        <v>8</v>
      </c>
      <c r="H79" s="213" t="s">
        <v>8</v>
      </c>
      <c r="I79" s="213" t="s">
        <v>8</v>
      </c>
      <c r="J79" s="213">
        <v>1</v>
      </c>
      <c r="K79" s="213"/>
      <c r="L79" s="213" t="s">
        <v>8</v>
      </c>
      <c r="M79" s="213"/>
    </row>
    <row r="80" spans="1:13" ht="18">
      <c r="A80" s="210"/>
      <c r="B80" s="211" t="s">
        <v>2059</v>
      </c>
      <c r="C80" s="212"/>
      <c r="D80" s="213" t="s">
        <v>8</v>
      </c>
      <c r="E80" s="213" t="s">
        <v>8</v>
      </c>
      <c r="F80" s="213" t="s">
        <v>8</v>
      </c>
      <c r="G80" s="213" t="s">
        <v>8</v>
      </c>
      <c r="H80" s="213" t="s">
        <v>8</v>
      </c>
      <c r="I80" s="213" t="s">
        <v>8</v>
      </c>
      <c r="J80" s="213">
        <v>1</v>
      </c>
      <c r="K80" s="213"/>
      <c r="L80" s="213" t="s">
        <v>8</v>
      </c>
      <c r="M80" s="213"/>
    </row>
    <row r="81" spans="1:13" ht="18">
      <c r="A81" s="210"/>
      <c r="B81" s="211" t="s">
        <v>2043</v>
      </c>
      <c r="C81" s="212"/>
      <c r="D81" s="213" t="s">
        <v>8</v>
      </c>
      <c r="E81" s="213" t="s">
        <v>8</v>
      </c>
      <c r="F81" s="213" t="s">
        <v>8</v>
      </c>
      <c r="G81" s="213" t="s">
        <v>8</v>
      </c>
      <c r="H81" s="213" t="s">
        <v>8</v>
      </c>
      <c r="I81" s="213" t="s">
        <v>8</v>
      </c>
      <c r="J81" s="213">
        <v>1</v>
      </c>
      <c r="K81" s="213"/>
      <c r="L81" s="213" t="s">
        <v>8</v>
      </c>
      <c r="M81" s="213"/>
    </row>
    <row r="82" spans="1:13" ht="18">
      <c r="A82" s="210"/>
      <c r="B82" s="211" t="s">
        <v>2056</v>
      </c>
      <c r="C82" s="212"/>
      <c r="D82" s="213"/>
      <c r="E82" s="213"/>
      <c r="F82" s="213"/>
      <c r="G82" s="213"/>
      <c r="H82" s="213"/>
      <c r="I82" s="213"/>
      <c r="J82" s="213">
        <v>1</v>
      </c>
      <c r="K82" s="213"/>
      <c r="L82" s="213"/>
      <c r="M82" s="213"/>
    </row>
    <row r="83" spans="1:13" ht="18">
      <c r="A83" s="210"/>
      <c r="B83" s="211"/>
      <c r="C83" s="212"/>
      <c r="D83" s="213" t="s">
        <v>8</v>
      </c>
      <c r="E83" s="213" t="s">
        <v>8</v>
      </c>
      <c r="F83" s="213" t="s">
        <v>8</v>
      </c>
      <c r="G83" s="213" t="s">
        <v>8</v>
      </c>
      <c r="H83" s="213" t="s">
        <v>8</v>
      </c>
      <c r="I83" s="213" t="s">
        <v>8</v>
      </c>
      <c r="J83" s="213" t="s">
        <v>8</v>
      </c>
      <c r="K83" s="213" t="s">
        <v>8</v>
      </c>
      <c r="L83" s="213"/>
      <c r="M83" s="213"/>
    </row>
    <row r="84" spans="1:13" ht="18">
      <c r="A84" s="210"/>
      <c r="B84" s="211"/>
      <c r="C84" s="212"/>
      <c r="D84" s="213" t="s">
        <v>8</v>
      </c>
      <c r="E84" s="213" t="s">
        <v>8</v>
      </c>
      <c r="F84" s="213" t="s">
        <v>8</v>
      </c>
      <c r="G84" s="213" t="s">
        <v>8</v>
      </c>
      <c r="H84" s="213" t="s">
        <v>8</v>
      </c>
      <c r="I84" s="213" t="s">
        <v>8</v>
      </c>
      <c r="J84" s="213" t="s">
        <v>8</v>
      </c>
      <c r="K84" s="213" t="s">
        <v>8</v>
      </c>
      <c r="L84" s="213"/>
      <c r="M84" s="213"/>
    </row>
    <row r="85" spans="1:13" ht="12" customHeight="1">
      <c r="A85" s="668" t="s">
        <v>285</v>
      </c>
      <c r="B85" s="670" t="s">
        <v>286</v>
      </c>
      <c r="C85" s="671">
        <f>LARGE(D85:M86,1)</f>
        <v>7</v>
      </c>
      <c r="D85" s="671">
        <f t="shared" ref="D85:M85" si="8">SUM(D87:D93)</f>
        <v>0</v>
      </c>
      <c r="E85" s="671">
        <f t="shared" si="8"/>
        <v>0</v>
      </c>
      <c r="F85" s="671">
        <f t="shared" si="8"/>
        <v>0</v>
      </c>
      <c r="G85" s="671">
        <f t="shared" si="8"/>
        <v>0</v>
      </c>
      <c r="H85" s="671">
        <f t="shared" si="8"/>
        <v>7</v>
      </c>
      <c r="I85" s="671">
        <f t="shared" si="8"/>
        <v>7</v>
      </c>
      <c r="J85" s="671">
        <f t="shared" si="8"/>
        <v>7</v>
      </c>
      <c r="K85" s="671">
        <f t="shared" si="8"/>
        <v>0</v>
      </c>
      <c r="L85" s="671">
        <f t="shared" si="8"/>
        <v>0</v>
      </c>
      <c r="M85" s="671">
        <f t="shared" si="8"/>
        <v>7</v>
      </c>
    </row>
    <row r="86" spans="1:13" ht="12.95" customHeight="1">
      <c r="A86" s="669"/>
      <c r="B86" s="670"/>
      <c r="C86" s="671"/>
      <c r="D86" s="671"/>
      <c r="E86" s="671"/>
      <c r="F86" s="671"/>
      <c r="G86" s="671"/>
      <c r="H86" s="671"/>
      <c r="I86" s="671"/>
      <c r="J86" s="671"/>
      <c r="K86" s="671"/>
      <c r="L86" s="671"/>
      <c r="M86" s="671"/>
    </row>
    <row r="87" spans="1:13" ht="18">
      <c r="A87" s="210"/>
      <c r="B87" s="211" t="s">
        <v>2041</v>
      </c>
      <c r="C87" s="212"/>
      <c r="D87" s="213" t="s">
        <v>8</v>
      </c>
      <c r="E87" s="213" t="s">
        <v>8</v>
      </c>
      <c r="F87" s="213" t="s">
        <v>8</v>
      </c>
      <c r="G87" s="213" t="s">
        <v>8</v>
      </c>
      <c r="H87" s="213">
        <v>2</v>
      </c>
      <c r="I87" s="213">
        <v>2</v>
      </c>
      <c r="J87" s="213">
        <v>2</v>
      </c>
      <c r="K87" s="213"/>
      <c r="L87" s="213"/>
      <c r="M87" s="213">
        <v>2</v>
      </c>
    </row>
    <row r="88" spans="1:13" ht="18">
      <c r="A88" s="210"/>
      <c r="B88" s="211" t="s">
        <v>2043</v>
      </c>
      <c r="C88" s="212"/>
      <c r="D88" s="213" t="s">
        <v>8</v>
      </c>
      <c r="E88" s="213" t="s">
        <v>8</v>
      </c>
      <c r="F88" s="213" t="s">
        <v>8</v>
      </c>
      <c r="G88" s="213" t="s">
        <v>8</v>
      </c>
      <c r="H88" s="213">
        <v>2</v>
      </c>
      <c r="I88" s="213">
        <v>2</v>
      </c>
      <c r="J88" s="213">
        <v>2</v>
      </c>
      <c r="K88" s="213"/>
      <c r="L88" s="213"/>
      <c r="M88" s="213">
        <v>2</v>
      </c>
    </row>
    <row r="89" spans="1:13" ht="18">
      <c r="A89" s="210"/>
      <c r="B89" s="211" t="s">
        <v>2039</v>
      </c>
      <c r="C89" s="212"/>
      <c r="D89" s="213" t="s">
        <v>8</v>
      </c>
      <c r="E89" s="213" t="s">
        <v>8</v>
      </c>
      <c r="F89" s="213" t="s">
        <v>8</v>
      </c>
      <c r="G89" s="213" t="s">
        <v>8</v>
      </c>
      <c r="H89" s="213">
        <v>1</v>
      </c>
      <c r="I89" s="213">
        <v>1</v>
      </c>
      <c r="J89" s="213">
        <v>1</v>
      </c>
      <c r="K89" s="213"/>
      <c r="L89" s="213"/>
      <c r="M89" s="213">
        <v>1</v>
      </c>
    </row>
    <row r="90" spans="1:13" ht="18">
      <c r="A90" s="210"/>
      <c r="B90" s="211" t="s">
        <v>2052</v>
      </c>
      <c r="C90" s="212"/>
      <c r="D90" s="213" t="s">
        <v>8</v>
      </c>
      <c r="E90" s="213" t="s">
        <v>8</v>
      </c>
      <c r="F90" s="213" t="s">
        <v>8</v>
      </c>
      <c r="G90" s="213" t="s">
        <v>8</v>
      </c>
      <c r="H90" s="213">
        <v>1</v>
      </c>
      <c r="I90" s="213">
        <v>1</v>
      </c>
      <c r="J90" s="213">
        <v>1</v>
      </c>
      <c r="K90" s="213"/>
      <c r="L90" s="213"/>
      <c r="M90" s="213">
        <v>1</v>
      </c>
    </row>
    <row r="91" spans="1:13" ht="18">
      <c r="A91" s="210"/>
      <c r="B91" s="211" t="s">
        <v>2053</v>
      </c>
      <c r="C91" s="212"/>
      <c r="D91" s="213" t="s">
        <v>8</v>
      </c>
      <c r="E91" s="213" t="s">
        <v>8</v>
      </c>
      <c r="F91" s="213" t="s">
        <v>8</v>
      </c>
      <c r="G91" s="213" t="s">
        <v>8</v>
      </c>
      <c r="H91" s="213">
        <v>1</v>
      </c>
      <c r="I91" s="213">
        <v>1</v>
      </c>
      <c r="J91" s="213">
        <v>1</v>
      </c>
      <c r="K91" s="213"/>
      <c r="L91" s="213"/>
      <c r="M91" s="213">
        <v>1</v>
      </c>
    </row>
    <row r="92" spans="1:13" ht="18">
      <c r="A92" s="210"/>
      <c r="B92" s="211"/>
      <c r="C92" s="212"/>
      <c r="D92" s="213"/>
      <c r="E92" s="213"/>
      <c r="F92" s="213"/>
      <c r="G92" s="213"/>
      <c r="H92" s="213"/>
      <c r="I92" s="213"/>
      <c r="J92" s="213"/>
      <c r="K92" s="213"/>
      <c r="L92" s="213"/>
      <c r="M92" s="213"/>
    </row>
    <row r="93" spans="1:13" ht="18">
      <c r="A93" s="210"/>
      <c r="B93" s="211"/>
      <c r="C93" s="212"/>
      <c r="D93" s="213"/>
      <c r="E93" s="213"/>
      <c r="F93" s="213"/>
      <c r="G93" s="213"/>
      <c r="H93" s="213"/>
      <c r="I93" s="213"/>
      <c r="J93" s="213"/>
      <c r="K93" s="213"/>
      <c r="L93" s="213"/>
      <c r="M93" s="213"/>
    </row>
    <row r="94" spans="1:13" ht="12" customHeight="1">
      <c r="A94" s="668" t="s">
        <v>299</v>
      </c>
      <c r="B94" s="670" t="s">
        <v>300</v>
      </c>
      <c r="C94" s="671">
        <f>LARGE(D94:M95,1)</f>
        <v>7</v>
      </c>
      <c r="D94" s="671">
        <f t="shared" ref="D94:M94" si="9">SUM(D96:D102)</f>
        <v>0</v>
      </c>
      <c r="E94" s="671">
        <f t="shared" si="9"/>
        <v>0</v>
      </c>
      <c r="F94" s="671">
        <f t="shared" si="9"/>
        <v>0</v>
      </c>
      <c r="G94" s="671">
        <f t="shared" si="9"/>
        <v>7</v>
      </c>
      <c r="H94" s="671">
        <f t="shared" si="9"/>
        <v>5</v>
      </c>
      <c r="I94" s="671">
        <f t="shared" si="9"/>
        <v>5</v>
      </c>
      <c r="J94" s="671">
        <f t="shared" si="9"/>
        <v>5</v>
      </c>
      <c r="K94" s="671">
        <f t="shared" si="9"/>
        <v>5</v>
      </c>
      <c r="L94" s="671">
        <f t="shared" si="9"/>
        <v>0</v>
      </c>
      <c r="M94" s="671">
        <f t="shared" si="9"/>
        <v>5</v>
      </c>
    </row>
    <row r="95" spans="1:13" ht="12.95" customHeight="1">
      <c r="A95" s="669"/>
      <c r="B95" s="670"/>
      <c r="C95" s="671"/>
      <c r="D95" s="671"/>
      <c r="E95" s="671"/>
      <c r="F95" s="671"/>
      <c r="G95" s="671"/>
      <c r="H95" s="671"/>
      <c r="I95" s="671"/>
      <c r="J95" s="671"/>
      <c r="K95" s="671"/>
      <c r="L95" s="671"/>
      <c r="M95" s="671"/>
    </row>
    <row r="96" spans="1:13" ht="18">
      <c r="A96" s="210"/>
      <c r="B96" s="211" t="s">
        <v>2041</v>
      </c>
      <c r="C96" s="212"/>
      <c r="D96" s="213" t="s">
        <v>8</v>
      </c>
      <c r="E96" s="213" t="s">
        <v>8</v>
      </c>
      <c r="F96" s="213" t="s">
        <v>8</v>
      </c>
      <c r="G96" s="213">
        <v>2</v>
      </c>
      <c r="H96" s="213">
        <v>1</v>
      </c>
      <c r="I96" s="213">
        <v>1</v>
      </c>
      <c r="J96" s="213">
        <v>1</v>
      </c>
      <c r="K96" s="213">
        <v>1</v>
      </c>
      <c r="L96" s="213"/>
      <c r="M96" s="213">
        <v>1</v>
      </c>
    </row>
    <row r="97" spans="1:13" ht="18">
      <c r="A97" s="210"/>
      <c r="B97" s="211" t="s">
        <v>2043</v>
      </c>
      <c r="C97" s="212"/>
      <c r="D97" s="213" t="s">
        <v>8</v>
      </c>
      <c r="E97" s="213" t="s">
        <v>8</v>
      </c>
      <c r="F97" s="213" t="s">
        <v>8</v>
      </c>
      <c r="G97" s="213">
        <v>2</v>
      </c>
      <c r="H97" s="213">
        <v>1</v>
      </c>
      <c r="I97" s="213">
        <v>1</v>
      </c>
      <c r="J97" s="213">
        <v>1</v>
      </c>
      <c r="K97" s="213">
        <v>1</v>
      </c>
      <c r="L97" s="213"/>
      <c r="M97" s="213">
        <v>1</v>
      </c>
    </row>
    <row r="98" spans="1:13" ht="18">
      <c r="A98" s="210"/>
      <c r="B98" s="211" t="s">
        <v>2052</v>
      </c>
      <c r="C98" s="212"/>
      <c r="D98" s="213" t="s">
        <v>8</v>
      </c>
      <c r="E98" s="213" t="s">
        <v>8</v>
      </c>
      <c r="F98" s="213" t="s">
        <v>8</v>
      </c>
      <c r="G98" s="213">
        <v>1</v>
      </c>
      <c r="H98" s="213">
        <v>1</v>
      </c>
      <c r="I98" s="213">
        <v>1</v>
      </c>
      <c r="J98" s="213">
        <v>1</v>
      </c>
      <c r="K98" s="213">
        <v>1</v>
      </c>
      <c r="L98" s="213"/>
      <c r="M98" s="213">
        <v>1</v>
      </c>
    </row>
    <row r="99" spans="1:13" ht="18">
      <c r="A99" s="210"/>
      <c r="B99" s="211" t="s">
        <v>2053</v>
      </c>
      <c r="C99" s="212"/>
      <c r="D99" s="213"/>
      <c r="E99" s="213"/>
      <c r="F99" s="213"/>
      <c r="G99" s="213">
        <v>1</v>
      </c>
      <c r="H99" s="213">
        <v>1</v>
      </c>
      <c r="I99" s="213">
        <v>1</v>
      </c>
      <c r="J99" s="213">
        <v>1</v>
      </c>
      <c r="K99" s="213">
        <v>1</v>
      </c>
      <c r="L99" s="213"/>
      <c r="M99" s="213">
        <v>1</v>
      </c>
    </row>
    <row r="100" spans="1:13" ht="18">
      <c r="A100" s="210"/>
      <c r="B100" s="211" t="s">
        <v>2042</v>
      </c>
      <c r="C100" s="212"/>
      <c r="D100" s="213" t="s">
        <v>8</v>
      </c>
      <c r="E100" s="213" t="s">
        <v>8</v>
      </c>
      <c r="F100" s="213" t="s">
        <v>8</v>
      </c>
      <c r="G100" s="213">
        <v>1</v>
      </c>
      <c r="H100" s="213">
        <v>1</v>
      </c>
      <c r="I100" s="213">
        <v>1</v>
      </c>
      <c r="J100" s="213">
        <v>1</v>
      </c>
      <c r="K100" s="213">
        <v>1</v>
      </c>
      <c r="L100" s="213"/>
      <c r="M100" s="213">
        <v>1</v>
      </c>
    </row>
    <row r="101" spans="1:13" ht="18">
      <c r="A101" s="210"/>
      <c r="B101" s="211"/>
      <c r="C101" s="212"/>
      <c r="D101" s="213"/>
      <c r="E101" s="213"/>
      <c r="F101" s="213"/>
      <c r="G101" s="213"/>
      <c r="H101" s="213"/>
      <c r="I101" s="213"/>
      <c r="J101" s="213"/>
      <c r="K101" s="213"/>
      <c r="L101" s="213"/>
      <c r="M101" s="213"/>
    </row>
    <row r="102" spans="1:13" ht="18">
      <c r="A102" s="210"/>
      <c r="B102" s="211"/>
      <c r="C102" s="212"/>
      <c r="D102" s="213"/>
      <c r="E102" s="213"/>
      <c r="F102" s="213"/>
      <c r="G102" s="213"/>
      <c r="H102" s="213"/>
      <c r="I102" s="213"/>
      <c r="J102" s="213"/>
      <c r="K102" s="213"/>
      <c r="L102" s="213"/>
      <c r="M102" s="213"/>
    </row>
    <row r="103" spans="1:13" ht="12" customHeight="1">
      <c r="A103" s="668" t="s">
        <v>305</v>
      </c>
      <c r="B103" s="670" t="s">
        <v>308</v>
      </c>
      <c r="C103" s="671">
        <f>LARGE(D103:M104,1)</f>
        <v>3</v>
      </c>
      <c r="D103" s="671">
        <f t="shared" ref="D103:M103" si="10">SUM(D105:D109)</f>
        <v>0</v>
      </c>
      <c r="E103" s="671">
        <f t="shared" si="10"/>
        <v>0</v>
      </c>
      <c r="F103" s="671">
        <f t="shared" si="10"/>
        <v>0</v>
      </c>
      <c r="G103" s="671">
        <f t="shared" si="10"/>
        <v>0</v>
      </c>
      <c r="H103" s="671">
        <f t="shared" si="10"/>
        <v>0</v>
      </c>
      <c r="I103" s="671">
        <f t="shared" si="10"/>
        <v>0</v>
      </c>
      <c r="J103" s="671">
        <f t="shared" si="10"/>
        <v>3</v>
      </c>
      <c r="K103" s="671">
        <f t="shared" si="10"/>
        <v>3</v>
      </c>
      <c r="L103" s="671">
        <f t="shared" si="10"/>
        <v>0</v>
      </c>
      <c r="M103" s="671">
        <f t="shared" si="10"/>
        <v>0</v>
      </c>
    </row>
    <row r="104" spans="1:13" ht="12.95" customHeight="1">
      <c r="A104" s="669"/>
      <c r="B104" s="670"/>
      <c r="C104" s="671"/>
      <c r="D104" s="671"/>
      <c r="E104" s="671"/>
      <c r="F104" s="671"/>
      <c r="G104" s="671"/>
      <c r="H104" s="671"/>
      <c r="I104" s="671"/>
      <c r="J104" s="671"/>
      <c r="K104" s="671"/>
      <c r="L104" s="671"/>
      <c r="M104" s="671"/>
    </row>
    <row r="105" spans="1:13" ht="18">
      <c r="A105" s="210"/>
      <c r="B105" s="211" t="s">
        <v>2054</v>
      </c>
      <c r="C105" s="212"/>
      <c r="D105" s="213" t="s">
        <v>8</v>
      </c>
      <c r="E105" s="213" t="s">
        <v>8</v>
      </c>
      <c r="F105" s="213" t="s">
        <v>8</v>
      </c>
      <c r="G105" s="213" t="s">
        <v>8</v>
      </c>
      <c r="H105" s="213" t="s">
        <v>8</v>
      </c>
      <c r="I105" s="213" t="s">
        <v>8</v>
      </c>
      <c r="J105" s="213">
        <v>1</v>
      </c>
      <c r="K105" s="213">
        <v>1</v>
      </c>
      <c r="L105" s="213" t="s">
        <v>8</v>
      </c>
      <c r="M105" s="213" t="s">
        <v>8</v>
      </c>
    </row>
    <row r="106" spans="1:13" ht="18">
      <c r="A106" s="210"/>
      <c r="B106" s="211" t="s">
        <v>2043</v>
      </c>
      <c r="C106" s="212"/>
      <c r="D106" s="213" t="s">
        <v>8</v>
      </c>
      <c r="E106" s="213" t="s">
        <v>8</v>
      </c>
      <c r="F106" s="213" t="s">
        <v>8</v>
      </c>
      <c r="G106" s="213" t="s">
        <v>8</v>
      </c>
      <c r="H106" s="213" t="s">
        <v>8</v>
      </c>
      <c r="I106" s="213" t="s">
        <v>8</v>
      </c>
      <c r="J106" s="213">
        <v>1</v>
      </c>
      <c r="K106" s="213">
        <v>1</v>
      </c>
      <c r="L106" s="213" t="s">
        <v>8</v>
      </c>
      <c r="M106" s="213" t="s">
        <v>8</v>
      </c>
    </row>
    <row r="107" spans="1:13" ht="18">
      <c r="A107" s="210"/>
      <c r="B107" s="211" t="s">
        <v>2042</v>
      </c>
      <c r="C107" s="212"/>
      <c r="D107" s="213"/>
      <c r="E107" s="213"/>
      <c r="F107" s="213"/>
      <c r="G107" s="213"/>
      <c r="H107" s="213"/>
      <c r="I107" s="213"/>
      <c r="J107" s="213">
        <v>1</v>
      </c>
      <c r="K107" s="213">
        <v>1</v>
      </c>
      <c r="L107" s="213"/>
      <c r="M107" s="213"/>
    </row>
    <row r="108" spans="1:13" ht="18">
      <c r="A108" s="210"/>
      <c r="B108" s="211"/>
      <c r="C108" s="212"/>
      <c r="D108" s="213" t="s">
        <v>8</v>
      </c>
      <c r="E108" s="213" t="s">
        <v>8</v>
      </c>
      <c r="F108" s="213" t="s">
        <v>8</v>
      </c>
      <c r="G108" s="213" t="s">
        <v>8</v>
      </c>
      <c r="H108" s="213" t="s">
        <v>8</v>
      </c>
      <c r="I108" s="213" t="s">
        <v>8</v>
      </c>
      <c r="J108" s="213" t="s">
        <v>8</v>
      </c>
      <c r="K108" s="213" t="s">
        <v>8</v>
      </c>
      <c r="L108" s="213" t="s">
        <v>8</v>
      </c>
      <c r="M108" s="213" t="s">
        <v>8</v>
      </c>
    </row>
    <row r="109" spans="1:13" ht="18">
      <c r="A109" s="210"/>
      <c r="B109" s="211"/>
      <c r="C109" s="212"/>
      <c r="D109" s="213" t="s">
        <v>8</v>
      </c>
      <c r="E109" s="213" t="s">
        <v>8</v>
      </c>
      <c r="F109" s="213" t="s">
        <v>8</v>
      </c>
      <c r="G109" s="213" t="s">
        <v>8</v>
      </c>
      <c r="H109" s="213" t="s">
        <v>8</v>
      </c>
      <c r="I109" s="213" t="s">
        <v>8</v>
      </c>
      <c r="J109" s="213" t="s">
        <v>8</v>
      </c>
      <c r="K109" s="213" t="s">
        <v>8</v>
      </c>
      <c r="L109" s="213" t="s">
        <v>8</v>
      </c>
      <c r="M109" s="213" t="s">
        <v>8</v>
      </c>
    </row>
    <row r="110" spans="1:13" ht="12" customHeight="1">
      <c r="A110" s="668" t="s">
        <v>309</v>
      </c>
      <c r="B110" s="670" t="s">
        <v>310</v>
      </c>
      <c r="C110" s="671">
        <f>LARGE(D110:M111,1)</f>
        <v>6</v>
      </c>
      <c r="D110" s="671">
        <f>SUM(D112:D119)</f>
        <v>0</v>
      </c>
      <c r="E110" s="671">
        <f t="shared" ref="E110:M110" si="11">SUM(E112:E119)</f>
        <v>0</v>
      </c>
      <c r="F110" s="671">
        <f t="shared" si="11"/>
        <v>0</v>
      </c>
      <c r="G110" s="671">
        <f t="shared" si="11"/>
        <v>0</v>
      </c>
      <c r="H110" s="671">
        <f t="shared" si="11"/>
        <v>0</v>
      </c>
      <c r="I110" s="671">
        <f t="shared" si="11"/>
        <v>0</v>
      </c>
      <c r="J110" s="671">
        <f t="shared" si="11"/>
        <v>0</v>
      </c>
      <c r="K110" s="671">
        <f t="shared" si="11"/>
        <v>0</v>
      </c>
      <c r="L110" s="671">
        <f t="shared" si="11"/>
        <v>6</v>
      </c>
      <c r="M110" s="671">
        <f t="shared" si="11"/>
        <v>6</v>
      </c>
    </row>
    <row r="111" spans="1:13" ht="12.95" customHeight="1">
      <c r="A111" s="669"/>
      <c r="B111" s="670"/>
      <c r="C111" s="671"/>
      <c r="D111" s="671"/>
      <c r="E111" s="671"/>
      <c r="F111" s="671"/>
      <c r="G111" s="671"/>
      <c r="H111" s="671"/>
      <c r="I111" s="671"/>
      <c r="J111" s="671"/>
      <c r="K111" s="671"/>
      <c r="L111" s="671"/>
      <c r="M111" s="671"/>
    </row>
    <row r="112" spans="1:13" ht="18">
      <c r="A112" s="210"/>
      <c r="B112" s="211" t="s">
        <v>2044</v>
      </c>
      <c r="C112" s="212"/>
      <c r="D112" s="213" t="s">
        <v>8</v>
      </c>
      <c r="E112" s="213" t="s">
        <v>8</v>
      </c>
      <c r="F112" s="213" t="s">
        <v>8</v>
      </c>
      <c r="G112" s="213" t="s">
        <v>8</v>
      </c>
      <c r="H112" s="213" t="s">
        <v>8</v>
      </c>
      <c r="I112" s="213" t="s">
        <v>8</v>
      </c>
      <c r="J112" s="213" t="s">
        <v>8</v>
      </c>
      <c r="K112" s="213" t="s">
        <v>8</v>
      </c>
      <c r="L112" s="213">
        <v>1</v>
      </c>
      <c r="M112" s="213">
        <v>1</v>
      </c>
    </row>
    <row r="113" spans="1:13" ht="18">
      <c r="A113" s="210"/>
      <c r="B113" s="211" t="s">
        <v>2043</v>
      </c>
      <c r="C113" s="212"/>
      <c r="D113" s="213" t="s">
        <v>8</v>
      </c>
      <c r="E113" s="213" t="s">
        <v>8</v>
      </c>
      <c r="F113" s="213" t="s">
        <v>8</v>
      </c>
      <c r="G113" s="213" t="s">
        <v>8</v>
      </c>
      <c r="H113" s="213" t="s">
        <v>8</v>
      </c>
      <c r="I113" s="213" t="s">
        <v>8</v>
      </c>
      <c r="J113" s="213" t="s">
        <v>8</v>
      </c>
      <c r="K113" s="213" t="s">
        <v>8</v>
      </c>
      <c r="L113" s="213">
        <v>1</v>
      </c>
      <c r="M113" s="213">
        <v>1</v>
      </c>
    </row>
    <row r="114" spans="1:13" ht="18">
      <c r="A114" s="210"/>
      <c r="B114" s="211" t="s">
        <v>2045</v>
      </c>
      <c r="C114" s="212"/>
      <c r="D114" s="213" t="s">
        <v>8</v>
      </c>
      <c r="E114" s="213" t="s">
        <v>8</v>
      </c>
      <c r="F114" s="213" t="s">
        <v>8</v>
      </c>
      <c r="G114" s="213" t="s">
        <v>8</v>
      </c>
      <c r="H114" s="213" t="s">
        <v>8</v>
      </c>
      <c r="I114" s="213" t="s">
        <v>8</v>
      </c>
      <c r="J114" s="213" t="s">
        <v>8</v>
      </c>
      <c r="K114" s="213" t="s">
        <v>8</v>
      </c>
      <c r="L114" s="213">
        <v>1</v>
      </c>
      <c r="M114" s="213">
        <v>1</v>
      </c>
    </row>
    <row r="115" spans="1:13" ht="18">
      <c r="A115" s="210"/>
      <c r="B115" s="211" t="s">
        <v>2040</v>
      </c>
      <c r="C115" s="212"/>
      <c r="D115" s="213" t="s">
        <v>8</v>
      </c>
      <c r="E115" s="213" t="s">
        <v>8</v>
      </c>
      <c r="F115" s="213" t="s">
        <v>8</v>
      </c>
      <c r="G115" s="213" t="s">
        <v>8</v>
      </c>
      <c r="H115" s="213" t="s">
        <v>8</v>
      </c>
      <c r="I115" s="213" t="s">
        <v>8</v>
      </c>
      <c r="J115" s="213" t="s">
        <v>8</v>
      </c>
      <c r="K115" s="213" t="s">
        <v>8</v>
      </c>
      <c r="L115" s="213">
        <v>1</v>
      </c>
      <c r="M115" s="213">
        <v>1</v>
      </c>
    </row>
    <row r="116" spans="1:13" ht="18">
      <c r="A116" s="210"/>
      <c r="B116" s="211" t="s">
        <v>2041</v>
      </c>
      <c r="C116" s="212"/>
      <c r="D116" s="213" t="s">
        <v>8</v>
      </c>
      <c r="E116" s="213" t="s">
        <v>8</v>
      </c>
      <c r="F116" s="213" t="s">
        <v>8</v>
      </c>
      <c r="G116" s="213" t="s">
        <v>8</v>
      </c>
      <c r="H116" s="213" t="s">
        <v>8</v>
      </c>
      <c r="I116" s="213" t="s">
        <v>8</v>
      </c>
      <c r="J116" s="213" t="s">
        <v>8</v>
      </c>
      <c r="K116" s="213" t="s">
        <v>8</v>
      </c>
      <c r="L116" s="213">
        <v>1</v>
      </c>
      <c r="M116" s="213">
        <v>1</v>
      </c>
    </row>
    <row r="117" spans="1:13" ht="18">
      <c r="A117" s="210"/>
      <c r="B117" s="211" t="s">
        <v>2038</v>
      </c>
      <c r="C117" s="212"/>
      <c r="D117" s="213" t="s">
        <v>8</v>
      </c>
      <c r="E117" s="213" t="s">
        <v>8</v>
      </c>
      <c r="F117" s="213" t="s">
        <v>8</v>
      </c>
      <c r="G117" s="213" t="s">
        <v>8</v>
      </c>
      <c r="H117" s="213" t="s">
        <v>8</v>
      </c>
      <c r="I117" s="213" t="s">
        <v>8</v>
      </c>
      <c r="J117" s="213" t="s">
        <v>8</v>
      </c>
      <c r="K117" s="213" t="s">
        <v>8</v>
      </c>
      <c r="L117" s="213">
        <v>1</v>
      </c>
      <c r="M117" s="213">
        <v>1</v>
      </c>
    </row>
    <row r="118" spans="1:13" ht="18">
      <c r="A118" s="210"/>
      <c r="B118" s="211"/>
      <c r="C118" s="212"/>
      <c r="D118" s="213" t="s">
        <v>8</v>
      </c>
      <c r="E118" s="213" t="s">
        <v>8</v>
      </c>
      <c r="F118" s="213" t="s">
        <v>8</v>
      </c>
      <c r="G118" s="213" t="s">
        <v>8</v>
      </c>
      <c r="H118" s="213" t="s">
        <v>8</v>
      </c>
      <c r="I118" s="213" t="s">
        <v>8</v>
      </c>
      <c r="J118" s="213" t="s">
        <v>8</v>
      </c>
      <c r="K118" s="213" t="s">
        <v>8</v>
      </c>
      <c r="L118" s="213" t="s">
        <v>8</v>
      </c>
      <c r="M118" s="213" t="s">
        <v>8</v>
      </c>
    </row>
    <row r="119" spans="1:13" ht="18">
      <c r="A119" s="210"/>
      <c r="B119" s="211"/>
      <c r="C119" s="212"/>
      <c r="D119" s="213" t="s">
        <v>8</v>
      </c>
      <c r="E119" s="213" t="s">
        <v>8</v>
      </c>
      <c r="F119" s="213" t="s">
        <v>8</v>
      </c>
      <c r="G119" s="213" t="s">
        <v>8</v>
      </c>
      <c r="H119" s="213" t="s">
        <v>8</v>
      </c>
      <c r="I119" s="213" t="s">
        <v>8</v>
      </c>
      <c r="J119" s="213" t="s">
        <v>8</v>
      </c>
      <c r="K119" s="213" t="s">
        <v>8</v>
      </c>
      <c r="L119" s="213" t="s">
        <v>8</v>
      </c>
      <c r="M119" s="213" t="s">
        <v>8</v>
      </c>
    </row>
    <row r="120" spans="1:13" ht="12" customHeight="1">
      <c r="A120" s="668" t="s">
        <v>745</v>
      </c>
      <c r="B120" s="670" t="s">
        <v>2222</v>
      </c>
      <c r="C120" s="671">
        <f>LARGE(D120:M121,1)</f>
        <v>2</v>
      </c>
      <c r="D120" s="671">
        <f t="shared" ref="D120:M120" si="12">SUM(D122:D125)</f>
        <v>0</v>
      </c>
      <c r="E120" s="671">
        <f t="shared" si="12"/>
        <v>0</v>
      </c>
      <c r="F120" s="671">
        <f t="shared" si="12"/>
        <v>0</v>
      </c>
      <c r="G120" s="671">
        <f t="shared" si="12"/>
        <v>0</v>
      </c>
      <c r="H120" s="671">
        <f t="shared" si="12"/>
        <v>0</v>
      </c>
      <c r="I120" s="671">
        <f t="shared" si="12"/>
        <v>0</v>
      </c>
      <c r="J120" s="671">
        <f t="shared" si="12"/>
        <v>0</v>
      </c>
      <c r="K120" s="671">
        <f t="shared" si="12"/>
        <v>0</v>
      </c>
      <c r="L120" s="671">
        <f t="shared" si="12"/>
        <v>2</v>
      </c>
      <c r="M120" s="671">
        <f t="shared" si="12"/>
        <v>0</v>
      </c>
    </row>
    <row r="121" spans="1:13" ht="12.95" customHeight="1">
      <c r="A121" s="669"/>
      <c r="B121" s="670"/>
      <c r="C121" s="671"/>
      <c r="D121" s="671"/>
      <c r="E121" s="671"/>
      <c r="F121" s="671"/>
      <c r="G121" s="671"/>
      <c r="H121" s="671"/>
      <c r="I121" s="671"/>
      <c r="J121" s="671"/>
      <c r="K121" s="671"/>
      <c r="L121" s="671"/>
      <c r="M121" s="671"/>
    </row>
    <row r="122" spans="1:13" ht="18">
      <c r="A122" s="210"/>
      <c r="B122" s="211" t="s">
        <v>2060</v>
      </c>
      <c r="C122" s="212"/>
      <c r="D122" s="213" t="s">
        <v>8</v>
      </c>
      <c r="E122" s="213" t="s">
        <v>8</v>
      </c>
      <c r="F122" s="213" t="s">
        <v>8</v>
      </c>
      <c r="G122" s="213" t="s">
        <v>8</v>
      </c>
      <c r="H122" s="213" t="s">
        <v>8</v>
      </c>
      <c r="I122" s="213" t="s">
        <v>8</v>
      </c>
      <c r="J122" s="213" t="s">
        <v>8</v>
      </c>
      <c r="K122" s="213" t="s">
        <v>8</v>
      </c>
      <c r="L122" s="213">
        <v>1</v>
      </c>
      <c r="M122" s="213" t="s">
        <v>8</v>
      </c>
    </row>
    <row r="123" spans="1:13" ht="18">
      <c r="A123" s="210"/>
      <c r="B123" s="211" t="s">
        <v>2061</v>
      </c>
      <c r="C123" s="212"/>
      <c r="D123" s="213" t="s">
        <v>8</v>
      </c>
      <c r="E123" s="213" t="s">
        <v>8</v>
      </c>
      <c r="F123" s="213" t="s">
        <v>8</v>
      </c>
      <c r="G123" s="213" t="s">
        <v>8</v>
      </c>
      <c r="H123" s="213" t="s">
        <v>8</v>
      </c>
      <c r="I123" s="213" t="s">
        <v>8</v>
      </c>
      <c r="J123" s="213" t="s">
        <v>8</v>
      </c>
      <c r="K123" s="213" t="s">
        <v>8</v>
      </c>
      <c r="L123" s="213">
        <v>1</v>
      </c>
      <c r="M123" s="213" t="s">
        <v>8</v>
      </c>
    </row>
    <row r="124" spans="1:13" ht="18">
      <c r="A124" s="210"/>
      <c r="B124" s="211"/>
      <c r="C124" s="212"/>
      <c r="D124" s="213" t="s">
        <v>8</v>
      </c>
      <c r="E124" s="213" t="s">
        <v>8</v>
      </c>
      <c r="F124" s="213" t="s">
        <v>8</v>
      </c>
      <c r="G124" s="213" t="s">
        <v>8</v>
      </c>
      <c r="H124" s="213" t="s">
        <v>8</v>
      </c>
      <c r="I124" s="213" t="s">
        <v>8</v>
      </c>
      <c r="J124" s="213" t="s">
        <v>8</v>
      </c>
      <c r="K124" s="213" t="s">
        <v>8</v>
      </c>
      <c r="L124" s="213" t="s">
        <v>8</v>
      </c>
      <c r="M124" s="213" t="s">
        <v>8</v>
      </c>
    </row>
    <row r="125" spans="1:13" ht="18">
      <c r="A125" s="210"/>
      <c r="B125" s="211"/>
      <c r="C125" s="212"/>
      <c r="D125" s="213" t="s">
        <v>8</v>
      </c>
      <c r="E125" s="213" t="s">
        <v>8</v>
      </c>
      <c r="F125" s="213" t="s">
        <v>8</v>
      </c>
      <c r="G125" s="213" t="s">
        <v>8</v>
      </c>
      <c r="H125" s="213" t="s">
        <v>8</v>
      </c>
      <c r="I125" s="213" t="s">
        <v>8</v>
      </c>
      <c r="J125" s="213" t="s">
        <v>8</v>
      </c>
      <c r="K125" s="213" t="s">
        <v>8</v>
      </c>
      <c r="L125" s="213" t="s">
        <v>8</v>
      </c>
      <c r="M125" s="213" t="s">
        <v>8</v>
      </c>
    </row>
    <row r="126" spans="1:13" ht="12" customHeight="1">
      <c r="A126" s="668" t="s">
        <v>43</v>
      </c>
      <c r="B126" s="670" t="s">
        <v>329</v>
      </c>
      <c r="C126" s="671">
        <f>LARGE(D126:M127,1)</f>
        <v>2</v>
      </c>
      <c r="D126" s="671">
        <f>SUM(D128:D131)</f>
        <v>0</v>
      </c>
      <c r="E126" s="671">
        <f t="shared" ref="E126:L126" si="13">SUM(E128:E131)</f>
        <v>0</v>
      </c>
      <c r="F126" s="671">
        <f t="shared" si="13"/>
        <v>0</v>
      </c>
      <c r="G126" s="671">
        <f t="shared" si="13"/>
        <v>0</v>
      </c>
      <c r="H126" s="671">
        <f t="shared" si="13"/>
        <v>0</v>
      </c>
      <c r="I126" s="671">
        <f t="shared" si="13"/>
        <v>0</v>
      </c>
      <c r="J126" s="671">
        <f t="shared" si="13"/>
        <v>0</v>
      </c>
      <c r="K126" s="671">
        <f t="shared" si="13"/>
        <v>0</v>
      </c>
      <c r="L126" s="671">
        <f t="shared" si="13"/>
        <v>0</v>
      </c>
      <c r="M126" s="671">
        <f>SUM(M128:M131)</f>
        <v>2</v>
      </c>
    </row>
    <row r="127" spans="1:13" ht="12.95" customHeight="1">
      <c r="A127" s="669"/>
      <c r="B127" s="670"/>
      <c r="C127" s="671"/>
      <c r="D127" s="671"/>
      <c r="E127" s="671"/>
      <c r="F127" s="671"/>
      <c r="G127" s="671"/>
      <c r="H127" s="671"/>
      <c r="I127" s="671"/>
      <c r="J127" s="671"/>
      <c r="K127" s="671"/>
      <c r="L127" s="671"/>
      <c r="M127" s="671"/>
    </row>
    <row r="128" spans="1:13" ht="18">
      <c r="A128" s="210"/>
      <c r="B128" s="211" t="s">
        <v>2041</v>
      </c>
      <c r="C128" s="212"/>
      <c r="D128" s="213" t="s">
        <v>8</v>
      </c>
      <c r="E128" s="213" t="s">
        <v>8</v>
      </c>
      <c r="F128" s="213" t="s">
        <v>8</v>
      </c>
      <c r="G128" s="213" t="s">
        <v>8</v>
      </c>
      <c r="H128" s="213" t="s">
        <v>8</v>
      </c>
      <c r="I128" s="213" t="s">
        <v>8</v>
      </c>
      <c r="J128" s="213" t="s">
        <v>8</v>
      </c>
      <c r="K128" s="213" t="s">
        <v>8</v>
      </c>
      <c r="L128" s="213" t="s">
        <v>8</v>
      </c>
      <c r="M128" s="213">
        <v>1</v>
      </c>
    </row>
    <row r="129" spans="1:13" ht="18">
      <c r="A129" s="210"/>
      <c r="B129" s="211" t="s">
        <v>2043</v>
      </c>
      <c r="C129" s="212"/>
      <c r="D129" s="213" t="s">
        <v>8</v>
      </c>
      <c r="E129" s="213" t="s">
        <v>8</v>
      </c>
      <c r="F129" s="213" t="s">
        <v>8</v>
      </c>
      <c r="G129" s="213" t="s">
        <v>8</v>
      </c>
      <c r="H129" s="213" t="s">
        <v>8</v>
      </c>
      <c r="I129" s="213" t="s">
        <v>8</v>
      </c>
      <c r="J129" s="213" t="s">
        <v>8</v>
      </c>
      <c r="K129" s="213" t="s">
        <v>8</v>
      </c>
      <c r="L129" s="213" t="s">
        <v>8</v>
      </c>
      <c r="M129" s="213">
        <v>1</v>
      </c>
    </row>
    <row r="130" spans="1:13" ht="18">
      <c r="A130" s="210"/>
      <c r="B130" s="211"/>
      <c r="C130" s="212"/>
      <c r="D130" s="213" t="s">
        <v>8</v>
      </c>
      <c r="E130" s="213" t="s">
        <v>8</v>
      </c>
      <c r="F130" s="213" t="s">
        <v>8</v>
      </c>
      <c r="G130" s="213" t="s">
        <v>8</v>
      </c>
      <c r="H130" s="213" t="s">
        <v>8</v>
      </c>
      <c r="I130" s="213" t="s">
        <v>8</v>
      </c>
      <c r="J130" s="213" t="s">
        <v>8</v>
      </c>
      <c r="K130" s="213" t="s">
        <v>8</v>
      </c>
      <c r="L130" s="213" t="s">
        <v>8</v>
      </c>
      <c r="M130" s="213" t="s">
        <v>8</v>
      </c>
    </row>
    <row r="131" spans="1:13" ht="18">
      <c r="A131" s="210"/>
      <c r="B131" s="211"/>
      <c r="C131" s="212"/>
      <c r="D131" s="213" t="s">
        <v>8</v>
      </c>
      <c r="E131" s="213" t="s">
        <v>8</v>
      </c>
      <c r="F131" s="213" t="s">
        <v>8</v>
      </c>
      <c r="G131" s="213" t="s">
        <v>8</v>
      </c>
      <c r="H131" s="213" t="s">
        <v>8</v>
      </c>
      <c r="I131" s="213" t="s">
        <v>8</v>
      </c>
      <c r="J131" s="213" t="s">
        <v>8</v>
      </c>
      <c r="K131" s="213" t="s">
        <v>8</v>
      </c>
      <c r="L131" s="213" t="s">
        <v>8</v>
      </c>
      <c r="M131" s="213" t="s">
        <v>8</v>
      </c>
    </row>
    <row r="132" spans="1:13" ht="12" customHeight="1">
      <c r="A132" s="668" t="s">
        <v>44</v>
      </c>
      <c r="B132" s="670" t="s">
        <v>331</v>
      </c>
      <c r="C132" s="671">
        <f>LARGE(D132:M133,1)</f>
        <v>8</v>
      </c>
      <c r="D132" s="671">
        <f t="shared" ref="D132:M132" si="14">SUM(D134:D143)</f>
        <v>0</v>
      </c>
      <c r="E132" s="671">
        <f t="shared" si="14"/>
        <v>0</v>
      </c>
      <c r="F132" s="671">
        <f t="shared" si="14"/>
        <v>0</v>
      </c>
      <c r="G132" s="671">
        <f t="shared" si="14"/>
        <v>0</v>
      </c>
      <c r="H132" s="671">
        <f t="shared" si="14"/>
        <v>0</v>
      </c>
      <c r="I132" s="671">
        <f t="shared" si="14"/>
        <v>0</v>
      </c>
      <c r="J132" s="671">
        <f t="shared" si="14"/>
        <v>0</v>
      </c>
      <c r="K132" s="671">
        <f t="shared" si="14"/>
        <v>0</v>
      </c>
      <c r="L132" s="671">
        <f t="shared" si="14"/>
        <v>8</v>
      </c>
      <c r="M132" s="671">
        <f t="shared" si="14"/>
        <v>8</v>
      </c>
    </row>
    <row r="133" spans="1:13" ht="12.95" customHeight="1">
      <c r="A133" s="669"/>
      <c r="B133" s="670"/>
      <c r="C133" s="671"/>
      <c r="D133" s="671"/>
      <c r="E133" s="671"/>
      <c r="F133" s="671"/>
      <c r="G133" s="671"/>
      <c r="H133" s="671"/>
      <c r="I133" s="671"/>
      <c r="J133" s="671"/>
      <c r="K133" s="671"/>
      <c r="L133" s="671"/>
      <c r="M133" s="671"/>
    </row>
    <row r="134" spans="1:13" ht="18">
      <c r="A134" s="210"/>
      <c r="B134" s="211" t="s">
        <v>2062</v>
      </c>
      <c r="C134" s="212"/>
      <c r="D134" s="213" t="s">
        <v>8</v>
      </c>
      <c r="E134" s="213" t="s">
        <v>8</v>
      </c>
      <c r="F134" s="213" t="s">
        <v>8</v>
      </c>
      <c r="G134" s="213" t="s">
        <v>8</v>
      </c>
      <c r="H134" s="213" t="s">
        <v>8</v>
      </c>
      <c r="I134" s="213" t="s">
        <v>8</v>
      </c>
      <c r="J134" s="213" t="s">
        <v>8</v>
      </c>
      <c r="K134" s="213"/>
      <c r="L134" s="213">
        <v>1</v>
      </c>
      <c r="M134" s="213">
        <v>1</v>
      </c>
    </row>
    <row r="135" spans="1:13" ht="18">
      <c r="A135" s="210"/>
      <c r="B135" s="211" t="s">
        <v>2043</v>
      </c>
      <c r="C135" s="212"/>
      <c r="D135" s="213" t="s">
        <v>8</v>
      </c>
      <c r="E135" s="213" t="s">
        <v>8</v>
      </c>
      <c r="F135" s="213" t="s">
        <v>8</v>
      </c>
      <c r="G135" s="213" t="s">
        <v>8</v>
      </c>
      <c r="H135" s="213" t="s">
        <v>8</v>
      </c>
      <c r="I135" s="213" t="s">
        <v>8</v>
      </c>
      <c r="J135" s="213" t="s">
        <v>8</v>
      </c>
      <c r="K135" s="213"/>
      <c r="L135" s="213">
        <v>1</v>
      </c>
      <c r="M135" s="213">
        <v>1</v>
      </c>
    </row>
    <row r="136" spans="1:13" ht="18">
      <c r="A136" s="210"/>
      <c r="B136" s="211" t="s">
        <v>2041</v>
      </c>
      <c r="C136" s="212"/>
      <c r="D136" s="213" t="s">
        <v>8</v>
      </c>
      <c r="E136" s="213" t="s">
        <v>8</v>
      </c>
      <c r="F136" s="213" t="s">
        <v>8</v>
      </c>
      <c r="G136" s="213" t="s">
        <v>8</v>
      </c>
      <c r="H136" s="213" t="s">
        <v>8</v>
      </c>
      <c r="I136" s="213" t="s">
        <v>8</v>
      </c>
      <c r="J136" s="213" t="s">
        <v>8</v>
      </c>
      <c r="K136" s="213"/>
      <c r="L136" s="213">
        <v>1</v>
      </c>
      <c r="M136" s="213">
        <v>1</v>
      </c>
    </row>
    <row r="137" spans="1:13" ht="18">
      <c r="A137" s="210"/>
      <c r="B137" s="211" t="s">
        <v>2052</v>
      </c>
      <c r="C137" s="212"/>
      <c r="D137" s="213" t="s">
        <v>8</v>
      </c>
      <c r="E137" s="213" t="s">
        <v>8</v>
      </c>
      <c r="F137" s="213" t="s">
        <v>8</v>
      </c>
      <c r="G137" s="213" t="s">
        <v>8</v>
      </c>
      <c r="H137" s="213" t="s">
        <v>8</v>
      </c>
      <c r="I137" s="213" t="s">
        <v>8</v>
      </c>
      <c r="J137" s="213" t="s">
        <v>8</v>
      </c>
      <c r="K137" s="213"/>
      <c r="L137" s="213">
        <v>1</v>
      </c>
      <c r="M137" s="213">
        <v>1</v>
      </c>
    </row>
    <row r="138" spans="1:13" ht="18">
      <c r="A138" s="210"/>
      <c r="B138" s="211" t="s">
        <v>2053</v>
      </c>
      <c r="C138" s="212"/>
      <c r="D138" s="213" t="s">
        <v>8</v>
      </c>
      <c r="E138" s="213" t="s">
        <v>8</v>
      </c>
      <c r="F138" s="213" t="s">
        <v>8</v>
      </c>
      <c r="G138" s="213" t="s">
        <v>8</v>
      </c>
      <c r="H138" s="213" t="s">
        <v>8</v>
      </c>
      <c r="I138" s="213" t="s">
        <v>8</v>
      </c>
      <c r="J138" s="213" t="s">
        <v>8</v>
      </c>
      <c r="K138" s="213"/>
      <c r="L138" s="213">
        <v>1</v>
      </c>
      <c r="M138" s="213">
        <v>1</v>
      </c>
    </row>
    <row r="139" spans="1:13" ht="18">
      <c r="A139" s="210"/>
      <c r="B139" s="211" t="s">
        <v>2042</v>
      </c>
      <c r="C139" s="212"/>
      <c r="D139" s="213"/>
      <c r="E139" s="213"/>
      <c r="F139" s="213"/>
      <c r="G139" s="213"/>
      <c r="H139" s="213"/>
      <c r="I139" s="213"/>
      <c r="J139" s="213"/>
      <c r="K139" s="213"/>
      <c r="L139" s="213">
        <v>1</v>
      </c>
      <c r="M139" s="213">
        <v>1</v>
      </c>
    </row>
    <row r="140" spans="1:13" ht="18">
      <c r="A140" s="210"/>
      <c r="B140" s="211" t="s">
        <v>2495</v>
      </c>
      <c r="C140" s="212"/>
      <c r="D140" s="213"/>
      <c r="E140" s="213"/>
      <c r="F140" s="213"/>
      <c r="G140" s="213"/>
      <c r="H140" s="213"/>
      <c r="I140" s="213"/>
      <c r="J140" s="213"/>
      <c r="K140" s="213"/>
      <c r="L140" s="213">
        <v>1</v>
      </c>
      <c r="M140" s="213">
        <v>1</v>
      </c>
    </row>
    <row r="141" spans="1:13" ht="18">
      <c r="A141" s="210"/>
      <c r="B141" s="211" t="s">
        <v>2039</v>
      </c>
      <c r="C141" s="212"/>
      <c r="D141" s="213"/>
      <c r="E141" s="213"/>
      <c r="F141" s="213"/>
      <c r="G141" s="213"/>
      <c r="H141" s="213"/>
      <c r="I141" s="213"/>
      <c r="J141" s="213"/>
      <c r="K141" s="213"/>
      <c r="L141" s="213">
        <v>1</v>
      </c>
      <c r="M141" s="213">
        <v>1</v>
      </c>
    </row>
    <row r="142" spans="1:13" ht="18">
      <c r="A142" s="210"/>
      <c r="B142" s="211"/>
      <c r="C142" s="212"/>
      <c r="D142" s="213" t="s">
        <v>8</v>
      </c>
      <c r="E142" s="213" t="s">
        <v>8</v>
      </c>
      <c r="F142" s="213" t="s">
        <v>8</v>
      </c>
      <c r="G142" s="213" t="s">
        <v>8</v>
      </c>
      <c r="H142" s="213" t="s">
        <v>8</v>
      </c>
      <c r="I142" s="213" t="s">
        <v>8</v>
      </c>
      <c r="J142" s="213" t="s">
        <v>8</v>
      </c>
      <c r="K142" s="213" t="s">
        <v>8</v>
      </c>
      <c r="L142" s="213" t="s">
        <v>8</v>
      </c>
      <c r="M142" s="213" t="s">
        <v>8</v>
      </c>
    </row>
    <row r="143" spans="1:13" ht="18">
      <c r="A143" s="210"/>
      <c r="B143" s="211"/>
      <c r="C143" s="212"/>
      <c r="D143" s="213" t="s">
        <v>8</v>
      </c>
      <c r="E143" s="213" t="s">
        <v>8</v>
      </c>
      <c r="F143" s="213" t="s">
        <v>8</v>
      </c>
      <c r="G143" s="213" t="s">
        <v>8</v>
      </c>
      <c r="H143" s="213" t="s">
        <v>8</v>
      </c>
      <c r="I143" s="213" t="s">
        <v>8</v>
      </c>
      <c r="J143" s="213" t="s">
        <v>8</v>
      </c>
      <c r="K143" s="213" t="s">
        <v>8</v>
      </c>
      <c r="L143" s="213" t="s">
        <v>8</v>
      </c>
      <c r="M143" s="213" t="s">
        <v>8</v>
      </c>
    </row>
    <row r="144" spans="1:13" ht="12" customHeight="1">
      <c r="A144" s="668" t="s">
        <v>335</v>
      </c>
      <c r="B144" s="670" t="s">
        <v>336</v>
      </c>
      <c r="C144" s="671">
        <f>LARGE(D144:M145,1)</f>
        <v>5</v>
      </c>
      <c r="D144" s="671">
        <f t="shared" ref="D144:M144" si="15">SUM(D146:D152)</f>
        <v>0</v>
      </c>
      <c r="E144" s="671">
        <f t="shared" si="15"/>
        <v>0</v>
      </c>
      <c r="F144" s="671">
        <f t="shared" si="15"/>
        <v>0</v>
      </c>
      <c r="G144" s="671">
        <f t="shared" si="15"/>
        <v>0</v>
      </c>
      <c r="H144" s="671">
        <f t="shared" si="15"/>
        <v>0</v>
      </c>
      <c r="I144" s="671">
        <f t="shared" si="15"/>
        <v>5</v>
      </c>
      <c r="J144" s="671">
        <f t="shared" si="15"/>
        <v>5</v>
      </c>
      <c r="K144" s="671">
        <f t="shared" si="15"/>
        <v>5</v>
      </c>
      <c r="L144" s="671">
        <f t="shared" si="15"/>
        <v>0</v>
      </c>
      <c r="M144" s="671">
        <f t="shared" si="15"/>
        <v>0</v>
      </c>
    </row>
    <row r="145" spans="1:13" ht="12.95" customHeight="1">
      <c r="A145" s="669"/>
      <c r="B145" s="670"/>
      <c r="C145" s="671"/>
      <c r="D145" s="671"/>
      <c r="E145" s="671"/>
      <c r="F145" s="671"/>
      <c r="G145" s="671"/>
      <c r="H145" s="671"/>
      <c r="I145" s="671"/>
      <c r="J145" s="671"/>
      <c r="K145" s="671"/>
      <c r="L145" s="671"/>
      <c r="M145" s="671"/>
    </row>
    <row r="146" spans="1:13" ht="18">
      <c r="A146" s="210"/>
      <c r="B146" s="211" t="s">
        <v>2041</v>
      </c>
      <c r="C146" s="212"/>
      <c r="D146" s="213" t="s">
        <v>8</v>
      </c>
      <c r="E146" s="213" t="s">
        <v>8</v>
      </c>
      <c r="F146" s="213" t="s">
        <v>8</v>
      </c>
      <c r="G146" s="213" t="s">
        <v>8</v>
      </c>
      <c r="H146" s="213" t="s">
        <v>8</v>
      </c>
      <c r="I146" s="213">
        <v>1</v>
      </c>
      <c r="J146" s="213">
        <v>1</v>
      </c>
      <c r="K146" s="213">
        <v>1</v>
      </c>
      <c r="L146" s="213"/>
      <c r="M146" s="213" t="s">
        <v>8</v>
      </c>
    </row>
    <row r="147" spans="1:13" ht="18">
      <c r="A147" s="210"/>
      <c r="B147" s="211" t="s">
        <v>2043</v>
      </c>
      <c r="C147" s="212"/>
      <c r="D147" s="213" t="s">
        <v>8</v>
      </c>
      <c r="E147" s="213" t="s">
        <v>8</v>
      </c>
      <c r="F147" s="213" t="s">
        <v>8</v>
      </c>
      <c r="G147" s="213" t="s">
        <v>8</v>
      </c>
      <c r="H147" s="213" t="s">
        <v>8</v>
      </c>
      <c r="I147" s="213">
        <v>1</v>
      </c>
      <c r="J147" s="213">
        <v>1</v>
      </c>
      <c r="K147" s="213">
        <v>1</v>
      </c>
      <c r="L147" s="213"/>
      <c r="M147" s="213" t="s">
        <v>8</v>
      </c>
    </row>
    <row r="148" spans="1:13" ht="18">
      <c r="A148" s="210"/>
      <c r="B148" s="211" t="s">
        <v>2039</v>
      </c>
      <c r="C148" s="212"/>
      <c r="D148" s="213" t="s">
        <v>8</v>
      </c>
      <c r="E148" s="213" t="s">
        <v>8</v>
      </c>
      <c r="F148" s="213" t="s">
        <v>8</v>
      </c>
      <c r="G148" s="213" t="s">
        <v>8</v>
      </c>
      <c r="H148" s="213" t="s">
        <v>8</v>
      </c>
      <c r="I148" s="213">
        <v>1</v>
      </c>
      <c r="J148" s="213">
        <v>1</v>
      </c>
      <c r="K148" s="213">
        <v>1</v>
      </c>
      <c r="L148" s="213"/>
      <c r="M148" s="213" t="s">
        <v>8</v>
      </c>
    </row>
    <row r="149" spans="1:13" ht="18">
      <c r="A149" s="210"/>
      <c r="B149" s="211" t="s">
        <v>2063</v>
      </c>
      <c r="C149" s="212"/>
      <c r="D149" s="213" t="s">
        <v>8</v>
      </c>
      <c r="E149" s="213" t="s">
        <v>8</v>
      </c>
      <c r="F149" s="213" t="s">
        <v>8</v>
      </c>
      <c r="G149" s="213" t="s">
        <v>8</v>
      </c>
      <c r="H149" s="213" t="s">
        <v>8</v>
      </c>
      <c r="I149" s="213">
        <v>1</v>
      </c>
      <c r="J149" s="213">
        <v>1</v>
      </c>
      <c r="K149" s="213">
        <v>1</v>
      </c>
      <c r="L149" s="213"/>
      <c r="M149" s="213" t="s">
        <v>8</v>
      </c>
    </row>
    <row r="150" spans="1:13" ht="18">
      <c r="A150" s="210"/>
      <c r="B150" s="211" t="s">
        <v>2042</v>
      </c>
      <c r="C150" s="212"/>
      <c r="D150" s="213" t="s">
        <v>8</v>
      </c>
      <c r="E150" s="213" t="s">
        <v>8</v>
      </c>
      <c r="F150" s="213" t="s">
        <v>8</v>
      </c>
      <c r="G150" s="213" t="s">
        <v>8</v>
      </c>
      <c r="H150" s="213" t="s">
        <v>8</v>
      </c>
      <c r="I150" s="213">
        <v>1</v>
      </c>
      <c r="J150" s="213">
        <v>1</v>
      </c>
      <c r="K150" s="213">
        <v>1</v>
      </c>
      <c r="L150" s="213"/>
      <c r="M150" s="213" t="s">
        <v>8</v>
      </c>
    </row>
    <row r="151" spans="1:13" ht="18">
      <c r="A151" s="210"/>
      <c r="B151" s="211"/>
      <c r="C151" s="212"/>
      <c r="D151" s="213" t="s">
        <v>8</v>
      </c>
      <c r="E151" s="213" t="s">
        <v>8</v>
      </c>
      <c r="F151" s="213" t="s">
        <v>8</v>
      </c>
      <c r="G151" s="213" t="s">
        <v>8</v>
      </c>
      <c r="H151" s="213" t="s">
        <v>8</v>
      </c>
      <c r="I151" s="213" t="s">
        <v>8</v>
      </c>
      <c r="J151" s="213" t="s">
        <v>8</v>
      </c>
      <c r="K151" s="213" t="s">
        <v>8</v>
      </c>
      <c r="L151" s="213" t="s">
        <v>8</v>
      </c>
      <c r="M151" s="213" t="s">
        <v>8</v>
      </c>
    </row>
    <row r="152" spans="1:13" ht="18">
      <c r="A152" s="210"/>
      <c r="B152" s="211"/>
      <c r="C152" s="212"/>
      <c r="D152" s="213" t="s">
        <v>8</v>
      </c>
      <c r="E152" s="213" t="s">
        <v>8</v>
      </c>
      <c r="F152" s="213" t="s">
        <v>8</v>
      </c>
      <c r="G152" s="213" t="s">
        <v>8</v>
      </c>
      <c r="H152" s="213" t="s">
        <v>8</v>
      </c>
      <c r="I152" s="213" t="s">
        <v>8</v>
      </c>
      <c r="J152" s="213" t="s">
        <v>8</v>
      </c>
      <c r="K152" s="213" t="s">
        <v>8</v>
      </c>
      <c r="L152" s="213" t="s">
        <v>8</v>
      </c>
      <c r="M152" s="213" t="s">
        <v>8</v>
      </c>
    </row>
    <row r="153" spans="1:13" ht="12" customHeight="1">
      <c r="A153" s="668" t="s">
        <v>339</v>
      </c>
      <c r="B153" s="670" t="s">
        <v>340</v>
      </c>
      <c r="C153" s="671">
        <f>LARGE(D153:M154,1)</f>
        <v>3</v>
      </c>
      <c r="D153" s="671">
        <f>SUM(D155:D159)</f>
        <v>0</v>
      </c>
      <c r="E153" s="671">
        <f t="shared" ref="E153:M153" si="16">SUM(E155:E159)</f>
        <v>0</v>
      </c>
      <c r="F153" s="671">
        <f t="shared" si="16"/>
        <v>0</v>
      </c>
      <c r="G153" s="671">
        <f t="shared" si="16"/>
        <v>0</v>
      </c>
      <c r="H153" s="671">
        <f t="shared" si="16"/>
        <v>0</v>
      </c>
      <c r="I153" s="671">
        <f t="shared" si="16"/>
        <v>0</v>
      </c>
      <c r="J153" s="671">
        <f t="shared" si="16"/>
        <v>0</v>
      </c>
      <c r="K153" s="671">
        <f t="shared" si="16"/>
        <v>3</v>
      </c>
      <c r="L153" s="671">
        <f t="shared" si="16"/>
        <v>0</v>
      </c>
      <c r="M153" s="671">
        <f t="shared" si="16"/>
        <v>0</v>
      </c>
    </row>
    <row r="154" spans="1:13" ht="12.95" customHeight="1">
      <c r="A154" s="669"/>
      <c r="B154" s="670"/>
      <c r="C154" s="671"/>
      <c r="D154" s="671"/>
      <c r="E154" s="671"/>
      <c r="F154" s="671"/>
      <c r="G154" s="671"/>
      <c r="H154" s="671"/>
      <c r="I154" s="671"/>
      <c r="J154" s="671"/>
      <c r="K154" s="671"/>
      <c r="L154" s="671"/>
      <c r="M154" s="671"/>
    </row>
    <row r="155" spans="1:13" ht="18">
      <c r="A155" s="210"/>
      <c r="B155" s="211" t="s">
        <v>2041</v>
      </c>
      <c r="C155" s="212"/>
      <c r="D155" s="213" t="s">
        <v>8</v>
      </c>
      <c r="E155" s="213" t="s">
        <v>8</v>
      </c>
      <c r="F155" s="213" t="s">
        <v>8</v>
      </c>
      <c r="G155" s="213" t="s">
        <v>8</v>
      </c>
      <c r="H155" s="213" t="s">
        <v>8</v>
      </c>
      <c r="I155" s="213" t="s">
        <v>8</v>
      </c>
      <c r="J155" s="213" t="s">
        <v>8</v>
      </c>
      <c r="K155" s="213">
        <v>1</v>
      </c>
      <c r="L155" s="213" t="s">
        <v>8</v>
      </c>
      <c r="M155" s="213" t="s">
        <v>8</v>
      </c>
    </row>
    <row r="156" spans="1:13" ht="18">
      <c r="A156" s="210"/>
      <c r="B156" s="211" t="s">
        <v>2043</v>
      </c>
      <c r="C156" s="212"/>
      <c r="D156" s="213" t="s">
        <v>8</v>
      </c>
      <c r="E156" s="213" t="s">
        <v>8</v>
      </c>
      <c r="F156" s="213" t="s">
        <v>8</v>
      </c>
      <c r="G156" s="213" t="s">
        <v>8</v>
      </c>
      <c r="H156" s="213" t="s">
        <v>8</v>
      </c>
      <c r="I156" s="213" t="s">
        <v>8</v>
      </c>
      <c r="J156" s="213" t="s">
        <v>8</v>
      </c>
      <c r="K156" s="213">
        <v>1</v>
      </c>
      <c r="L156" s="213" t="s">
        <v>8</v>
      </c>
      <c r="M156" s="213" t="s">
        <v>8</v>
      </c>
    </row>
    <row r="157" spans="1:13" ht="18">
      <c r="A157" s="210"/>
      <c r="B157" s="211" t="s">
        <v>2039</v>
      </c>
      <c r="C157" s="212"/>
      <c r="D157" s="213" t="s">
        <v>8</v>
      </c>
      <c r="E157" s="213" t="s">
        <v>8</v>
      </c>
      <c r="F157" s="213" t="s">
        <v>8</v>
      </c>
      <c r="G157" s="213" t="s">
        <v>8</v>
      </c>
      <c r="H157" s="213" t="s">
        <v>8</v>
      </c>
      <c r="I157" s="213" t="s">
        <v>8</v>
      </c>
      <c r="J157" s="213" t="s">
        <v>8</v>
      </c>
      <c r="K157" s="213">
        <v>1</v>
      </c>
      <c r="L157" s="213" t="s">
        <v>8</v>
      </c>
      <c r="M157" s="213" t="s">
        <v>8</v>
      </c>
    </row>
    <row r="158" spans="1:13" ht="18">
      <c r="A158" s="210"/>
      <c r="B158" s="211"/>
      <c r="C158" s="212"/>
      <c r="D158" s="213" t="s">
        <v>8</v>
      </c>
      <c r="E158" s="213" t="s">
        <v>8</v>
      </c>
      <c r="F158" s="213" t="s">
        <v>8</v>
      </c>
      <c r="G158" s="213" t="s">
        <v>8</v>
      </c>
      <c r="H158" s="213" t="s">
        <v>8</v>
      </c>
      <c r="I158" s="213" t="s">
        <v>8</v>
      </c>
      <c r="J158" s="213" t="s">
        <v>8</v>
      </c>
      <c r="K158" s="213" t="s">
        <v>8</v>
      </c>
      <c r="L158" s="213" t="s">
        <v>8</v>
      </c>
      <c r="M158" s="213" t="s">
        <v>8</v>
      </c>
    </row>
    <row r="159" spans="1:13" ht="18">
      <c r="A159" s="210"/>
      <c r="B159" s="211"/>
      <c r="C159" s="212"/>
      <c r="D159" s="213" t="s">
        <v>8</v>
      </c>
      <c r="E159" s="213" t="s">
        <v>8</v>
      </c>
      <c r="F159" s="213" t="s">
        <v>8</v>
      </c>
      <c r="G159" s="213" t="s">
        <v>8</v>
      </c>
      <c r="H159" s="213" t="s">
        <v>8</v>
      </c>
      <c r="I159" s="213" t="s">
        <v>8</v>
      </c>
      <c r="J159" s="213" t="s">
        <v>8</v>
      </c>
      <c r="K159" s="213" t="s">
        <v>8</v>
      </c>
      <c r="L159" s="213" t="s">
        <v>8</v>
      </c>
      <c r="M159" s="213" t="s">
        <v>8</v>
      </c>
    </row>
    <row r="160" spans="1:13" ht="12" customHeight="1">
      <c r="A160" s="668" t="s">
        <v>345</v>
      </c>
      <c r="B160" s="670" t="s">
        <v>327</v>
      </c>
      <c r="C160" s="671">
        <f>LARGE(D160:M161,1)</f>
        <v>2</v>
      </c>
      <c r="D160" s="671">
        <f t="shared" ref="D160:M160" si="17">SUM(D162:D165)</f>
        <v>0</v>
      </c>
      <c r="E160" s="671">
        <f t="shared" si="17"/>
        <v>0</v>
      </c>
      <c r="F160" s="671">
        <f t="shared" si="17"/>
        <v>0</v>
      </c>
      <c r="G160" s="671">
        <f t="shared" si="17"/>
        <v>0</v>
      </c>
      <c r="H160" s="671">
        <f t="shared" si="17"/>
        <v>0</v>
      </c>
      <c r="I160" s="671">
        <f t="shared" si="17"/>
        <v>0</v>
      </c>
      <c r="J160" s="671">
        <f t="shared" si="17"/>
        <v>0</v>
      </c>
      <c r="K160" s="671">
        <f t="shared" si="17"/>
        <v>0</v>
      </c>
      <c r="L160" s="671">
        <f t="shared" si="17"/>
        <v>2</v>
      </c>
      <c r="M160" s="671">
        <f t="shared" si="17"/>
        <v>0</v>
      </c>
    </row>
    <row r="161" spans="1:13" ht="12.95" customHeight="1">
      <c r="A161" s="669"/>
      <c r="B161" s="670"/>
      <c r="C161" s="671"/>
      <c r="D161" s="671"/>
      <c r="E161" s="671"/>
      <c r="F161" s="671"/>
      <c r="G161" s="671"/>
      <c r="H161" s="671"/>
      <c r="I161" s="671"/>
      <c r="J161" s="671"/>
      <c r="K161" s="671"/>
      <c r="L161" s="671"/>
      <c r="M161" s="671"/>
    </row>
    <row r="162" spans="1:13" ht="18">
      <c r="A162" s="210"/>
      <c r="B162" s="211" t="s">
        <v>2060</v>
      </c>
      <c r="C162" s="212"/>
      <c r="D162" s="213" t="s">
        <v>8</v>
      </c>
      <c r="E162" s="213" t="s">
        <v>8</v>
      </c>
      <c r="F162" s="213" t="s">
        <v>8</v>
      </c>
      <c r="G162" s="213" t="s">
        <v>8</v>
      </c>
      <c r="H162" s="213" t="s">
        <v>8</v>
      </c>
      <c r="I162" s="213" t="s">
        <v>8</v>
      </c>
      <c r="J162" s="213" t="s">
        <v>8</v>
      </c>
      <c r="K162" s="213" t="s">
        <v>8</v>
      </c>
      <c r="L162" s="213">
        <v>1</v>
      </c>
      <c r="M162" s="213" t="s">
        <v>8</v>
      </c>
    </row>
    <row r="163" spans="1:13" ht="18">
      <c r="A163" s="210"/>
      <c r="B163" s="211" t="s">
        <v>2061</v>
      </c>
      <c r="C163" s="212"/>
      <c r="D163" s="213" t="s">
        <v>8</v>
      </c>
      <c r="E163" s="213" t="s">
        <v>8</v>
      </c>
      <c r="F163" s="213" t="s">
        <v>8</v>
      </c>
      <c r="G163" s="213" t="s">
        <v>8</v>
      </c>
      <c r="H163" s="213" t="s">
        <v>8</v>
      </c>
      <c r="I163" s="213" t="s">
        <v>8</v>
      </c>
      <c r="J163" s="213" t="s">
        <v>8</v>
      </c>
      <c r="K163" s="213" t="s">
        <v>8</v>
      </c>
      <c r="L163" s="213">
        <v>1</v>
      </c>
      <c r="M163" s="213" t="s">
        <v>8</v>
      </c>
    </row>
    <row r="164" spans="1:13" ht="18">
      <c r="A164" s="210"/>
      <c r="B164" s="211"/>
      <c r="C164" s="212"/>
      <c r="D164" s="213" t="s">
        <v>8</v>
      </c>
      <c r="E164" s="213" t="s">
        <v>8</v>
      </c>
      <c r="F164" s="213" t="s">
        <v>8</v>
      </c>
      <c r="G164" s="213" t="s">
        <v>8</v>
      </c>
      <c r="H164" s="213" t="s">
        <v>8</v>
      </c>
      <c r="I164" s="213" t="s">
        <v>8</v>
      </c>
      <c r="J164" s="213" t="s">
        <v>8</v>
      </c>
      <c r="K164" s="213" t="s">
        <v>8</v>
      </c>
      <c r="L164" s="213" t="s">
        <v>8</v>
      </c>
      <c r="M164" s="213" t="s">
        <v>8</v>
      </c>
    </row>
    <row r="165" spans="1:13" ht="18">
      <c r="A165" s="210"/>
      <c r="B165" s="211"/>
      <c r="C165" s="212"/>
      <c r="D165" s="213" t="s">
        <v>8</v>
      </c>
      <c r="E165" s="213" t="s">
        <v>8</v>
      </c>
      <c r="F165" s="213" t="s">
        <v>8</v>
      </c>
      <c r="G165" s="213" t="s">
        <v>8</v>
      </c>
      <c r="H165" s="213" t="s">
        <v>8</v>
      </c>
      <c r="I165" s="213" t="s">
        <v>8</v>
      </c>
      <c r="J165" s="213" t="s">
        <v>8</v>
      </c>
      <c r="K165" s="213" t="s">
        <v>8</v>
      </c>
      <c r="L165" s="213" t="s">
        <v>8</v>
      </c>
      <c r="M165" s="213" t="s">
        <v>8</v>
      </c>
    </row>
    <row r="166" spans="1:13" ht="12" customHeight="1">
      <c r="A166" s="668" t="s">
        <v>474</v>
      </c>
      <c r="B166" s="670" t="s">
        <v>747</v>
      </c>
      <c r="C166" s="671">
        <f>LARGE(D166:M167,1)</f>
        <v>11</v>
      </c>
      <c r="D166" s="671">
        <f t="shared" ref="D166:M166" si="18">SUM(D168:D178)</f>
        <v>0</v>
      </c>
      <c r="E166" s="671">
        <f t="shared" si="18"/>
        <v>0</v>
      </c>
      <c r="F166" s="671">
        <f t="shared" si="18"/>
        <v>11</v>
      </c>
      <c r="G166" s="671">
        <f t="shared" si="18"/>
        <v>0</v>
      </c>
      <c r="H166" s="671">
        <f t="shared" si="18"/>
        <v>0</v>
      </c>
      <c r="I166" s="671">
        <f t="shared" si="18"/>
        <v>0</v>
      </c>
      <c r="J166" s="671">
        <f t="shared" si="18"/>
        <v>0</v>
      </c>
      <c r="K166" s="671">
        <f t="shared" si="18"/>
        <v>0</v>
      </c>
      <c r="L166" s="671">
        <f t="shared" si="18"/>
        <v>0</v>
      </c>
      <c r="M166" s="671">
        <f t="shared" si="18"/>
        <v>0</v>
      </c>
    </row>
    <row r="167" spans="1:13" ht="12.95" customHeight="1">
      <c r="A167" s="669"/>
      <c r="B167" s="670"/>
      <c r="C167" s="671"/>
      <c r="D167" s="671"/>
      <c r="E167" s="671"/>
      <c r="F167" s="671"/>
      <c r="G167" s="671"/>
      <c r="H167" s="671"/>
      <c r="I167" s="671"/>
      <c r="J167" s="671"/>
      <c r="K167" s="671"/>
      <c r="L167" s="671"/>
      <c r="M167" s="671"/>
    </row>
    <row r="168" spans="1:13" ht="18">
      <c r="A168" s="210"/>
      <c r="B168" s="211" t="s">
        <v>2060</v>
      </c>
      <c r="C168" s="212"/>
      <c r="D168" s="213" t="s">
        <v>8</v>
      </c>
      <c r="E168" s="213" t="s">
        <v>8</v>
      </c>
      <c r="F168" s="213">
        <v>2</v>
      </c>
      <c r="G168" s="213" t="s">
        <v>8</v>
      </c>
      <c r="H168" s="213" t="s">
        <v>8</v>
      </c>
      <c r="I168" s="213" t="s">
        <v>8</v>
      </c>
      <c r="J168" s="213" t="s">
        <v>8</v>
      </c>
      <c r="K168" s="213" t="s">
        <v>8</v>
      </c>
      <c r="L168" s="213" t="s">
        <v>8</v>
      </c>
      <c r="M168" s="213" t="s">
        <v>8</v>
      </c>
    </row>
    <row r="169" spans="1:13" ht="18">
      <c r="A169" s="210"/>
      <c r="B169" s="211" t="s">
        <v>2041</v>
      </c>
      <c r="C169" s="212"/>
      <c r="D169" s="213" t="s">
        <v>8</v>
      </c>
      <c r="E169" s="213" t="s">
        <v>8</v>
      </c>
      <c r="F169" s="213">
        <v>1</v>
      </c>
      <c r="G169" s="213" t="s">
        <v>8</v>
      </c>
      <c r="H169" s="213" t="s">
        <v>8</v>
      </c>
      <c r="I169" s="213" t="s">
        <v>8</v>
      </c>
      <c r="J169" s="213" t="s">
        <v>8</v>
      </c>
      <c r="K169" s="213" t="s">
        <v>8</v>
      </c>
      <c r="L169" s="213" t="s">
        <v>8</v>
      </c>
      <c r="M169" s="213" t="s">
        <v>8</v>
      </c>
    </row>
    <row r="170" spans="1:13" ht="18">
      <c r="A170" s="210"/>
      <c r="B170" s="211" t="s">
        <v>2061</v>
      </c>
      <c r="C170" s="212"/>
      <c r="D170" s="213" t="s">
        <v>8</v>
      </c>
      <c r="E170" s="213" t="s">
        <v>8</v>
      </c>
      <c r="F170" s="213">
        <v>2</v>
      </c>
      <c r="G170" s="213" t="s">
        <v>8</v>
      </c>
      <c r="H170" s="213" t="s">
        <v>8</v>
      </c>
      <c r="I170" s="213" t="s">
        <v>8</v>
      </c>
      <c r="J170" s="213" t="s">
        <v>8</v>
      </c>
      <c r="K170" s="213" t="s">
        <v>8</v>
      </c>
      <c r="L170" s="213" t="s">
        <v>8</v>
      </c>
      <c r="M170" s="213" t="s">
        <v>8</v>
      </c>
    </row>
    <row r="171" spans="1:13" ht="18">
      <c r="A171" s="210"/>
      <c r="B171" s="211" t="s">
        <v>2147</v>
      </c>
      <c r="C171" s="212"/>
      <c r="D171" s="213" t="s">
        <v>8</v>
      </c>
      <c r="E171" s="213" t="s">
        <v>8</v>
      </c>
      <c r="F171" s="213">
        <v>1</v>
      </c>
      <c r="G171" s="213" t="s">
        <v>8</v>
      </c>
      <c r="H171" s="213" t="s">
        <v>8</v>
      </c>
      <c r="I171" s="213" t="s">
        <v>8</v>
      </c>
      <c r="J171" s="213" t="s">
        <v>8</v>
      </c>
      <c r="K171" s="213" t="s">
        <v>8</v>
      </c>
      <c r="L171" s="213" t="s">
        <v>8</v>
      </c>
      <c r="M171" s="213" t="s">
        <v>8</v>
      </c>
    </row>
    <row r="172" spans="1:13" ht="18">
      <c r="A172" s="210"/>
      <c r="B172" s="211" t="s">
        <v>2042</v>
      </c>
      <c r="C172" s="212"/>
      <c r="D172" s="213" t="s">
        <v>8</v>
      </c>
      <c r="E172" s="213" t="s">
        <v>8</v>
      </c>
      <c r="F172" s="213">
        <v>1</v>
      </c>
      <c r="G172" s="213" t="s">
        <v>8</v>
      </c>
      <c r="H172" s="213" t="s">
        <v>8</v>
      </c>
      <c r="I172" s="213" t="s">
        <v>8</v>
      </c>
      <c r="J172" s="213" t="s">
        <v>8</v>
      </c>
      <c r="K172" s="213" t="s">
        <v>8</v>
      </c>
      <c r="L172" s="213" t="s">
        <v>8</v>
      </c>
      <c r="M172" s="213" t="s">
        <v>8</v>
      </c>
    </row>
    <row r="173" spans="1:13" ht="18">
      <c r="A173" s="210"/>
      <c r="B173" s="211" t="s">
        <v>2043</v>
      </c>
      <c r="C173" s="212"/>
      <c r="D173" s="213" t="s">
        <v>8</v>
      </c>
      <c r="E173" s="213" t="s">
        <v>8</v>
      </c>
      <c r="F173" s="213">
        <v>1</v>
      </c>
      <c r="G173" s="213" t="s">
        <v>8</v>
      </c>
      <c r="H173" s="213" t="s">
        <v>8</v>
      </c>
      <c r="I173" s="213" t="s">
        <v>8</v>
      </c>
      <c r="J173" s="213" t="s">
        <v>8</v>
      </c>
      <c r="K173" s="213" t="s">
        <v>8</v>
      </c>
      <c r="L173" s="213" t="s">
        <v>8</v>
      </c>
      <c r="M173" s="213" t="s">
        <v>8</v>
      </c>
    </row>
    <row r="174" spans="1:13" ht="18">
      <c r="A174" s="210"/>
      <c r="B174" s="211" t="s">
        <v>2038</v>
      </c>
      <c r="C174" s="212"/>
      <c r="D174" s="213"/>
      <c r="E174" s="213"/>
      <c r="F174" s="213">
        <v>1</v>
      </c>
      <c r="G174" s="213"/>
      <c r="H174" s="213"/>
      <c r="I174" s="213"/>
      <c r="J174" s="213"/>
      <c r="K174" s="213"/>
      <c r="L174" s="213"/>
      <c r="M174" s="213"/>
    </row>
    <row r="175" spans="1:13" ht="18">
      <c r="A175" s="210"/>
      <c r="B175" s="211" t="s">
        <v>2040</v>
      </c>
      <c r="C175" s="212"/>
      <c r="D175" s="213"/>
      <c r="E175" s="213"/>
      <c r="F175" s="213">
        <v>1</v>
      </c>
      <c r="G175" s="213"/>
      <c r="H175" s="213"/>
      <c r="I175" s="213"/>
      <c r="J175" s="213"/>
      <c r="K175" s="213"/>
      <c r="L175" s="213"/>
      <c r="M175" s="213"/>
    </row>
    <row r="176" spans="1:13" ht="18">
      <c r="A176" s="210"/>
      <c r="B176" s="211" t="s">
        <v>2042</v>
      </c>
      <c r="C176" s="212"/>
      <c r="D176" s="213"/>
      <c r="E176" s="213"/>
      <c r="F176" s="213">
        <v>1</v>
      </c>
      <c r="G176" s="213"/>
      <c r="H176" s="213"/>
      <c r="I176" s="213"/>
      <c r="J176" s="213"/>
      <c r="K176" s="213"/>
      <c r="L176" s="213"/>
      <c r="M176" s="213"/>
    </row>
    <row r="177" spans="1:13" ht="18">
      <c r="A177" s="210"/>
      <c r="B177" s="211"/>
      <c r="C177" s="212"/>
      <c r="D177" s="213" t="s">
        <v>8</v>
      </c>
      <c r="E177" s="213" t="s">
        <v>8</v>
      </c>
      <c r="F177" s="213"/>
      <c r="G177" s="213" t="s">
        <v>8</v>
      </c>
      <c r="H177" s="213" t="s">
        <v>8</v>
      </c>
      <c r="I177" s="213" t="s">
        <v>8</v>
      </c>
      <c r="J177" s="213" t="s">
        <v>8</v>
      </c>
      <c r="K177" s="213" t="s">
        <v>8</v>
      </c>
      <c r="L177" s="213" t="s">
        <v>8</v>
      </c>
      <c r="M177" s="213" t="s">
        <v>8</v>
      </c>
    </row>
    <row r="178" spans="1:13" ht="18">
      <c r="A178" s="210"/>
      <c r="B178" s="211"/>
      <c r="C178" s="212"/>
      <c r="D178" s="213" t="s">
        <v>8</v>
      </c>
      <c r="E178" s="213" t="s">
        <v>8</v>
      </c>
      <c r="F178" s="213"/>
      <c r="G178" s="213" t="s">
        <v>8</v>
      </c>
      <c r="H178" s="213" t="s">
        <v>8</v>
      </c>
      <c r="I178" s="213" t="s">
        <v>8</v>
      </c>
      <c r="J178" s="213" t="s">
        <v>8</v>
      </c>
      <c r="K178" s="213" t="s">
        <v>8</v>
      </c>
      <c r="L178" s="213" t="s">
        <v>8</v>
      </c>
      <c r="M178" s="213" t="s">
        <v>8</v>
      </c>
    </row>
    <row r="179" spans="1:13" ht="12" customHeight="1">
      <c r="A179" s="668" t="s">
        <v>2025</v>
      </c>
      <c r="B179" s="670" t="s">
        <v>26</v>
      </c>
      <c r="C179" s="671">
        <f>LARGE(D179:M180,1)</f>
        <v>4</v>
      </c>
      <c r="D179" s="671">
        <f t="shared" ref="D179:M179" si="19">SUM(D181:D186)</f>
        <v>0</v>
      </c>
      <c r="E179" s="671">
        <f t="shared" si="19"/>
        <v>0</v>
      </c>
      <c r="F179" s="671">
        <f t="shared" si="19"/>
        <v>4</v>
      </c>
      <c r="G179" s="671">
        <f t="shared" si="19"/>
        <v>4</v>
      </c>
      <c r="H179" s="671">
        <f t="shared" si="19"/>
        <v>4</v>
      </c>
      <c r="I179" s="671">
        <f t="shared" si="19"/>
        <v>4</v>
      </c>
      <c r="J179" s="671">
        <f t="shared" si="19"/>
        <v>4</v>
      </c>
      <c r="K179" s="671">
        <f t="shared" si="19"/>
        <v>4</v>
      </c>
      <c r="L179" s="671">
        <f t="shared" si="19"/>
        <v>0</v>
      </c>
      <c r="M179" s="671">
        <f t="shared" si="19"/>
        <v>0</v>
      </c>
    </row>
    <row r="180" spans="1:13" ht="12.95" customHeight="1">
      <c r="A180" s="669"/>
      <c r="B180" s="670"/>
      <c r="C180" s="671"/>
      <c r="D180" s="671"/>
      <c r="E180" s="671"/>
      <c r="F180" s="671"/>
      <c r="G180" s="671"/>
      <c r="H180" s="671"/>
      <c r="I180" s="671"/>
      <c r="J180" s="671"/>
      <c r="K180" s="671"/>
      <c r="L180" s="671"/>
      <c r="M180" s="671"/>
    </row>
    <row r="181" spans="1:13" ht="18">
      <c r="A181" s="210"/>
      <c r="B181" s="211" t="s">
        <v>2045</v>
      </c>
      <c r="C181" s="212"/>
      <c r="D181" s="213" t="s">
        <v>8</v>
      </c>
      <c r="E181" s="213" t="s">
        <v>8</v>
      </c>
      <c r="F181" s="213">
        <v>1</v>
      </c>
      <c r="G181" s="213">
        <v>1</v>
      </c>
      <c r="H181" s="213">
        <v>1</v>
      </c>
      <c r="I181" s="213">
        <v>1</v>
      </c>
      <c r="J181" s="213">
        <v>1</v>
      </c>
      <c r="K181" s="213">
        <v>1</v>
      </c>
      <c r="L181" s="213"/>
      <c r="M181" s="213"/>
    </row>
    <row r="182" spans="1:13" ht="18">
      <c r="A182" s="210"/>
      <c r="B182" s="211" t="s">
        <v>2044</v>
      </c>
      <c r="C182" s="212"/>
      <c r="D182" s="213" t="s">
        <v>8</v>
      </c>
      <c r="E182" s="213" t="s">
        <v>8</v>
      </c>
      <c r="F182" s="213">
        <v>1</v>
      </c>
      <c r="G182" s="213">
        <v>1</v>
      </c>
      <c r="H182" s="213">
        <v>1</v>
      </c>
      <c r="I182" s="213">
        <v>1</v>
      </c>
      <c r="J182" s="213">
        <v>1</v>
      </c>
      <c r="K182" s="213">
        <v>1</v>
      </c>
      <c r="L182" s="213"/>
      <c r="M182" s="213"/>
    </row>
    <row r="183" spans="1:13" ht="18">
      <c r="A183" s="210"/>
      <c r="B183" s="211" t="s">
        <v>2043</v>
      </c>
      <c r="C183" s="212"/>
      <c r="D183" s="213" t="s">
        <v>8</v>
      </c>
      <c r="E183" s="213" t="s">
        <v>8</v>
      </c>
      <c r="F183" s="213">
        <v>1</v>
      </c>
      <c r="G183" s="213">
        <v>1</v>
      </c>
      <c r="H183" s="213">
        <v>1</v>
      </c>
      <c r="I183" s="213">
        <v>1</v>
      </c>
      <c r="J183" s="213">
        <v>1</v>
      </c>
      <c r="K183" s="213">
        <v>1</v>
      </c>
      <c r="L183" s="213"/>
      <c r="M183" s="213"/>
    </row>
    <row r="184" spans="1:13" ht="18">
      <c r="A184" s="210"/>
      <c r="B184" s="211" t="s">
        <v>2041</v>
      </c>
      <c r="C184" s="212"/>
      <c r="D184" s="213" t="s">
        <v>8</v>
      </c>
      <c r="E184" s="213" t="s">
        <v>8</v>
      </c>
      <c r="F184" s="213">
        <v>1</v>
      </c>
      <c r="G184" s="213">
        <v>1</v>
      </c>
      <c r="H184" s="213">
        <v>1</v>
      </c>
      <c r="I184" s="213">
        <v>1</v>
      </c>
      <c r="J184" s="213">
        <v>1</v>
      </c>
      <c r="K184" s="213">
        <v>1</v>
      </c>
      <c r="L184" s="213"/>
      <c r="M184" s="213"/>
    </row>
    <row r="185" spans="1:13" ht="18">
      <c r="A185" s="210"/>
      <c r="B185" s="211"/>
      <c r="C185" s="212"/>
      <c r="D185" s="213"/>
      <c r="E185" s="213"/>
      <c r="F185" s="213"/>
      <c r="G185" s="213"/>
      <c r="H185" s="213"/>
      <c r="I185" s="213"/>
      <c r="J185" s="213"/>
      <c r="K185" s="213"/>
      <c r="L185" s="213"/>
      <c r="M185" s="213"/>
    </row>
    <row r="186" spans="1:13" ht="18">
      <c r="A186" s="210"/>
      <c r="B186" s="211"/>
      <c r="C186" s="212"/>
      <c r="D186" s="213"/>
      <c r="E186" s="213"/>
      <c r="F186" s="213"/>
      <c r="G186" s="213"/>
      <c r="H186" s="213"/>
      <c r="I186" s="213"/>
      <c r="J186" s="213"/>
      <c r="K186" s="213"/>
      <c r="L186" s="213"/>
      <c r="M186" s="213"/>
    </row>
    <row r="187" spans="1:13" ht="12" customHeight="1">
      <c r="A187" s="668" t="s">
        <v>50</v>
      </c>
      <c r="B187" s="670" t="s">
        <v>360</v>
      </c>
      <c r="C187" s="671">
        <f>LARGE(D187:M188,1)</f>
        <v>5</v>
      </c>
      <c r="D187" s="671">
        <f t="shared" ref="D187:M187" si="20">SUM(D189:D201)</f>
        <v>2</v>
      </c>
      <c r="E187" s="671">
        <f t="shared" si="20"/>
        <v>0</v>
      </c>
      <c r="F187" s="671">
        <f t="shared" si="20"/>
        <v>2</v>
      </c>
      <c r="G187" s="671">
        <f t="shared" si="20"/>
        <v>2</v>
      </c>
      <c r="H187" s="671">
        <f t="shared" si="20"/>
        <v>2</v>
      </c>
      <c r="I187" s="671">
        <f t="shared" si="20"/>
        <v>2</v>
      </c>
      <c r="J187" s="671">
        <f t="shared" si="20"/>
        <v>3</v>
      </c>
      <c r="K187" s="671">
        <f t="shared" si="20"/>
        <v>5</v>
      </c>
      <c r="L187" s="671">
        <f t="shared" si="20"/>
        <v>4</v>
      </c>
      <c r="M187" s="671">
        <f t="shared" si="20"/>
        <v>0</v>
      </c>
    </row>
    <row r="188" spans="1:13" ht="12.95" customHeight="1">
      <c r="A188" s="669"/>
      <c r="B188" s="670"/>
      <c r="C188" s="671"/>
      <c r="D188" s="671"/>
      <c r="E188" s="671"/>
      <c r="F188" s="671"/>
      <c r="G188" s="671"/>
      <c r="H188" s="671"/>
      <c r="I188" s="671"/>
      <c r="J188" s="671"/>
      <c r="K188" s="671"/>
      <c r="L188" s="671"/>
      <c r="M188" s="671"/>
    </row>
    <row r="189" spans="1:13" ht="18">
      <c r="A189" s="210"/>
      <c r="B189" s="211" t="s">
        <v>2038</v>
      </c>
      <c r="C189" s="212"/>
      <c r="D189" s="213">
        <v>1</v>
      </c>
      <c r="E189" s="213"/>
      <c r="F189" s="213">
        <v>1</v>
      </c>
      <c r="G189" s="213">
        <v>1</v>
      </c>
      <c r="H189" s="213">
        <v>1</v>
      </c>
      <c r="I189" s="213">
        <v>1</v>
      </c>
      <c r="J189" s="213">
        <v>1</v>
      </c>
      <c r="K189" s="213">
        <v>1</v>
      </c>
      <c r="L189" s="213">
        <v>1</v>
      </c>
      <c r="M189" s="213"/>
    </row>
    <row r="190" spans="1:13" ht="18">
      <c r="A190" s="210"/>
      <c r="B190" s="211" t="s">
        <v>2040</v>
      </c>
      <c r="C190" s="212"/>
      <c r="D190" s="213">
        <v>1</v>
      </c>
      <c r="E190" s="213"/>
      <c r="F190" s="213">
        <v>1</v>
      </c>
      <c r="G190" s="213">
        <v>1</v>
      </c>
      <c r="H190" s="213">
        <v>1</v>
      </c>
      <c r="I190" s="213">
        <v>1</v>
      </c>
      <c r="J190" s="213">
        <v>1</v>
      </c>
      <c r="K190" s="213">
        <v>1</v>
      </c>
      <c r="L190" s="213">
        <v>1</v>
      </c>
      <c r="M190" s="213"/>
    </row>
    <row r="191" spans="1:13" ht="18">
      <c r="A191" s="210"/>
      <c r="B191" s="211" t="s">
        <v>2041</v>
      </c>
      <c r="C191" s="212"/>
      <c r="D191" s="213"/>
      <c r="E191" s="213"/>
      <c r="F191" s="213"/>
      <c r="G191" s="213"/>
      <c r="H191" s="213"/>
      <c r="I191" s="213"/>
      <c r="J191" s="213"/>
      <c r="K191" s="213">
        <v>1</v>
      </c>
      <c r="L191" s="213">
        <v>1</v>
      </c>
      <c r="M191" s="213"/>
    </row>
    <row r="192" spans="1:13" ht="18">
      <c r="A192" s="210"/>
      <c r="B192" s="211" t="s">
        <v>2043</v>
      </c>
      <c r="C192" s="212"/>
      <c r="D192" s="213"/>
      <c r="E192" s="213"/>
      <c r="F192" s="213"/>
      <c r="G192" s="213"/>
      <c r="H192" s="213"/>
      <c r="I192" s="213"/>
      <c r="J192" s="213">
        <v>1</v>
      </c>
      <c r="K192" s="213">
        <v>1</v>
      </c>
      <c r="L192" s="213">
        <v>1</v>
      </c>
      <c r="M192" s="213"/>
    </row>
    <row r="193" spans="1:13" ht="18">
      <c r="A193" s="210"/>
      <c r="B193" s="211" t="s">
        <v>2497</v>
      </c>
      <c r="C193" s="212"/>
      <c r="D193" s="213"/>
      <c r="E193" s="213"/>
      <c r="F193" s="213"/>
      <c r="G193" s="213"/>
      <c r="H193" s="213"/>
      <c r="I193" s="213"/>
      <c r="J193" s="213"/>
      <c r="K193" s="213">
        <v>1</v>
      </c>
      <c r="L193" s="213"/>
      <c r="M193" s="213"/>
    </row>
    <row r="194" spans="1:13" ht="18">
      <c r="A194" s="210"/>
      <c r="B194" s="211" t="s">
        <v>2036</v>
      </c>
      <c r="C194" s="212"/>
      <c r="D194" s="213"/>
      <c r="E194" s="213"/>
      <c r="F194" s="213"/>
      <c r="G194" s="213"/>
      <c r="H194" s="213"/>
      <c r="I194" s="213"/>
      <c r="J194" s="213"/>
      <c r="K194" s="213"/>
      <c r="L194" s="213"/>
      <c r="M194" s="213"/>
    </row>
    <row r="195" spans="1:13" ht="18">
      <c r="A195" s="210"/>
      <c r="B195" s="211" t="s">
        <v>2039</v>
      </c>
      <c r="C195" s="212"/>
      <c r="D195" s="213"/>
      <c r="E195" s="213"/>
      <c r="F195" s="213"/>
      <c r="G195" s="213"/>
      <c r="H195" s="213"/>
      <c r="I195" s="213"/>
      <c r="J195" s="213"/>
      <c r="K195" s="213"/>
      <c r="L195" s="213"/>
      <c r="M195" s="213"/>
    </row>
    <row r="196" spans="1:13" ht="18">
      <c r="A196" s="210"/>
      <c r="B196" s="211" t="s">
        <v>2050</v>
      </c>
      <c r="C196" s="212"/>
      <c r="D196" s="213"/>
      <c r="E196" s="213"/>
      <c r="F196" s="213"/>
      <c r="G196" s="213"/>
      <c r="H196" s="213"/>
      <c r="I196" s="213"/>
      <c r="J196" s="213"/>
      <c r="K196" s="213"/>
      <c r="L196" s="213"/>
      <c r="M196" s="213"/>
    </row>
    <row r="197" spans="1:13" ht="18">
      <c r="A197" s="210"/>
      <c r="B197" s="211" t="s">
        <v>2037</v>
      </c>
      <c r="C197" s="212"/>
      <c r="D197" s="213"/>
      <c r="E197" s="213"/>
      <c r="F197" s="213"/>
      <c r="G197" s="213"/>
      <c r="H197" s="213"/>
      <c r="I197" s="213"/>
      <c r="J197" s="213"/>
      <c r="K197" s="213"/>
      <c r="L197" s="213"/>
      <c r="M197" s="213"/>
    </row>
    <row r="198" spans="1:13" ht="18">
      <c r="A198" s="210"/>
      <c r="B198" s="211" t="s">
        <v>2042</v>
      </c>
      <c r="C198" s="212"/>
      <c r="D198" s="213"/>
      <c r="E198" s="213"/>
      <c r="F198" s="213"/>
      <c r="G198" s="213"/>
      <c r="H198" s="213"/>
      <c r="I198" s="213"/>
      <c r="J198" s="213"/>
      <c r="K198" s="213"/>
      <c r="L198" s="213"/>
      <c r="M198" s="213"/>
    </row>
    <row r="199" spans="1:13" ht="18">
      <c r="A199" s="210"/>
      <c r="B199" s="211" t="s">
        <v>2051</v>
      </c>
      <c r="C199" s="212"/>
      <c r="D199" s="213"/>
      <c r="E199" s="213"/>
      <c r="F199" s="213"/>
      <c r="G199" s="213"/>
      <c r="H199" s="213"/>
      <c r="I199" s="213"/>
      <c r="J199" s="213"/>
      <c r="K199" s="213"/>
      <c r="L199" s="213"/>
      <c r="M199" s="213"/>
    </row>
    <row r="200" spans="1:13" ht="18">
      <c r="A200" s="210"/>
      <c r="B200" s="211"/>
      <c r="C200" s="212"/>
      <c r="D200" s="213"/>
      <c r="E200" s="213"/>
      <c r="F200" s="213"/>
      <c r="G200" s="213"/>
      <c r="H200" s="213"/>
      <c r="I200" s="213"/>
      <c r="J200" s="213"/>
      <c r="K200" s="213"/>
      <c r="L200" s="213"/>
      <c r="M200" s="213"/>
    </row>
    <row r="201" spans="1:13" ht="18">
      <c r="A201" s="210"/>
      <c r="B201" s="211"/>
      <c r="C201" s="212"/>
      <c r="D201" s="213"/>
      <c r="E201" s="213"/>
      <c r="F201" s="213"/>
      <c r="G201" s="213"/>
      <c r="H201" s="213"/>
      <c r="I201" s="213"/>
      <c r="J201" s="213"/>
      <c r="K201" s="213"/>
      <c r="L201" s="213"/>
      <c r="M201" s="213"/>
    </row>
    <row r="202" spans="1:13" ht="12" customHeight="1">
      <c r="A202" s="668" t="s">
        <v>51</v>
      </c>
      <c r="B202" s="670" t="s">
        <v>392</v>
      </c>
      <c r="C202" s="671">
        <f>LARGE(D202:M203,1)</f>
        <v>4</v>
      </c>
      <c r="D202" s="671">
        <f t="shared" ref="D202:M202" si="21">SUM(D204:D209)</f>
        <v>0</v>
      </c>
      <c r="E202" s="671">
        <f t="shared" si="21"/>
        <v>0</v>
      </c>
      <c r="F202" s="671">
        <f t="shared" si="21"/>
        <v>0</v>
      </c>
      <c r="G202" s="671">
        <f t="shared" si="21"/>
        <v>0</v>
      </c>
      <c r="H202" s="671">
        <f t="shared" si="21"/>
        <v>0</v>
      </c>
      <c r="I202" s="671">
        <f t="shared" si="21"/>
        <v>0</v>
      </c>
      <c r="J202" s="671">
        <f t="shared" si="21"/>
        <v>0</v>
      </c>
      <c r="K202" s="671">
        <f t="shared" si="21"/>
        <v>0</v>
      </c>
      <c r="L202" s="671">
        <f t="shared" si="21"/>
        <v>0</v>
      </c>
      <c r="M202" s="671">
        <f t="shared" si="21"/>
        <v>4</v>
      </c>
    </row>
    <row r="203" spans="1:13" ht="12.95" customHeight="1">
      <c r="A203" s="669"/>
      <c r="B203" s="670"/>
      <c r="C203" s="671"/>
      <c r="D203" s="671"/>
      <c r="E203" s="671"/>
      <c r="F203" s="671"/>
      <c r="G203" s="671"/>
      <c r="H203" s="671"/>
      <c r="I203" s="671"/>
      <c r="J203" s="671"/>
      <c r="K203" s="671"/>
      <c r="L203" s="671"/>
      <c r="M203" s="671"/>
    </row>
    <row r="204" spans="1:13" ht="18">
      <c r="A204" s="210"/>
      <c r="B204" s="211" t="s">
        <v>2038</v>
      </c>
      <c r="C204" s="212"/>
      <c r="D204" s="213" t="s">
        <v>8</v>
      </c>
      <c r="E204" s="213" t="s">
        <v>8</v>
      </c>
      <c r="F204" s="213" t="s">
        <v>8</v>
      </c>
      <c r="G204" s="213" t="s">
        <v>8</v>
      </c>
      <c r="H204" s="213" t="s">
        <v>8</v>
      </c>
      <c r="I204" s="213" t="s">
        <v>8</v>
      </c>
      <c r="J204" s="213" t="s">
        <v>8</v>
      </c>
      <c r="K204" s="213" t="s">
        <v>8</v>
      </c>
      <c r="L204" s="213" t="s">
        <v>8</v>
      </c>
      <c r="M204" s="213">
        <v>1</v>
      </c>
    </row>
    <row r="205" spans="1:13" ht="18">
      <c r="A205" s="210"/>
      <c r="B205" s="211" t="s">
        <v>2040</v>
      </c>
      <c r="C205" s="212"/>
      <c r="D205" s="213" t="s">
        <v>8</v>
      </c>
      <c r="E205" s="213" t="s">
        <v>8</v>
      </c>
      <c r="F205" s="213" t="s">
        <v>8</v>
      </c>
      <c r="G205" s="213" t="s">
        <v>8</v>
      </c>
      <c r="H205" s="213" t="s">
        <v>8</v>
      </c>
      <c r="I205" s="213" t="s">
        <v>8</v>
      </c>
      <c r="J205" s="213" t="s">
        <v>8</v>
      </c>
      <c r="K205" s="213" t="s">
        <v>8</v>
      </c>
      <c r="L205" s="213" t="s">
        <v>8</v>
      </c>
      <c r="M205" s="213">
        <v>1</v>
      </c>
    </row>
    <row r="206" spans="1:13" ht="18">
      <c r="A206" s="210"/>
      <c r="B206" s="211" t="s">
        <v>2041</v>
      </c>
      <c r="C206" s="212"/>
      <c r="D206" s="213"/>
      <c r="E206" s="213"/>
      <c r="F206" s="213"/>
      <c r="G206" s="213"/>
      <c r="H206" s="213"/>
      <c r="I206" s="213"/>
      <c r="J206" s="213"/>
      <c r="K206" s="213"/>
      <c r="L206" s="213"/>
      <c r="M206" s="213">
        <v>1</v>
      </c>
    </row>
    <row r="207" spans="1:13" ht="18">
      <c r="A207" s="210"/>
      <c r="B207" s="211" t="s">
        <v>2043</v>
      </c>
      <c r="C207" s="212"/>
      <c r="D207" s="213" t="s">
        <v>8</v>
      </c>
      <c r="E207" s="213" t="s">
        <v>8</v>
      </c>
      <c r="F207" s="213" t="s">
        <v>8</v>
      </c>
      <c r="G207" s="213" t="s">
        <v>8</v>
      </c>
      <c r="H207" s="213" t="s">
        <v>8</v>
      </c>
      <c r="I207" s="213" t="s">
        <v>8</v>
      </c>
      <c r="J207" s="213" t="s">
        <v>8</v>
      </c>
      <c r="K207" s="213" t="s">
        <v>8</v>
      </c>
      <c r="L207" s="213" t="s">
        <v>8</v>
      </c>
      <c r="M207" s="213">
        <v>1</v>
      </c>
    </row>
    <row r="208" spans="1:13" ht="18">
      <c r="A208" s="210"/>
      <c r="B208" s="211"/>
      <c r="C208" s="212"/>
      <c r="D208" s="213" t="s">
        <v>8</v>
      </c>
      <c r="E208" s="213" t="s">
        <v>8</v>
      </c>
      <c r="F208" s="213" t="s">
        <v>8</v>
      </c>
      <c r="G208" s="213" t="s">
        <v>8</v>
      </c>
      <c r="H208" s="213" t="s">
        <v>8</v>
      </c>
      <c r="I208" s="213" t="s">
        <v>8</v>
      </c>
      <c r="J208" s="213" t="s">
        <v>8</v>
      </c>
      <c r="K208" s="213" t="s">
        <v>8</v>
      </c>
      <c r="L208" s="213" t="s">
        <v>8</v>
      </c>
      <c r="M208" s="213"/>
    </row>
    <row r="209" spans="1:13" ht="18">
      <c r="A209" s="210"/>
      <c r="B209" s="211"/>
      <c r="C209" s="212"/>
      <c r="D209" s="213" t="s">
        <v>8</v>
      </c>
      <c r="E209" s="213" t="s">
        <v>8</v>
      </c>
      <c r="F209" s="213" t="s">
        <v>8</v>
      </c>
      <c r="G209" s="213" t="s">
        <v>8</v>
      </c>
      <c r="H209" s="213" t="s">
        <v>8</v>
      </c>
      <c r="I209" s="213" t="s">
        <v>8</v>
      </c>
      <c r="J209" s="213" t="s">
        <v>8</v>
      </c>
      <c r="K209" s="213" t="s">
        <v>8</v>
      </c>
      <c r="L209" s="213" t="s">
        <v>8</v>
      </c>
      <c r="M209" s="213"/>
    </row>
    <row r="210" spans="1:13" ht="12" customHeight="1">
      <c r="A210" s="668" t="s">
        <v>408</v>
      </c>
      <c r="B210" s="670" t="s">
        <v>409</v>
      </c>
      <c r="C210" s="671">
        <f>LARGE(D210:M211,1)</f>
        <v>6</v>
      </c>
      <c r="D210" s="671">
        <f t="shared" ref="D210:M210" si="22">SUM(D212:D219)</f>
        <v>0</v>
      </c>
      <c r="E210" s="671">
        <f t="shared" si="22"/>
        <v>0</v>
      </c>
      <c r="F210" s="671">
        <f t="shared" si="22"/>
        <v>0</v>
      </c>
      <c r="G210" s="671">
        <f t="shared" si="22"/>
        <v>5</v>
      </c>
      <c r="H210" s="671">
        <f t="shared" si="22"/>
        <v>0</v>
      </c>
      <c r="I210" s="671">
        <f t="shared" si="22"/>
        <v>3</v>
      </c>
      <c r="J210" s="671">
        <f t="shared" si="22"/>
        <v>0</v>
      </c>
      <c r="K210" s="671">
        <f t="shared" si="22"/>
        <v>3</v>
      </c>
      <c r="L210" s="671">
        <f t="shared" si="22"/>
        <v>6</v>
      </c>
      <c r="M210" s="671">
        <f t="shared" si="22"/>
        <v>0</v>
      </c>
    </row>
    <row r="211" spans="1:13" ht="12.95" customHeight="1">
      <c r="A211" s="669"/>
      <c r="B211" s="670"/>
      <c r="C211" s="671"/>
      <c r="D211" s="671"/>
      <c r="E211" s="671"/>
      <c r="F211" s="671"/>
      <c r="G211" s="671"/>
      <c r="H211" s="671"/>
      <c r="I211" s="671"/>
      <c r="J211" s="671"/>
      <c r="K211" s="671"/>
      <c r="L211" s="671"/>
      <c r="M211" s="671"/>
    </row>
    <row r="212" spans="1:13" ht="18">
      <c r="A212" s="210"/>
      <c r="B212" s="211" t="s">
        <v>2038</v>
      </c>
      <c r="C212" s="212"/>
      <c r="D212" s="213" t="s">
        <v>8</v>
      </c>
      <c r="E212" s="213" t="s">
        <v>8</v>
      </c>
      <c r="F212" s="213" t="s">
        <v>8</v>
      </c>
      <c r="G212" s="213">
        <v>2</v>
      </c>
      <c r="H212" s="213"/>
      <c r="I212" s="213">
        <v>1</v>
      </c>
      <c r="J212" s="213"/>
      <c r="K212" s="213">
        <v>1</v>
      </c>
      <c r="L212" s="213">
        <v>1</v>
      </c>
      <c r="M212" s="213"/>
    </row>
    <row r="213" spans="1:13" ht="18">
      <c r="A213" s="210"/>
      <c r="B213" s="211" t="s">
        <v>2040</v>
      </c>
      <c r="C213" s="212"/>
      <c r="D213" s="213" t="s">
        <v>8</v>
      </c>
      <c r="E213" s="213" t="s">
        <v>8</v>
      </c>
      <c r="F213" s="213" t="s">
        <v>8</v>
      </c>
      <c r="G213" s="213">
        <v>2</v>
      </c>
      <c r="H213" s="213"/>
      <c r="I213" s="213">
        <v>1</v>
      </c>
      <c r="J213" s="213"/>
      <c r="K213" s="213">
        <v>1</v>
      </c>
      <c r="L213" s="213">
        <v>1</v>
      </c>
      <c r="M213" s="213"/>
    </row>
    <row r="214" spans="1:13" ht="18">
      <c r="A214" s="210"/>
      <c r="B214" s="211" t="s">
        <v>2043</v>
      </c>
      <c r="C214" s="212"/>
      <c r="D214" s="213"/>
      <c r="E214" s="213"/>
      <c r="F214" s="213"/>
      <c r="G214" s="213">
        <v>1</v>
      </c>
      <c r="H214" s="213"/>
      <c r="I214" s="213">
        <v>1</v>
      </c>
      <c r="J214" s="213"/>
      <c r="K214" s="213">
        <v>1</v>
      </c>
      <c r="L214" s="213">
        <v>1</v>
      </c>
      <c r="M214" s="213"/>
    </row>
    <row r="215" spans="1:13" ht="18">
      <c r="A215" s="210"/>
      <c r="B215" s="211" t="s">
        <v>2064</v>
      </c>
      <c r="C215" s="212"/>
      <c r="D215" s="213" t="s">
        <v>8</v>
      </c>
      <c r="E215" s="213" t="s">
        <v>8</v>
      </c>
      <c r="F215" s="213" t="s">
        <v>8</v>
      </c>
      <c r="G215" s="213"/>
      <c r="H215" s="213"/>
      <c r="I215" s="213"/>
      <c r="J215" s="213"/>
      <c r="K215" s="213"/>
      <c r="L215" s="213">
        <v>1</v>
      </c>
      <c r="M215" s="213"/>
    </row>
    <row r="216" spans="1:13" ht="18">
      <c r="A216" s="210"/>
      <c r="B216" s="211" t="s">
        <v>2497</v>
      </c>
      <c r="C216" s="212"/>
      <c r="D216" s="213" t="s">
        <v>8</v>
      </c>
      <c r="E216" s="213" t="s">
        <v>8</v>
      </c>
      <c r="F216" s="213" t="s">
        <v>8</v>
      </c>
      <c r="G216" s="213"/>
      <c r="H216" s="213"/>
      <c r="I216" s="213"/>
      <c r="J216" s="213"/>
      <c r="K216" s="213"/>
      <c r="L216" s="213">
        <v>1</v>
      </c>
      <c r="M216" s="213"/>
    </row>
    <row r="217" spans="1:13" ht="18">
      <c r="A217" s="210"/>
      <c r="B217" s="211" t="s">
        <v>2498</v>
      </c>
      <c r="C217" s="212"/>
      <c r="D217" s="213"/>
      <c r="E217" s="213"/>
      <c r="F217" s="213"/>
      <c r="G217" s="213"/>
      <c r="H217" s="213"/>
      <c r="I217" s="213"/>
      <c r="J217" s="213"/>
      <c r="K217" s="213"/>
      <c r="L217" s="213">
        <v>1</v>
      </c>
      <c r="M217" s="213"/>
    </row>
    <row r="218" spans="1:13" ht="18">
      <c r="A218" s="210"/>
      <c r="B218" s="211"/>
      <c r="C218" s="212"/>
      <c r="D218" s="213" t="s">
        <v>8</v>
      </c>
      <c r="E218" s="213"/>
      <c r="F218" s="213"/>
      <c r="G218" s="213"/>
      <c r="H218" s="213"/>
      <c r="I218" s="213"/>
      <c r="J218" s="213"/>
      <c r="K218" s="213"/>
      <c r="L218" s="213"/>
      <c r="M218" s="213"/>
    </row>
    <row r="219" spans="1:13" ht="18">
      <c r="A219" s="210"/>
      <c r="B219" s="211"/>
      <c r="C219" s="212"/>
      <c r="D219" s="213" t="s">
        <v>8</v>
      </c>
      <c r="E219" s="213"/>
      <c r="F219" s="213"/>
      <c r="G219" s="213"/>
      <c r="H219" s="213"/>
      <c r="I219" s="213"/>
      <c r="J219" s="213"/>
      <c r="K219" s="213"/>
      <c r="L219" s="213"/>
      <c r="M219" s="213"/>
    </row>
    <row r="220" spans="1:13" ht="12" customHeight="1">
      <c r="A220" s="668" t="s">
        <v>748</v>
      </c>
      <c r="B220" s="670" t="s">
        <v>749</v>
      </c>
      <c r="C220" s="671">
        <f>LARGE(D220:M221,1)</f>
        <v>2</v>
      </c>
      <c r="D220" s="671">
        <f>SUM(D222:D225)</f>
        <v>0</v>
      </c>
      <c r="E220" s="671">
        <f t="shared" ref="E220:M220" si="23">SUM(E222:E225)</f>
        <v>0</v>
      </c>
      <c r="F220" s="671">
        <f t="shared" si="23"/>
        <v>2</v>
      </c>
      <c r="G220" s="671">
        <f t="shared" si="23"/>
        <v>0</v>
      </c>
      <c r="H220" s="671">
        <f t="shared" si="23"/>
        <v>0</v>
      </c>
      <c r="I220" s="671">
        <f t="shared" si="23"/>
        <v>0</v>
      </c>
      <c r="J220" s="671">
        <f t="shared" si="23"/>
        <v>0</v>
      </c>
      <c r="K220" s="671">
        <f t="shared" si="23"/>
        <v>0</v>
      </c>
      <c r="L220" s="671">
        <f t="shared" si="23"/>
        <v>0</v>
      </c>
      <c r="M220" s="671">
        <f t="shared" si="23"/>
        <v>0</v>
      </c>
    </row>
    <row r="221" spans="1:13" ht="12.95" customHeight="1">
      <c r="A221" s="669"/>
      <c r="B221" s="670"/>
      <c r="C221" s="671"/>
      <c r="D221" s="671"/>
      <c r="E221" s="671"/>
      <c r="F221" s="671"/>
      <c r="G221" s="671"/>
      <c r="H221" s="671"/>
      <c r="I221" s="671"/>
      <c r="J221" s="671"/>
      <c r="K221" s="671"/>
      <c r="L221" s="671"/>
      <c r="M221" s="671"/>
    </row>
    <row r="222" spans="1:13" ht="18">
      <c r="A222" s="210"/>
      <c r="B222" s="211" t="s">
        <v>2038</v>
      </c>
      <c r="C222" s="212"/>
      <c r="D222" s="213" t="s">
        <v>8</v>
      </c>
      <c r="E222" s="213" t="s">
        <v>8</v>
      </c>
      <c r="F222" s="213">
        <v>1</v>
      </c>
      <c r="G222" s="213" t="s">
        <v>8</v>
      </c>
      <c r="H222" s="213" t="s">
        <v>8</v>
      </c>
      <c r="I222" s="213" t="s">
        <v>8</v>
      </c>
      <c r="J222" s="213" t="s">
        <v>8</v>
      </c>
      <c r="K222" s="213" t="s">
        <v>8</v>
      </c>
      <c r="L222" s="213" t="s">
        <v>8</v>
      </c>
      <c r="M222" s="213" t="s">
        <v>8</v>
      </c>
    </row>
    <row r="223" spans="1:13" ht="18">
      <c r="A223" s="210"/>
      <c r="B223" s="211" t="s">
        <v>2040</v>
      </c>
      <c r="C223" s="212"/>
      <c r="D223" s="213" t="s">
        <v>8</v>
      </c>
      <c r="E223" s="213" t="s">
        <v>8</v>
      </c>
      <c r="F223" s="213">
        <v>1</v>
      </c>
      <c r="G223" s="213" t="s">
        <v>8</v>
      </c>
      <c r="H223" s="213" t="s">
        <v>8</v>
      </c>
      <c r="I223" s="213" t="s">
        <v>8</v>
      </c>
      <c r="J223" s="213" t="s">
        <v>8</v>
      </c>
      <c r="K223" s="213" t="s">
        <v>8</v>
      </c>
      <c r="L223" s="213" t="s">
        <v>8</v>
      </c>
      <c r="M223" s="213" t="s">
        <v>8</v>
      </c>
    </row>
    <row r="224" spans="1:13" ht="18">
      <c r="A224" s="210"/>
      <c r="B224" s="211"/>
      <c r="C224" s="212"/>
      <c r="D224" s="213" t="s">
        <v>8</v>
      </c>
      <c r="E224" s="213" t="s">
        <v>8</v>
      </c>
      <c r="F224" s="213"/>
      <c r="G224" s="213" t="s">
        <v>8</v>
      </c>
      <c r="H224" s="213" t="s">
        <v>8</v>
      </c>
      <c r="I224" s="213" t="s">
        <v>8</v>
      </c>
      <c r="J224" s="213" t="s">
        <v>8</v>
      </c>
      <c r="K224" s="213" t="s">
        <v>8</v>
      </c>
      <c r="L224" s="213" t="s">
        <v>8</v>
      </c>
      <c r="M224" s="213" t="s">
        <v>8</v>
      </c>
    </row>
    <row r="225" spans="1:13" ht="18">
      <c r="A225" s="210"/>
      <c r="B225" s="211"/>
      <c r="C225" s="212"/>
      <c r="D225" s="213" t="s">
        <v>8</v>
      </c>
      <c r="E225" s="213" t="s">
        <v>8</v>
      </c>
      <c r="F225" s="213"/>
      <c r="G225" s="213" t="s">
        <v>8</v>
      </c>
      <c r="H225" s="213" t="s">
        <v>8</v>
      </c>
      <c r="I225" s="213" t="s">
        <v>8</v>
      </c>
      <c r="J225" s="213" t="s">
        <v>8</v>
      </c>
      <c r="K225" s="213" t="s">
        <v>8</v>
      </c>
      <c r="L225" s="213" t="s">
        <v>8</v>
      </c>
      <c r="M225" s="213" t="s">
        <v>8</v>
      </c>
    </row>
    <row r="226" spans="1:13" ht="12" customHeight="1">
      <c r="A226" s="668" t="s">
        <v>434</v>
      </c>
      <c r="B226" s="670" t="s">
        <v>61</v>
      </c>
      <c r="C226" s="671">
        <f>LARGE(D226:M227,1)</f>
        <v>9</v>
      </c>
      <c r="D226" s="671">
        <f t="shared" ref="D226:M226" si="24">SUM(D228:D238)</f>
        <v>0</v>
      </c>
      <c r="E226" s="671">
        <f t="shared" si="24"/>
        <v>0</v>
      </c>
      <c r="F226" s="671">
        <f t="shared" si="24"/>
        <v>0</v>
      </c>
      <c r="G226" s="671">
        <f t="shared" si="24"/>
        <v>0</v>
      </c>
      <c r="H226" s="671">
        <f t="shared" si="24"/>
        <v>0</v>
      </c>
      <c r="I226" s="671">
        <f t="shared" si="24"/>
        <v>0</v>
      </c>
      <c r="J226" s="671">
        <f t="shared" si="24"/>
        <v>0</v>
      </c>
      <c r="K226" s="671">
        <f t="shared" si="24"/>
        <v>9</v>
      </c>
      <c r="L226" s="671">
        <f t="shared" si="24"/>
        <v>9</v>
      </c>
      <c r="M226" s="671">
        <f t="shared" si="24"/>
        <v>0</v>
      </c>
    </row>
    <row r="227" spans="1:13" ht="12.95" customHeight="1">
      <c r="A227" s="669"/>
      <c r="B227" s="670"/>
      <c r="C227" s="671"/>
      <c r="D227" s="671"/>
      <c r="E227" s="671"/>
      <c r="F227" s="671"/>
      <c r="G227" s="671"/>
      <c r="H227" s="671"/>
      <c r="I227" s="671"/>
      <c r="J227" s="671"/>
      <c r="K227" s="671"/>
      <c r="L227" s="671"/>
      <c r="M227" s="671"/>
    </row>
    <row r="228" spans="1:13" ht="18">
      <c r="A228" s="210"/>
      <c r="B228" s="211" t="s">
        <v>2052</v>
      </c>
      <c r="C228" s="212"/>
      <c r="D228" s="213" t="s">
        <v>8</v>
      </c>
      <c r="E228" s="213" t="s">
        <v>8</v>
      </c>
      <c r="F228" s="213" t="s">
        <v>8</v>
      </c>
      <c r="G228" s="213" t="s">
        <v>8</v>
      </c>
      <c r="H228" s="213" t="s">
        <v>8</v>
      </c>
      <c r="I228" s="213" t="s">
        <v>8</v>
      </c>
      <c r="J228" s="213" t="s">
        <v>8</v>
      </c>
      <c r="K228" s="213">
        <v>1</v>
      </c>
      <c r="L228" s="213">
        <v>1</v>
      </c>
      <c r="M228" s="213"/>
    </row>
    <row r="229" spans="1:13" ht="18">
      <c r="A229" s="210"/>
      <c r="B229" s="211" t="s">
        <v>2065</v>
      </c>
      <c r="C229" s="212"/>
      <c r="D229" s="213" t="s">
        <v>8</v>
      </c>
      <c r="E229" s="213" t="s">
        <v>8</v>
      </c>
      <c r="F229" s="213" t="s">
        <v>8</v>
      </c>
      <c r="G229" s="213" t="s">
        <v>8</v>
      </c>
      <c r="H229" s="213" t="s">
        <v>8</v>
      </c>
      <c r="I229" s="213" t="s">
        <v>8</v>
      </c>
      <c r="J229" s="213" t="s">
        <v>8</v>
      </c>
      <c r="K229" s="213">
        <v>1</v>
      </c>
      <c r="L229" s="213">
        <v>1</v>
      </c>
      <c r="M229" s="213"/>
    </row>
    <row r="230" spans="1:13" ht="18">
      <c r="A230" s="210"/>
      <c r="B230" s="211" t="s">
        <v>2045</v>
      </c>
      <c r="C230" s="212"/>
      <c r="D230" s="213" t="s">
        <v>8</v>
      </c>
      <c r="E230" s="213" t="s">
        <v>8</v>
      </c>
      <c r="F230" s="213" t="s">
        <v>8</v>
      </c>
      <c r="G230" s="213" t="s">
        <v>8</v>
      </c>
      <c r="H230" s="213" t="s">
        <v>8</v>
      </c>
      <c r="I230" s="213" t="s">
        <v>8</v>
      </c>
      <c r="J230" s="213" t="s">
        <v>8</v>
      </c>
      <c r="K230" s="213">
        <v>1</v>
      </c>
      <c r="L230" s="213">
        <v>1</v>
      </c>
      <c r="M230" s="213"/>
    </row>
    <row r="231" spans="1:13" ht="18">
      <c r="A231" s="210"/>
      <c r="B231" s="211" t="s">
        <v>2044</v>
      </c>
      <c r="C231" s="212"/>
      <c r="D231" s="213" t="s">
        <v>8</v>
      </c>
      <c r="E231" s="213" t="s">
        <v>8</v>
      </c>
      <c r="F231" s="213" t="s">
        <v>8</v>
      </c>
      <c r="G231" s="213" t="s">
        <v>8</v>
      </c>
      <c r="H231" s="213" t="s">
        <v>8</v>
      </c>
      <c r="I231" s="213" t="s">
        <v>8</v>
      </c>
      <c r="J231" s="213" t="s">
        <v>8</v>
      </c>
      <c r="K231" s="213">
        <v>1</v>
      </c>
      <c r="L231" s="213">
        <v>1</v>
      </c>
      <c r="M231" s="213"/>
    </row>
    <row r="232" spans="1:13" ht="18">
      <c r="A232" s="210"/>
      <c r="B232" s="211" t="s">
        <v>2040</v>
      </c>
      <c r="C232" s="212"/>
      <c r="D232" s="213" t="s">
        <v>8</v>
      </c>
      <c r="E232" s="213" t="s">
        <v>8</v>
      </c>
      <c r="F232" s="213" t="s">
        <v>8</v>
      </c>
      <c r="G232" s="213" t="s">
        <v>8</v>
      </c>
      <c r="H232" s="213" t="s">
        <v>8</v>
      </c>
      <c r="I232" s="213" t="s">
        <v>8</v>
      </c>
      <c r="J232" s="213" t="s">
        <v>8</v>
      </c>
      <c r="K232" s="213">
        <v>1</v>
      </c>
      <c r="L232" s="213">
        <v>1</v>
      </c>
      <c r="M232" s="213"/>
    </row>
    <row r="233" spans="1:13" ht="18">
      <c r="A233" s="210"/>
      <c r="B233" s="211" t="s">
        <v>2043</v>
      </c>
      <c r="C233" s="212"/>
      <c r="D233" s="213" t="s">
        <v>8</v>
      </c>
      <c r="E233" s="213" t="s">
        <v>8</v>
      </c>
      <c r="F233" s="213" t="s">
        <v>8</v>
      </c>
      <c r="G233" s="213" t="s">
        <v>8</v>
      </c>
      <c r="H233" s="213" t="s">
        <v>8</v>
      </c>
      <c r="I233" s="213" t="s">
        <v>8</v>
      </c>
      <c r="J233" s="213" t="s">
        <v>8</v>
      </c>
      <c r="K233" s="213">
        <v>1</v>
      </c>
      <c r="L233" s="213">
        <v>1</v>
      </c>
      <c r="M233" s="213"/>
    </row>
    <row r="234" spans="1:13" ht="18">
      <c r="A234" s="210"/>
      <c r="B234" s="211" t="s">
        <v>2060</v>
      </c>
      <c r="C234" s="212"/>
      <c r="D234" s="213" t="s">
        <v>8</v>
      </c>
      <c r="E234" s="213" t="s">
        <v>8</v>
      </c>
      <c r="F234" s="213" t="s">
        <v>8</v>
      </c>
      <c r="G234" s="213" t="s">
        <v>8</v>
      </c>
      <c r="H234" s="213" t="s">
        <v>8</v>
      </c>
      <c r="I234" s="213" t="s">
        <v>8</v>
      </c>
      <c r="J234" s="213" t="s">
        <v>8</v>
      </c>
      <c r="K234" s="213">
        <v>1</v>
      </c>
      <c r="L234" s="213">
        <v>1</v>
      </c>
      <c r="M234" s="213"/>
    </row>
    <row r="235" spans="1:13" ht="18">
      <c r="A235" s="210"/>
      <c r="B235" s="211" t="s">
        <v>2061</v>
      </c>
      <c r="C235" s="212"/>
      <c r="D235" s="213" t="s">
        <v>8</v>
      </c>
      <c r="E235" s="213" t="s">
        <v>8</v>
      </c>
      <c r="F235" s="213" t="s">
        <v>8</v>
      </c>
      <c r="G235" s="213" t="s">
        <v>8</v>
      </c>
      <c r="H235" s="213" t="s">
        <v>8</v>
      </c>
      <c r="I235" s="213" t="s">
        <v>8</v>
      </c>
      <c r="J235" s="213" t="s">
        <v>8</v>
      </c>
      <c r="K235" s="213">
        <v>1</v>
      </c>
      <c r="L235" s="213">
        <v>1</v>
      </c>
      <c r="M235" s="213"/>
    </row>
    <row r="236" spans="1:13" ht="18">
      <c r="A236" s="210"/>
      <c r="B236" s="211" t="s">
        <v>2048</v>
      </c>
      <c r="C236" s="212"/>
      <c r="D236" s="213" t="s">
        <v>8</v>
      </c>
      <c r="E236" s="213" t="s">
        <v>8</v>
      </c>
      <c r="F236" s="213" t="s">
        <v>8</v>
      </c>
      <c r="G236" s="213" t="s">
        <v>8</v>
      </c>
      <c r="H236" s="213" t="s">
        <v>8</v>
      </c>
      <c r="I236" s="213" t="s">
        <v>8</v>
      </c>
      <c r="J236" s="213" t="s">
        <v>8</v>
      </c>
      <c r="K236" s="213">
        <v>1</v>
      </c>
      <c r="L236" s="213">
        <v>1</v>
      </c>
      <c r="M236" s="213"/>
    </row>
    <row r="237" spans="1:13" ht="18">
      <c r="A237" s="210"/>
      <c r="B237" s="211"/>
      <c r="C237" s="212"/>
      <c r="D237" s="213" t="s">
        <v>8</v>
      </c>
      <c r="E237" s="213" t="s">
        <v>8</v>
      </c>
      <c r="F237" s="213" t="s">
        <v>8</v>
      </c>
      <c r="G237" s="213" t="s">
        <v>8</v>
      </c>
      <c r="H237" s="213" t="s">
        <v>8</v>
      </c>
      <c r="I237" s="213" t="s">
        <v>8</v>
      </c>
      <c r="J237" s="213" t="s">
        <v>8</v>
      </c>
      <c r="K237" s="213"/>
      <c r="L237" s="213"/>
      <c r="M237" s="213"/>
    </row>
    <row r="238" spans="1:13" ht="18">
      <c r="A238" s="210"/>
      <c r="B238" s="211"/>
      <c r="C238" s="212"/>
      <c r="D238" s="213" t="s">
        <v>8</v>
      </c>
      <c r="E238" s="213" t="s">
        <v>8</v>
      </c>
      <c r="F238" s="213" t="s">
        <v>8</v>
      </c>
      <c r="G238" s="213" t="s">
        <v>8</v>
      </c>
      <c r="H238" s="213" t="s">
        <v>8</v>
      </c>
      <c r="I238" s="213" t="s">
        <v>8</v>
      </c>
      <c r="J238" s="213" t="s">
        <v>8</v>
      </c>
      <c r="K238" s="213"/>
      <c r="L238" s="213"/>
      <c r="M238" s="213"/>
    </row>
    <row r="239" spans="1:13" ht="12" customHeight="1">
      <c r="A239" s="668" t="s">
        <v>454</v>
      </c>
      <c r="B239" s="670" t="s">
        <v>28</v>
      </c>
      <c r="C239" s="671">
        <f>LARGE(D239:M240,1)</f>
        <v>5</v>
      </c>
      <c r="D239" s="671">
        <f t="shared" ref="D239:M239" si="25">SUM(D241:D247)</f>
        <v>0</v>
      </c>
      <c r="E239" s="671">
        <f t="shared" si="25"/>
        <v>0</v>
      </c>
      <c r="F239" s="671">
        <f t="shared" si="25"/>
        <v>0</v>
      </c>
      <c r="G239" s="671">
        <f t="shared" si="25"/>
        <v>0</v>
      </c>
      <c r="H239" s="671">
        <f t="shared" si="25"/>
        <v>0</v>
      </c>
      <c r="I239" s="671">
        <f t="shared" si="25"/>
        <v>0</v>
      </c>
      <c r="J239" s="671">
        <f t="shared" si="25"/>
        <v>0</v>
      </c>
      <c r="K239" s="671">
        <f t="shared" si="25"/>
        <v>0</v>
      </c>
      <c r="L239" s="671">
        <f t="shared" si="25"/>
        <v>0</v>
      </c>
      <c r="M239" s="671">
        <f t="shared" si="25"/>
        <v>5</v>
      </c>
    </row>
    <row r="240" spans="1:13" ht="26.25" customHeight="1">
      <c r="A240" s="669"/>
      <c r="B240" s="670"/>
      <c r="C240" s="671"/>
      <c r="D240" s="671"/>
      <c r="E240" s="671"/>
      <c r="F240" s="671"/>
      <c r="G240" s="671"/>
      <c r="H240" s="671"/>
      <c r="I240" s="671"/>
      <c r="J240" s="671"/>
      <c r="K240" s="671"/>
      <c r="L240" s="671"/>
      <c r="M240" s="671"/>
    </row>
    <row r="241" spans="1:13" ht="18">
      <c r="A241" s="210"/>
      <c r="B241" s="211" t="s">
        <v>2044</v>
      </c>
      <c r="C241" s="212"/>
      <c r="D241" s="213" t="s">
        <v>8</v>
      </c>
      <c r="E241" s="213" t="s">
        <v>8</v>
      </c>
      <c r="F241" s="213" t="s">
        <v>8</v>
      </c>
      <c r="G241" s="213" t="s">
        <v>8</v>
      </c>
      <c r="H241" s="213" t="s">
        <v>8</v>
      </c>
      <c r="I241" s="213" t="s">
        <v>8</v>
      </c>
      <c r="J241" s="213"/>
      <c r="K241" s="213"/>
      <c r="L241" s="213"/>
      <c r="M241" s="213">
        <v>1</v>
      </c>
    </row>
    <row r="242" spans="1:13" ht="18">
      <c r="A242" s="210"/>
      <c r="B242" s="211" t="s">
        <v>2038</v>
      </c>
      <c r="C242" s="212"/>
      <c r="D242" s="213" t="s">
        <v>8</v>
      </c>
      <c r="E242" s="213" t="s">
        <v>8</v>
      </c>
      <c r="F242" s="213" t="s">
        <v>8</v>
      </c>
      <c r="G242" s="213" t="s">
        <v>8</v>
      </c>
      <c r="H242" s="213" t="s">
        <v>8</v>
      </c>
      <c r="I242" s="213" t="s">
        <v>8</v>
      </c>
      <c r="J242" s="213"/>
      <c r="K242" s="213"/>
      <c r="L242" s="213"/>
      <c r="M242" s="213">
        <v>1</v>
      </c>
    </row>
    <row r="243" spans="1:13" ht="18">
      <c r="A243" s="210"/>
      <c r="B243" s="211" t="s">
        <v>2040</v>
      </c>
      <c r="C243" s="212"/>
      <c r="D243" s="213" t="s">
        <v>8</v>
      </c>
      <c r="E243" s="213" t="s">
        <v>8</v>
      </c>
      <c r="F243" s="213" t="s">
        <v>8</v>
      </c>
      <c r="G243" s="213" t="s">
        <v>8</v>
      </c>
      <c r="H243" s="213" t="s">
        <v>8</v>
      </c>
      <c r="I243" s="213" t="s">
        <v>8</v>
      </c>
      <c r="J243" s="213"/>
      <c r="K243" s="213"/>
      <c r="L243" s="213"/>
      <c r="M243" s="213">
        <v>1</v>
      </c>
    </row>
    <row r="244" spans="1:13" ht="18">
      <c r="A244" s="210"/>
      <c r="B244" s="211" t="s">
        <v>2066</v>
      </c>
      <c r="C244" s="212"/>
      <c r="D244" s="213" t="s">
        <v>8</v>
      </c>
      <c r="E244" s="213" t="s">
        <v>8</v>
      </c>
      <c r="F244" s="213" t="s">
        <v>8</v>
      </c>
      <c r="G244" s="213" t="s">
        <v>8</v>
      </c>
      <c r="H244" s="213" t="s">
        <v>8</v>
      </c>
      <c r="I244" s="213" t="s">
        <v>8</v>
      </c>
      <c r="J244" s="213"/>
      <c r="K244" s="213"/>
      <c r="L244" s="213"/>
      <c r="M244" s="213">
        <v>1</v>
      </c>
    </row>
    <row r="245" spans="1:13" ht="18">
      <c r="A245" s="210"/>
      <c r="B245" s="211" t="s">
        <v>2041</v>
      </c>
      <c r="C245" s="212"/>
      <c r="D245" s="213" t="s">
        <v>8</v>
      </c>
      <c r="E245" s="213" t="s">
        <v>8</v>
      </c>
      <c r="F245" s="213" t="s">
        <v>8</v>
      </c>
      <c r="G245" s="213" t="s">
        <v>8</v>
      </c>
      <c r="H245" s="213" t="s">
        <v>8</v>
      </c>
      <c r="I245" s="213" t="s">
        <v>8</v>
      </c>
      <c r="J245" s="213"/>
      <c r="K245" s="213"/>
      <c r="L245" s="213"/>
      <c r="M245" s="213">
        <v>1</v>
      </c>
    </row>
    <row r="246" spans="1:13" ht="18">
      <c r="A246" s="210"/>
      <c r="B246" s="211"/>
      <c r="C246" s="212"/>
      <c r="D246" s="213" t="s">
        <v>8</v>
      </c>
      <c r="E246" s="213" t="s">
        <v>8</v>
      </c>
      <c r="F246" s="213" t="s">
        <v>8</v>
      </c>
      <c r="G246" s="213" t="s">
        <v>8</v>
      </c>
      <c r="H246" s="213" t="s">
        <v>8</v>
      </c>
      <c r="I246" s="213" t="s">
        <v>8</v>
      </c>
      <c r="J246" s="213"/>
      <c r="K246" s="213" t="s">
        <v>8</v>
      </c>
      <c r="L246" s="213" t="s">
        <v>8</v>
      </c>
      <c r="M246" s="213" t="s">
        <v>8</v>
      </c>
    </row>
    <row r="247" spans="1:13" ht="18">
      <c r="A247" s="210"/>
      <c r="B247" s="211"/>
      <c r="C247" s="212"/>
      <c r="D247" s="213" t="s">
        <v>8</v>
      </c>
      <c r="E247" s="213" t="s">
        <v>8</v>
      </c>
      <c r="F247" s="213" t="s">
        <v>8</v>
      </c>
      <c r="G247" s="213" t="s">
        <v>8</v>
      </c>
      <c r="H247" s="213" t="s">
        <v>8</v>
      </c>
      <c r="I247" s="213" t="s">
        <v>8</v>
      </c>
      <c r="J247" s="213"/>
      <c r="K247" s="213" t="s">
        <v>8</v>
      </c>
      <c r="L247" s="213" t="s">
        <v>8</v>
      </c>
      <c r="M247" s="213" t="s">
        <v>8</v>
      </c>
    </row>
    <row r="248" spans="1:13" ht="12" customHeight="1">
      <c r="A248" s="668" t="s">
        <v>457</v>
      </c>
      <c r="B248" s="670" t="s">
        <v>29</v>
      </c>
      <c r="C248" s="671">
        <f>LARGE(D248:M249,1)</f>
        <v>1</v>
      </c>
      <c r="D248" s="671">
        <f>SUM(D250:D252)</f>
        <v>0</v>
      </c>
      <c r="E248" s="671">
        <f t="shared" ref="E248:M248" si="26">SUM(E250:E252)</f>
        <v>0</v>
      </c>
      <c r="F248" s="671">
        <f t="shared" si="26"/>
        <v>0</v>
      </c>
      <c r="G248" s="671">
        <f t="shared" si="26"/>
        <v>0</v>
      </c>
      <c r="H248" s="671">
        <f t="shared" si="26"/>
        <v>0</v>
      </c>
      <c r="I248" s="671">
        <f t="shared" si="26"/>
        <v>0</v>
      </c>
      <c r="J248" s="671">
        <f t="shared" si="26"/>
        <v>0</v>
      </c>
      <c r="K248" s="671">
        <f t="shared" si="26"/>
        <v>0</v>
      </c>
      <c r="L248" s="671">
        <f t="shared" si="26"/>
        <v>1</v>
      </c>
      <c r="M248" s="671">
        <f t="shared" si="26"/>
        <v>1</v>
      </c>
    </row>
    <row r="249" spans="1:13" ht="12.95" customHeight="1">
      <c r="A249" s="669"/>
      <c r="B249" s="670"/>
      <c r="C249" s="671"/>
      <c r="D249" s="671"/>
      <c r="E249" s="671"/>
      <c r="F249" s="671"/>
      <c r="G249" s="671"/>
      <c r="H249" s="671"/>
      <c r="I249" s="671"/>
      <c r="J249" s="671"/>
      <c r="K249" s="671"/>
      <c r="L249" s="671"/>
      <c r="M249" s="671"/>
    </row>
    <row r="250" spans="1:13" ht="18">
      <c r="A250" s="210"/>
      <c r="B250" s="211" t="s">
        <v>2043</v>
      </c>
      <c r="C250" s="212"/>
      <c r="D250" s="213" t="s">
        <v>8</v>
      </c>
      <c r="E250" s="213" t="s">
        <v>8</v>
      </c>
      <c r="F250" s="213" t="s">
        <v>8</v>
      </c>
      <c r="G250" s="213" t="s">
        <v>8</v>
      </c>
      <c r="H250" s="213" t="s">
        <v>8</v>
      </c>
      <c r="I250" s="213" t="s">
        <v>8</v>
      </c>
      <c r="J250" s="213" t="s">
        <v>8</v>
      </c>
      <c r="K250" s="213" t="s">
        <v>8</v>
      </c>
      <c r="L250" s="213">
        <v>1</v>
      </c>
      <c r="M250" s="213">
        <v>1</v>
      </c>
    </row>
    <row r="251" spans="1:13" ht="18">
      <c r="A251" s="210"/>
      <c r="B251" s="211"/>
      <c r="C251" s="212"/>
      <c r="D251" s="213" t="s">
        <v>8</v>
      </c>
      <c r="E251" s="213" t="s">
        <v>8</v>
      </c>
      <c r="F251" s="213" t="s">
        <v>8</v>
      </c>
      <c r="G251" s="213" t="s">
        <v>8</v>
      </c>
      <c r="H251" s="213" t="s">
        <v>8</v>
      </c>
      <c r="I251" s="213" t="s">
        <v>8</v>
      </c>
      <c r="J251" s="213" t="s">
        <v>8</v>
      </c>
      <c r="K251" s="213" t="s">
        <v>8</v>
      </c>
      <c r="L251" s="213" t="s">
        <v>8</v>
      </c>
      <c r="M251" s="213" t="s">
        <v>8</v>
      </c>
    </row>
    <row r="252" spans="1:13" ht="18">
      <c r="A252" s="210"/>
      <c r="B252" s="211"/>
      <c r="C252" s="212"/>
      <c r="D252" s="213" t="s">
        <v>8</v>
      </c>
      <c r="E252" s="213" t="s">
        <v>8</v>
      </c>
      <c r="F252" s="213" t="s">
        <v>8</v>
      </c>
      <c r="G252" s="213" t="s">
        <v>8</v>
      </c>
      <c r="H252" s="213" t="s">
        <v>8</v>
      </c>
      <c r="I252" s="213" t="s">
        <v>8</v>
      </c>
      <c r="J252" s="213" t="s">
        <v>8</v>
      </c>
      <c r="K252" s="213" t="s">
        <v>8</v>
      </c>
      <c r="L252" s="213" t="s">
        <v>8</v>
      </c>
      <c r="M252" s="213" t="s">
        <v>8</v>
      </c>
    </row>
    <row r="253" spans="1:13" ht="12" customHeight="1">
      <c r="A253" s="668" t="s">
        <v>459</v>
      </c>
      <c r="B253" s="670" t="s">
        <v>460</v>
      </c>
      <c r="C253" s="671">
        <f>LARGE(D253:M254,1)</f>
        <v>1</v>
      </c>
      <c r="D253" s="671">
        <f>SUM(D255:D257)</f>
        <v>0</v>
      </c>
      <c r="E253" s="671">
        <f t="shared" ref="E253:M253" si="27">SUM(E255:E257)</f>
        <v>0</v>
      </c>
      <c r="F253" s="671">
        <f t="shared" si="27"/>
        <v>1</v>
      </c>
      <c r="G253" s="671">
        <f t="shared" si="27"/>
        <v>1</v>
      </c>
      <c r="H253" s="671">
        <f t="shared" si="27"/>
        <v>1</v>
      </c>
      <c r="I253" s="671">
        <f t="shared" si="27"/>
        <v>1</v>
      </c>
      <c r="J253" s="671">
        <f t="shared" si="27"/>
        <v>1</v>
      </c>
      <c r="K253" s="671">
        <f t="shared" si="27"/>
        <v>1</v>
      </c>
      <c r="L253" s="671">
        <f t="shared" si="27"/>
        <v>1</v>
      </c>
      <c r="M253" s="671">
        <f t="shared" si="27"/>
        <v>1</v>
      </c>
    </row>
    <row r="254" spans="1:13" ht="12.95" customHeight="1">
      <c r="A254" s="669"/>
      <c r="B254" s="670"/>
      <c r="C254" s="671"/>
      <c r="D254" s="671"/>
      <c r="E254" s="671"/>
      <c r="F254" s="671"/>
      <c r="G254" s="671"/>
      <c r="H254" s="671"/>
      <c r="I254" s="671"/>
      <c r="J254" s="671"/>
      <c r="K254" s="671"/>
      <c r="L254" s="671"/>
      <c r="M254" s="671"/>
    </row>
    <row r="255" spans="1:13" ht="18">
      <c r="A255" s="210"/>
      <c r="B255" s="211" t="s">
        <v>2043</v>
      </c>
      <c r="C255" s="212"/>
      <c r="D255" s="213" t="s">
        <v>8</v>
      </c>
      <c r="E255" s="213" t="s">
        <v>8</v>
      </c>
      <c r="F255" s="213">
        <v>1</v>
      </c>
      <c r="G255" s="213">
        <v>1</v>
      </c>
      <c r="H255" s="213">
        <v>1</v>
      </c>
      <c r="I255" s="213">
        <v>1</v>
      </c>
      <c r="J255" s="213">
        <v>1</v>
      </c>
      <c r="K255" s="213">
        <v>1</v>
      </c>
      <c r="L255" s="213">
        <v>1</v>
      </c>
      <c r="M255" s="213">
        <v>1</v>
      </c>
    </row>
    <row r="256" spans="1:13" ht="18">
      <c r="A256" s="210"/>
      <c r="B256" s="211"/>
      <c r="C256" s="212"/>
      <c r="D256" s="213" t="s">
        <v>8</v>
      </c>
      <c r="E256" s="213" t="s">
        <v>8</v>
      </c>
      <c r="F256" s="213"/>
      <c r="G256" s="213"/>
      <c r="H256" s="213"/>
      <c r="I256" s="213"/>
      <c r="J256" s="213"/>
      <c r="K256" s="213"/>
      <c r="L256" s="213"/>
      <c r="M256" s="213"/>
    </row>
    <row r="257" spans="1:13" ht="18">
      <c r="A257" s="214"/>
      <c r="B257" s="211"/>
      <c r="C257" s="212"/>
      <c r="D257" s="213" t="s">
        <v>8</v>
      </c>
      <c r="E257" s="213" t="s">
        <v>8</v>
      </c>
      <c r="F257" s="213"/>
      <c r="G257" s="213"/>
      <c r="H257" s="213"/>
      <c r="I257" s="213"/>
      <c r="J257" s="213"/>
      <c r="K257" s="213"/>
      <c r="L257" s="213"/>
      <c r="M257" s="213"/>
    </row>
    <row r="258" spans="1:13" ht="15">
      <c r="A258" s="206"/>
      <c r="B258" s="206"/>
      <c r="C258" s="215"/>
      <c r="D258" s="207"/>
      <c r="E258" s="207"/>
      <c r="F258" s="207"/>
      <c r="G258" s="207"/>
      <c r="H258" s="208"/>
      <c r="I258" s="207"/>
      <c r="J258" s="207"/>
      <c r="K258" s="207"/>
      <c r="L258" s="207"/>
      <c r="M258" s="207"/>
    </row>
    <row r="259" spans="1:13" ht="15">
      <c r="A259" s="206"/>
      <c r="B259" s="206"/>
      <c r="C259" s="215"/>
      <c r="D259" s="207"/>
      <c r="E259" s="207"/>
      <c r="F259" s="207"/>
      <c r="G259" s="207"/>
      <c r="H259" s="208"/>
      <c r="I259" s="207"/>
      <c r="J259" s="207"/>
      <c r="K259" s="207"/>
      <c r="L259" s="207"/>
      <c r="M259" s="207"/>
    </row>
    <row r="260" spans="1:13" ht="15">
      <c r="A260" s="248"/>
      <c r="B260" s="248"/>
      <c r="C260" s="248"/>
      <c r="D260" s="248"/>
      <c r="E260" s="248"/>
      <c r="F260" s="248"/>
      <c r="G260" s="248"/>
      <c r="H260" s="248"/>
      <c r="I260" s="248"/>
      <c r="J260" s="248"/>
      <c r="K260" s="248"/>
      <c r="L260" s="248"/>
      <c r="M260" s="248"/>
    </row>
    <row r="306" spans="1:13" ht="126.75" customHeight="1">
      <c r="A306" s="667" t="s">
        <v>765</v>
      </c>
      <c r="B306" s="667"/>
      <c r="C306" s="667"/>
      <c r="D306" s="667"/>
      <c r="E306" s="667"/>
      <c r="F306" s="667"/>
      <c r="G306" s="667"/>
      <c r="H306" s="667"/>
      <c r="I306" s="667"/>
      <c r="J306" s="667"/>
      <c r="K306" s="667"/>
      <c r="L306" s="667"/>
      <c r="M306" s="667"/>
    </row>
  </sheetData>
  <mergeCells count="355">
    <mergeCell ref="A306:M306"/>
    <mergeCell ref="H10:H11"/>
    <mergeCell ref="I10:I11"/>
    <mergeCell ref="J10:J11"/>
    <mergeCell ref="K10:K11"/>
    <mergeCell ref="A1:M4"/>
    <mergeCell ref="A5:M5"/>
    <mergeCell ref="A9:B9"/>
    <mergeCell ref="A10:A11"/>
    <mergeCell ref="B10:B11"/>
    <mergeCell ref="C10:C11"/>
    <mergeCell ref="D10:D11"/>
    <mergeCell ref="E10:E11"/>
    <mergeCell ref="F10:F11"/>
    <mergeCell ref="G10:G11"/>
    <mergeCell ref="L10:L11"/>
    <mergeCell ref="M10:M11"/>
    <mergeCell ref="G19:G20"/>
    <mergeCell ref="H19:H20"/>
    <mergeCell ref="I19:I20"/>
    <mergeCell ref="J19:J20"/>
    <mergeCell ref="K19:K20"/>
    <mergeCell ref="A19:A20"/>
    <mergeCell ref="B19:B20"/>
    <mergeCell ref="E19:E20"/>
    <mergeCell ref="L19:L20"/>
    <mergeCell ref="M19:M20"/>
    <mergeCell ref="D77:D78"/>
    <mergeCell ref="E77:E78"/>
    <mergeCell ref="F77:F78"/>
    <mergeCell ref="G77:G78"/>
    <mergeCell ref="H77:H78"/>
    <mergeCell ref="I77:I78"/>
    <mergeCell ref="J53:J54"/>
    <mergeCell ref="K53:K54"/>
    <mergeCell ref="L53:L54"/>
    <mergeCell ref="H70:H71"/>
    <mergeCell ref="I70:I71"/>
    <mergeCell ref="J70:J71"/>
    <mergeCell ref="K70:K71"/>
    <mergeCell ref="L70:L71"/>
    <mergeCell ref="D60:D61"/>
    <mergeCell ref="E60:E61"/>
    <mergeCell ref="F60:F61"/>
    <mergeCell ref="G60:G61"/>
    <mergeCell ref="H60:H61"/>
    <mergeCell ref="I60:I61"/>
    <mergeCell ref="J60:J61"/>
    <mergeCell ref="F19:F20"/>
    <mergeCell ref="A126:A127"/>
    <mergeCell ref="B126:B127"/>
    <mergeCell ref="C126:C127"/>
    <mergeCell ref="A77:A78"/>
    <mergeCell ref="B77:B78"/>
    <mergeCell ref="C77:C78"/>
    <mergeCell ref="A85:A86"/>
    <mergeCell ref="B85:B86"/>
    <mergeCell ref="C85:C86"/>
    <mergeCell ref="A110:A111"/>
    <mergeCell ref="B110:B111"/>
    <mergeCell ref="C110:C111"/>
    <mergeCell ref="A94:A95"/>
    <mergeCell ref="B94:B95"/>
    <mergeCell ref="C94:C95"/>
    <mergeCell ref="A120:A121"/>
    <mergeCell ref="B120:B121"/>
    <mergeCell ref="C120:C121"/>
    <mergeCell ref="B70:B71"/>
    <mergeCell ref="C70:C71"/>
    <mergeCell ref="D70:D71"/>
    <mergeCell ref="E70:E71"/>
    <mergeCell ref="F70:F71"/>
    <mergeCell ref="C19:C20"/>
    <mergeCell ref="D19:D20"/>
    <mergeCell ref="A210:A211"/>
    <mergeCell ref="B210:B211"/>
    <mergeCell ref="C210:C211"/>
    <mergeCell ref="A179:A180"/>
    <mergeCell ref="B179:B180"/>
    <mergeCell ref="C179:C180"/>
    <mergeCell ref="A153:A154"/>
    <mergeCell ref="B153:B154"/>
    <mergeCell ref="C153:C154"/>
    <mergeCell ref="A166:A167"/>
    <mergeCell ref="B166:B167"/>
    <mergeCell ref="C166:C167"/>
    <mergeCell ref="A187:A188"/>
    <mergeCell ref="B187:B188"/>
    <mergeCell ref="C187:C188"/>
    <mergeCell ref="A160:A161"/>
    <mergeCell ref="B160:B161"/>
    <mergeCell ref="C160:C161"/>
    <mergeCell ref="A202:A203"/>
    <mergeCell ref="B202:B203"/>
    <mergeCell ref="A53:A54"/>
    <mergeCell ref="B53:B54"/>
    <mergeCell ref="A70:A71"/>
    <mergeCell ref="I226:I227"/>
    <mergeCell ref="J226:J227"/>
    <mergeCell ref="K226:K227"/>
    <mergeCell ref="E253:E254"/>
    <mergeCell ref="F253:F254"/>
    <mergeCell ref="G253:G254"/>
    <mergeCell ref="H253:H254"/>
    <mergeCell ref="I253:I254"/>
    <mergeCell ref="K253:K254"/>
    <mergeCell ref="C202:C203"/>
    <mergeCell ref="A226:A227"/>
    <mergeCell ref="B226:B227"/>
    <mergeCell ref="C226:C227"/>
    <mergeCell ref="D226:D227"/>
    <mergeCell ref="E226:E227"/>
    <mergeCell ref="F226:F227"/>
    <mergeCell ref="G226:G227"/>
    <mergeCell ref="H226:H227"/>
    <mergeCell ref="F220:F221"/>
    <mergeCell ref="G220:G221"/>
    <mergeCell ref="H220:H221"/>
    <mergeCell ref="A103:A104"/>
    <mergeCell ref="B103:B104"/>
    <mergeCell ref="A38:A39"/>
    <mergeCell ref="B38:B39"/>
    <mergeCell ref="C38:C39"/>
    <mergeCell ref="D38:D39"/>
    <mergeCell ref="E38:E39"/>
    <mergeCell ref="F38:F39"/>
    <mergeCell ref="G38:G39"/>
    <mergeCell ref="H38:H39"/>
    <mergeCell ref="I38:I39"/>
    <mergeCell ref="H53:H54"/>
    <mergeCell ref="I53:I54"/>
    <mergeCell ref="L253:L254"/>
    <mergeCell ref="J248:J249"/>
    <mergeCell ref="K248:K249"/>
    <mergeCell ref="L248:L249"/>
    <mergeCell ref="J253:J254"/>
    <mergeCell ref="L38:L39"/>
    <mergeCell ref="M38:M39"/>
    <mergeCell ref="J38:J39"/>
    <mergeCell ref="K38:K39"/>
    <mergeCell ref="K60:K61"/>
    <mergeCell ref="L60:L61"/>
    <mergeCell ref="M60:M61"/>
    <mergeCell ref="J77:J78"/>
    <mergeCell ref="J110:J111"/>
    <mergeCell ref="M94:M95"/>
    <mergeCell ref="L103:L104"/>
    <mergeCell ref="M103:M104"/>
    <mergeCell ref="L120:L121"/>
    <mergeCell ref="K110:K111"/>
    <mergeCell ref="L110:L111"/>
    <mergeCell ref="M110:M111"/>
    <mergeCell ref="M120:M121"/>
    <mergeCell ref="A60:A61"/>
    <mergeCell ref="B60:B61"/>
    <mergeCell ref="C60:C61"/>
    <mergeCell ref="M53:M54"/>
    <mergeCell ref="K77:K78"/>
    <mergeCell ref="L77:L78"/>
    <mergeCell ref="M77:M78"/>
    <mergeCell ref="D85:D86"/>
    <mergeCell ref="E85:E86"/>
    <mergeCell ref="F85:F86"/>
    <mergeCell ref="G85:G86"/>
    <mergeCell ref="H85:H86"/>
    <mergeCell ref="I85:I86"/>
    <mergeCell ref="J85:J86"/>
    <mergeCell ref="K85:K86"/>
    <mergeCell ref="L85:L86"/>
    <mergeCell ref="M85:M86"/>
    <mergeCell ref="G70:G71"/>
    <mergeCell ref="M70:M71"/>
    <mergeCell ref="C53:C54"/>
    <mergeCell ref="D53:D54"/>
    <mergeCell ref="E53:E54"/>
    <mergeCell ref="F53:F54"/>
    <mergeCell ref="G53:G54"/>
    <mergeCell ref="C103:C104"/>
    <mergeCell ref="D103:D104"/>
    <mergeCell ref="E103:E104"/>
    <mergeCell ref="F103:F104"/>
    <mergeCell ref="G103:G104"/>
    <mergeCell ref="H103:H104"/>
    <mergeCell ref="I103:I104"/>
    <mergeCell ref="J103:J104"/>
    <mergeCell ref="K103:K104"/>
    <mergeCell ref="D94:D95"/>
    <mergeCell ref="E94:E95"/>
    <mergeCell ref="F94:F95"/>
    <mergeCell ref="G94:G95"/>
    <mergeCell ref="H94:H95"/>
    <mergeCell ref="I94:I95"/>
    <mergeCell ref="J94:J95"/>
    <mergeCell ref="K94:K95"/>
    <mergeCell ref="L94:L95"/>
    <mergeCell ref="D110:D111"/>
    <mergeCell ref="E110:E111"/>
    <mergeCell ref="F110:F111"/>
    <mergeCell ref="G110:G111"/>
    <mergeCell ref="H110:H111"/>
    <mergeCell ref="I110:I111"/>
    <mergeCell ref="E132:E133"/>
    <mergeCell ref="F132:F133"/>
    <mergeCell ref="G132:G133"/>
    <mergeCell ref="H132:H133"/>
    <mergeCell ref="I132:I133"/>
    <mergeCell ref="D126:D127"/>
    <mergeCell ref="E126:E127"/>
    <mergeCell ref="F126:F127"/>
    <mergeCell ref="G126:G127"/>
    <mergeCell ref="H126:H127"/>
    <mergeCell ref="I126:I127"/>
    <mergeCell ref="J126:J127"/>
    <mergeCell ref="K126:K127"/>
    <mergeCell ref="L126:L127"/>
    <mergeCell ref="M126:M127"/>
    <mergeCell ref="D120:D121"/>
    <mergeCell ref="E120:E121"/>
    <mergeCell ref="F120:F121"/>
    <mergeCell ref="G120:G121"/>
    <mergeCell ref="H120:H121"/>
    <mergeCell ref="I120:I121"/>
    <mergeCell ref="J120:J121"/>
    <mergeCell ref="K120:K121"/>
    <mergeCell ref="J160:J161"/>
    <mergeCell ref="K160:K161"/>
    <mergeCell ref="L160:L161"/>
    <mergeCell ref="J132:J133"/>
    <mergeCell ref="K132:K133"/>
    <mergeCell ref="L132:L133"/>
    <mergeCell ref="M132:M133"/>
    <mergeCell ref="A144:A145"/>
    <mergeCell ref="B144:B145"/>
    <mergeCell ref="C144:C145"/>
    <mergeCell ref="D144:D145"/>
    <mergeCell ref="E144:E145"/>
    <mergeCell ref="F144:F145"/>
    <mergeCell ref="G144:G145"/>
    <mergeCell ref="H144:H145"/>
    <mergeCell ref="I144:I145"/>
    <mergeCell ref="J144:J145"/>
    <mergeCell ref="K144:K145"/>
    <mergeCell ref="L144:L145"/>
    <mergeCell ref="M144:M145"/>
    <mergeCell ref="A132:A133"/>
    <mergeCell ref="B132:B133"/>
    <mergeCell ref="C132:C133"/>
    <mergeCell ref="D132:D133"/>
    <mergeCell ref="J179:J180"/>
    <mergeCell ref="K179:K180"/>
    <mergeCell ref="L179:L180"/>
    <mergeCell ref="M160:M161"/>
    <mergeCell ref="D153:D154"/>
    <mergeCell ref="E153:E154"/>
    <mergeCell ref="F153:F154"/>
    <mergeCell ref="J166:J167"/>
    <mergeCell ref="K166:K167"/>
    <mergeCell ref="L166:L167"/>
    <mergeCell ref="M153:M154"/>
    <mergeCell ref="G153:G154"/>
    <mergeCell ref="H153:H154"/>
    <mergeCell ref="I153:I154"/>
    <mergeCell ref="J153:J154"/>
    <mergeCell ref="K153:K154"/>
    <mergeCell ref="L153:L154"/>
    <mergeCell ref="M166:M167"/>
    <mergeCell ref="D160:D161"/>
    <mergeCell ref="E160:E161"/>
    <mergeCell ref="F160:F161"/>
    <mergeCell ref="G160:G161"/>
    <mergeCell ref="H160:H161"/>
    <mergeCell ref="I160:I161"/>
    <mergeCell ref="L220:L221"/>
    <mergeCell ref="M179:M180"/>
    <mergeCell ref="D166:D167"/>
    <mergeCell ref="E166:E167"/>
    <mergeCell ref="F166:F167"/>
    <mergeCell ref="G166:G167"/>
    <mergeCell ref="H166:H167"/>
    <mergeCell ref="I166:I167"/>
    <mergeCell ref="D187:D188"/>
    <mergeCell ref="E187:E188"/>
    <mergeCell ref="F187:F188"/>
    <mergeCell ref="G187:G188"/>
    <mergeCell ref="H187:H188"/>
    <mergeCell ref="I187:I188"/>
    <mergeCell ref="J187:J188"/>
    <mergeCell ref="K187:K188"/>
    <mergeCell ref="L187:L188"/>
    <mergeCell ref="M187:M188"/>
    <mergeCell ref="D179:D180"/>
    <mergeCell ref="E179:E180"/>
    <mergeCell ref="F179:F180"/>
    <mergeCell ref="G179:G180"/>
    <mergeCell ref="H179:H180"/>
    <mergeCell ref="I179:I180"/>
    <mergeCell ref="M202:M203"/>
    <mergeCell ref="D210:D211"/>
    <mergeCell ref="E210:E211"/>
    <mergeCell ref="F210:F211"/>
    <mergeCell ref="G210:G211"/>
    <mergeCell ref="H210:H211"/>
    <mergeCell ref="I210:I211"/>
    <mergeCell ref="J210:J211"/>
    <mergeCell ref="K210:K211"/>
    <mergeCell ref="L210:L211"/>
    <mergeCell ref="M210:M211"/>
    <mergeCell ref="D202:D203"/>
    <mergeCell ref="E202:E203"/>
    <mergeCell ref="F202:F203"/>
    <mergeCell ref="G202:G203"/>
    <mergeCell ref="H202:H203"/>
    <mergeCell ref="I202:I203"/>
    <mergeCell ref="J202:J203"/>
    <mergeCell ref="K202:K203"/>
    <mergeCell ref="L202:L203"/>
    <mergeCell ref="M220:M221"/>
    <mergeCell ref="L226:L227"/>
    <mergeCell ref="M226:M227"/>
    <mergeCell ref="A239:A240"/>
    <mergeCell ref="B239:B240"/>
    <mergeCell ref="C239:C240"/>
    <mergeCell ref="D239:D240"/>
    <mergeCell ref="E239:E240"/>
    <mergeCell ref="F239:F240"/>
    <mergeCell ref="G239:G240"/>
    <mergeCell ref="H239:H240"/>
    <mergeCell ref="I239:I240"/>
    <mergeCell ref="J239:J240"/>
    <mergeCell ref="K239:K240"/>
    <mergeCell ref="L239:L240"/>
    <mergeCell ref="M239:M240"/>
    <mergeCell ref="A220:A221"/>
    <mergeCell ref="B220:B221"/>
    <mergeCell ref="C220:C221"/>
    <mergeCell ref="D220:D221"/>
    <mergeCell ref="E220:E221"/>
    <mergeCell ref="I220:I221"/>
    <mergeCell ref="J220:J221"/>
    <mergeCell ref="K220:K221"/>
    <mergeCell ref="A253:A254"/>
    <mergeCell ref="B253:B254"/>
    <mergeCell ref="C253:C254"/>
    <mergeCell ref="D253:D254"/>
    <mergeCell ref="M253:M254"/>
    <mergeCell ref="M248:M249"/>
    <mergeCell ref="A248:A249"/>
    <mergeCell ref="B248:B249"/>
    <mergeCell ref="C248:C249"/>
    <mergeCell ref="D248:D249"/>
    <mergeCell ref="E248:E249"/>
    <mergeCell ref="F248:F249"/>
    <mergeCell ref="G248:G249"/>
    <mergeCell ref="H248:H249"/>
    <mergeCell ref="I248:I249"/>
  </mergeCells>
  <pageMargins left="0.511811024" right="0.511811024" top="0.78740157499999996" bottom="0.78740157499999996" header="0.31496062000000002" footer="0.31496062000000002"/>
  <pageSetup paperSize="9" scale="57"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19B9B-C30A-483A-B0AD-93FA8ADE02C8}">
  <sheetPr>
    <tabColor rgb="FF00B0F0"/>
    <pageSetUpPr fitToPage="1"/>
  </sheetPr>
  <dimension ref="A1:J521"/>
  <sheetViews>
    <sheetView view="pageBreakPreview" zoomScale="55" zoomScaleNormal="55" zoomScaleSheetLayoutView="55" workbookViewId="0">
      <selection activeCell="M9" sqref="M9"/>
    </sheetView>
  </sheetViews>
  <sheetFormatPr defaultColWidth="9.140625" defaultRowHeight="12.75"/>
  <cols>
    <col min="1" max="1" width="15.140625" style="257" customWidth="1"/>
    <col min="2" max="2" width="15.28515625" style="257" customWidth="1"/>
    <col min="3" max="3" width="128.7109375" style="106" customWidth="1"/>
    <col min="4" max="4" width="8.140625" style="257" customWidth="1"/>
    <col min="5" max="5" width="16.42578125" style="266" customWidth="1"/>
    <col min="6" max="6" width="17.5703125" style="257" customWidth="1"/>
    <col min="7" max="7" width="16.28515625" style="266" customWidth="1"/>
    <col min="8" max="8" width="10" style="257" customWidth="1"/>
    <col min="9" max="9" width="11.7109375" style="257" customWidth="1"/>
    <col min="10" max="10" width="5.7109375" style="257" customWidth="1"/>
    <col min="11" max="16384" width="9.140625" style="106"/>
  </cols>
  <sheetData>
    <row r="1" spans="1:10" ht="12.75" customHeight="1">
      <c r="A1" s="613" t="s">
        <v>62</v>
      </c>
      <c r="B1" s="613"/>
      <c r="C1" s="613"/>
      <c r="D1" s="613"/>
      <c r="E1" s="613"/>
      <c r="F1" s="613"/>
      <c r="G1" s="613"/>
      <c r="H1" s="613"/>
      <c r="I1" s="613"/>
      <c r="J1" s="613"/>
    </row>
    <row r="2" spans="1:10">
      <c r="A2" s="613"/>
      <c r="B2" s="613"/>
      <c r="C2" s="613"/>
      <c r="D2" s="613"/>
      <c r="E2" s="613"/>
      <c r="F2" s="613"/>
      <c r="G2" s="613"/>
      <c r="H2" s="613"/>
      <c r="I2" s="613"/>
      <c r="J2" s="613"/>
    </row>
    <row r="3" spans="1:10">
      <c r="A3" s="613"/>
      <c r="B3" s="613"/>
      <c r="C3" s="613"/>
      <c r="D3" s="613"/>
      <c r="E3" s="613"/>
      <c r="F3" s="613"/>
      <c r="G3" s="613"/>
      <c r="H3" s="613"/>
      <c r="I3" s="613"/>
      <c r="J3" s="613"/>
    </row>
    <row r="4" spans="1:10" ht="24.75" customHeight="1">
      <c r="A4" s="613"/>
      <c r="B4" s="613"/>
      <c r="C4" s="613"/>
      <c r="D4" s="613"/>
      <c r="E4" s="613"/>
      <c r="F4" s="613"/>
      <c r="G4" s="613"/>
      <c r="H4" s="613"/>
      <c r="I4" s="613"/>
      <c r="J4" s="613"/>
    </row>
    <row r="5" spans="1:10" ht="32.25" customHeight="1">
      <c r="A5" s="616" t="s">
        <v>2778</v>
      </c>
      <c r="B5" s="616"/>
      <c r="C5" s="616"/>
      <c r="D5" s="616"/>
      <c r="E5" s="616"/>
      <c r="F5" s="616"/>
      <c r="G5" s="616"/>
      <c r="H5" s="616"/>
      <c r="I5" s="616"/>
      <c r="J5" s="616"/>
    </row>
    <row r="6" spans="1:10" ht="12.75" customHeight="1">
      <c r="A6" s="681" t="s">
        <v>60</v>
      </c>
      <c r="B6" s="681" t="s">
        <v>579</v>
      </c>
      <c r="C6" s="681" t="s">
        <v>33</v>
      </c>
      <c r="D6" s="681" t="s">
        <v>736</v>
      </c>
      <c r="E6" s="682" t="s">
        <v>791</v>
      </c>
      <c r="F6" s="681" t="s">
        <v>792</v>
      </c>
      <c r="G6" s="682" t="s">
        <v>793</v>
      </c>
      <c r="H6" s="681" t="s">
        <v>794</v>
      </c>
      <c r="I6" s="681" t="s">
        <v>795</v>
      </c>
      <c r="J6" s="681" t="s">
        <v>796</v>
      </c>
    </row>
    <row r="7" spans="1:10" ht="18" customHeight="1">
      <c r="A7" s="681"/>
      <c r="B7" s="681"/>
      <c r="C7" s="681"/>
      <c r="D7" s="681"/>
      <c r="E7" s="682"/>
      <c r="F7" s="681"/>
      <c r="G7" s="682"/>
      <c r="H7" s="681"/>
      <c r="I7" s="681"/>
      <c r="J7" s="681"/>
    </row>
    <row r="8" spans="1:10" ht="14.25">
      <c r="A8" s="263" t="s">
        <v>3696</v>
      </c>
      <c r="B8" s="257" t="str">
        <f>VLOOKUP(A8,'3 - PLAN. ORÇAMENTÁRIA'!$B$16:$E$721,3,FALSE)</f>
        <v>PRÓPRIO</v>
      </c>
      <c r="C8" s="265" t="str">
        <f>VLOOKUP(A8,'3 - PLAN. ORÇAMENTÁRIA'!$B$16:$E$721,2,FALSE)</f>
        <v>ADMINISTRAÇÃO LOCAL</v>
      </c>
      <c r="D8" s="257" t="str">
        <f>VLOOKUP(A8,'3 - PLAN. ORÇAMENTÁRIA'!$B$16:$E$721,4,FALSE)</f>
        <v>UN</v>
      </c>
      <c r="E8" s="266">
        <f>SUMIF('3 - PLAN. ORÇAMENTÁRIA'!$C$15:$C$721,C8,'3 - PLAN. ORÇAMENTÁRIA'!$F$15:$F$721)</f>
        <v>1</v>
      </c>
      <c r="F8" s="267">
        <f>VLOOKUP(A8,'3 - PLAN. ORÇAMENTÁRIA'!$B$16:$I$721,8,FALSE)</f>
        <v>438655.83</v>
      </c>
      <c r="G8" s="267">
        <f>ROUND(E8*F8,2)</f>
        <v>438655.83</v>
      </c>
      <c r="H8" s="262">
        <f>(G8*100)/SUM($G$8:$G$519)</f>
        <v>7.4878006503400831</v>
      </c>
      <c r="I8" s="262">
        <f>H8</f>
        <v>7.4878006503400831</v>
      </c>
      <c r="J8" s="257" t="str">
        <f>IF(I8&lt;80,"A",IF(I8&lt;95,"B","C"))</f>
        <v>A</v>
      </c>
    </row>
    <row r="9" spans="1:10" ht="28.5">
      <c r="A9" s="263" t="s">
        <v>3384</v>
      </c>
      <c r="B9" s="257" t="str">
        <f>VLOOKUP(A9,'3 - PLAN. ORÇAMENTÁRIA'!$B$16:$E$721,3,FALSE)</f>
        <v>PRÓPRIO</v>
      </c>
      <c r="C9" s="265" t="str">
        <f>VLOOKUP(A9,'3 - PLAN. ORÇAMENTÁRIA'!$B$16:$E$721,2,FALSE)</f>
        <v>ESPALHAMENTO DE MATERIAL COM TRATOR DE ESTEIRA, INCLUSIVE SOLO ARGILOSO E TRANSPORTE. AF_11/2019 REF. 100574/SINAPI</v>
      </c>
      <c r="D9" s="257" t="str">
        <f>VLOOKUP(A9,'3 - PLAN. ORÇAMENTÁRIA'!$B$16:$E$721,4,FALSE)</f>
        <v>M3</v>
      </c>
      <c r="E9" s="266">
        <f>SUMIF('3 - PLAN. ORÇAMENTÁRIA'!$C$15:$C$721,C9,'3 - PLAN. ORÇAMENTÁRIA'!$F$15:$F$721)</f>
        <v>1601.16</v>
      </c>
      <c r="F9" s="267">
        <f>VLOOKUP(A9,'3 - PLAN. ORÇAMENTÁRIA'!$B$16:$I$721,8,FALSE)</f>
        <v>190.55</v>
      </c>
      <c r="G9" s="267">
        <f>ROUND(E9*F9,2)</f>
        <v>305101.03999999998</v>
      </c>
      <c r="H9" s="262">
        <f t="shared" ref="H9:H72" si="0">(G9*100)/SUM($G$8:$G$519)</f>
        <v>5.208036938051035</v>
      </c>
      <c r="I9" s="262">
        <f>H9+I8</f>
        <v>12.695837588391118</v>
      </c>
      <c r="J9" s="257" t="str">
        <f t="shared" ref="J9:J72" si="1">IF(I9&lt;80,"A",IF(I9&lt;95,"B","C"))</f>
        <v>A</v>
      </c>
    </row>
    <row r="10" spans="1:10" ht="28.5">
      <c r="A10" s="263" t="s">
        <v>3927</v>
      </c>
      <c r="B10" s="257" t="str">
        <f>VLOOKUP(A10,'3 - PLAN. ORÇAMENTÁRIA'!$B$16:$E$721,3,FALSE)</f>
        <v>PRÓPRIO</v>
      </c>
      <c r="C10" s="265" t="str">
        <f>VLOOKUP(A10,'3 - PLAN. ORÇAMENTÁRIA'!$B$16:$E$721,2,FALSE)</f>
        <v>IMPERMEABILIZAÇÃO EM ARGAMASSA DE CONCRETO NÃO ESTRUTURAL COM ADITIVO HIDRÓFUGO REF. 32.17.012/SP OBRAS</v>
      </c>
      <c r="D10" s="257" t="str">
        <f>VLOOKUP(A10,'3 - PLAN. ORÇAMENTÁRIA'!$B$16:$E$721,4,FALSE)</f>
        <v>M3</v>
      </c>
      <c r="E10" s="266">
        <f>SUMIF('3 - PLAN. ORÇAMENTÁRIA'!$C$15:$C$721,C10,'3 - PLAN. ORÇAMENTÁRIA'!$F$15:$F$721)</f>
        <v>312.42</v>
      </c>
      <c r="F10" s="267">
        <f>VLOOKUP(A10,'3 - PLAN. ORÇAMENTÁRIA'!$B$16:$I$721,8,FALSE)</f>
        <v>738.71</v>
      </c>
      <c r="G10" s="267">
        <f>ROUND(E10*F10,2)</f>
        <v>230787.78</v>
      </c>
      <c r="H10" s="262">
        <f t="shared" si="0"/>
        <v>3.9395188003646138</v>
      </c>
      <c r="I10" s="262">
        <f t="shared" ref="I10:I73" si="2">H10+I9</f>
        <v>16.635356388755731</v>
      </c>
      <c r="J10" s="257" t="str">
        <f t="shared" si="1"/>
        <v>A</v>
      </c>
    </row>
    <row r="11" spans="1:10" ht="42.75">
      <c r="A11" s="263" t="s">
        <v>3714</v>
      </c>
      <c r="B11" s="257" t="str">
        <f>VLOOKUP(A11,'3 - PLAN. ORÇAMENTÁRIA'!$B$16:$E$721,3,FALSE)</f>
        <v>PRÓPRIO</v>
      </c>
      <c r="C11" s="265" t="str">
        <f>VLOOKUP(A11,'3 - PLAN. ORÇAMENTÁRIA'!$B$16:$E$721,2,FALSE)</f>
        <v>VIGA METÁLICA EM PERFIL LAMINADO OU SOLDADO EM AÇO ESTRUTURAL, COM CONEXÕES SOLDADAS, INCLUSOS MÃO DE OBRA, TRANSPORTE E IÇAMENTO UTILIZANDO GUINDASTE - FORNECIMENTO E INSTALAÇÃO. AF_01/2020_PA REF. 100764/SINAPI</v>
      </c>
      <c r="D11" s="257" t="str">
        <f>VLOOKUP(A11,'3 - PLAN. ORÇAMENTÁRIA'!$B$16:$E$721,4,FALSE)</f>
        <v>KG</v>
      </c>
      <c r="E11" s="266">
        <f>SUMIF('3 - PLAN. ORÇAMENTÁRIA'!$C$15:$C$721,C11,'3 - PLAN. ORÇAMENTÁRIA'!$F$15:$F$721)</f>
        <v>9261.1</v>
      </c>
      <c r="F11" s="267">
        <f>VLOOKUP(A11,'3 - PLAN. ORÇAMENTÁRIA'!$B$16:$I$721,8,FALSE)</f>
        <v>18.510000000000002</v>
      </c>
      <c r="G11" s="267">
        <f>ROUND(E11*F11,2)</f>
        <v>171422.96</v>
      </c>
      <c r="H11" s="262">
        <f t="shared" si="0"/>
        <v>2.9261686807427636</v>
      </c>
      <c r="I11" s="262">
        <f t="shared" si="2"/>
        <v>19.561525069498494</v>
      </c>
      <c r="J11" s="257" t="str">
        <f t="shared" si="1"/>
        <v>A</v>
      </c>
    </row>
    <row r="12" spans="1:10" ht="28.5">
      <c r="A12" s="263" t="s">
        <v>3365</v>
      </c>
      <c r="B12" s="257" t="str">
        <f>VLOOKUP(A12,'3 - PLAN. ORÇAMENTÁRIA'!$B$16:$E$721,3,FALSE)</f>
        <v>PRÓPRIO</v>
      </c>
      <c r="C12" s="265" t="str">
        <f>VLOOKUP(A12,'3 - PLAN. ORÇAMENTÁRIA'!$B$16:$E$721,2,FALSE)</f>
        <v>EXECUÇÃO DE PAVIMENTO EM PISO INTERTRAVADO, COM BLOCO RETANGULAR DE 20 X 10 CM, ESPESSURA 10 CM (INCLUSO LASTRO DE AREIA E PÓ DE PEDRA 6CM) REF. 92400/SINAPI</v>
      </c>
      <c r="D12" s="257" t="str">
        <f>VLOOKUP(A12,'3 - PLAN. ORÇAMENTÁRIA'!$B$16:$E$721,4,FALSE)</f>
        <v>M2</v>
      </c>
      <c r="E12" s="266">
        <f>SUMIF('3 - PLAN. ORÇAMENTÁRIA'!$C$15:$C$721,C12,'3 - PLAN. ORÇAMENTÁRIA'!$F$15:$F$721)</f>
        <v>935.37</v>
      </c>
      <c r="F12" s="267">
        <f>VLOOKUP(A12,'3 - PLAN. ORÇAMENTÁRIA'!$B$16:$I$721,8,FALSE)</f>
        <v>156.38</v>
      </c>
      <c r="G12" s="267">
        <f>ROUND(E12*F12,2)</f>
        <v>146273.16</v>
      </c>
      <c r="H12" s="262">
        <f t="shared" si="0"/>
        <v>2.4968647118523397</v>
      </c>
      <c r="I12" s="262">
        <f t="shared" si="2"/>
        <v>22.058389781350833</v>
      </c>
      <c r="J12" s="257" t="str">
        <f t="shared" si="1"/>
        <v>A</v>
      </c>
    </row>
    <row r="13" spans="1:10" ht="42.75">
      <c r="A13" s="500" t="s">
        <v>3831</v>
      </c>
      <c r="B13" s="216" t="str">
        <f>VLOOKUP(A13,'3 - PLAN. ORÇAMENTÁRIA'!$B$16:$E$721,3,FALSE)</f>
        <v>COTAÇÃO</v>
      </c>
      <c r="C13" s="265" t="str">
        <f>VLOOKUP(A13,'3 - PLAN. ORÇAMENTÁRIA'!$B$16:$E$721,2,FALSE)</f>
        <v>ESQUADRIA DE ALUMÍNIO LINHA GOLD, COM VIDROS, BATENTES, ACESSÓRIOS E FERRAGENS. INCLUSIVE ALIZAR, ACABAMENTO, CONTRAMARCO E TODOS OS DEMAIS PERFIS NECESSÁRIOS - FORNECIMENTO E INSTALAÇÃO CONFORME PROJETO</v>
      </c>
      <c r="D13" s="216" t="str">
        <f>VLOOKUP(A13,'3 - PLAN. ORÇAMENTÁRIA'!$B$16:$E$721,4,FALSE)</f>
        <v>M2</v>
      </c>
      <c r="E13" s="501">
        <f>SUMIF('3 - PLAN. ORÇAMENTÁRIA'!$C$15:$C$721,C13,'3 - PLAN. ORÇAMENTÁRIA'!$F$15:$F$721)</f>
        <v>104.5</v>
      </c>
      <c r="F13" s="502">
        <f>VLOOKUP(A13,'3 - PLAN. ORÇAMENTÁRIA'!$B$16:$I$721,8,FALSE)</f>
        <v>1188.46</v>
      </c>
      <c r="G13" s="502">
        <f>ROUND(E13*F13,2)</f>
        <v>124194.07</v>
      </c>
      <c r="H13" s="262">
        <f t="shared" si="0"/>
        <v>2.119977382072824</v>
      </c>
      <c r="I13" s="262">
        <f t="shared" si="2"/>
        <v>24.178367163423658</v>
      </c>
      <c r="J13" s="257" t="str">
        <f t="shared" si="1"/>
        <v>A</v>
      </c>
    </row>
    <row r="14" spans="1:10" ht="28.5">
      <c r="A14" s="263" t="s">
        <v>2225</v>
      </c>
      <c r="B14" s="257" t="str">
        <f>VLOOKUP(A14,'3 - PLAN. ORÇAMENTÁRIA'!$B$16:$E$721,3,FALSE)</f>
        <v>PRÓPRIO</v>
      </c>
      <c r="C14" s="265" t="str">
        <f>VLOOKUP(A14,'3 - PLAN. ORÇAMENTÁRIA'!$B$16:$E$721,2,FALSE)</f>
        <v>ESTACA HÉLICE CONTÍNUA, DIÂMETRO DE 40 CM, INCLUSO CONCRETO FCK=30MPA, SEM ARMADURA. REF. 100652/SINAPI</v>
      </c>
      <c r="D14" s="257" t="str">
        <f>VLOOKUP(A14,'3 - PLAN. ORÇAMENTÁRIA'!$B$16:$E$721,4,FALSE)</f>
        <v>M</v>
      </c>
      <c r="E14" s="266">
        <f>SUMIF('3 - PLAN. ORÇAMENTÁRIA'!$C$15:$C$721,C14,'3 - PLAN. ORÇAMENTÁRIA'!$F$15:$F$721)</f>
        <v>523</v>
      </c>
      <c r="F14" s="267">
        <f>VLOOKUP(A14,'3 - PLAN. ORÇAMENTÁRIA'!$B$16:$I$721,8,FALSE)</f>
        <v>223.54</v>
      </c>
      <c r="G14" s="267">
        <f>ROUND(E14*F14,2)</f>
        <v>116911.42</v>
      </c>
      <c r="H14" s="262">
        <f t="shared" si="0"/>
        <v>1.995663449197022</v>
      </c>
      <c r="I14" s="262">
        <f t="shared" si="2"/>
        <v>26.17403061262068</v>
      </c>
      <c r="J14" s="257" t="str">
        <f t="shared" si="1"/>
        <v>A</v>
      </c>
    </row>
    <row r="15" spans="1:10" ht="28.5">
      <c r="A15" s="263" t="s">
        <v>2192</v>
      </c>
      <c r="B15" s="257" t="str">
        <f>VLOOKUP(A15,'3 - PLAN. ORÇAMENTÁRIA'!$B$16:$E$721,3,FALSE)</f>
        <v>PRÓPRIO</v>
      </c>
      <c r="C15" s="265" t="str">
        <f>VLOOKUP(A15,'3 - PLAN. ORÇAMENTÁRIA'!$B$16:$E$721,2,FALSE)</f>
        <v>GUARDA-CORPO PANORÂMICO CHUMBADO COM PERFIS DE AÇO INOX E VIDRO LAMINADO 8 MM (CLASSE SEGURANÇA 1), ALTURA 1,10 M, FIXADORES EM AÇO INOX REF. 99841/SINAPI</v>
      </c>
      <c r="D15" s="257" t="str">
        <f>VLOOKUP(A15,'3 - PLAN. ORÇAMENTÁRIA'!$B$16:$E$721,4,FALSE)</f>
        <v>M</v>
      </c>
      <c r="E15" s="266">
        <f>SUMIF('3 - PLAN. ORÇAMENTÁRIA'!$C$15:$C$721,C15,'3 - PLAN. ORÇAMENTÁRIA'!$F$15:$F$721)</f>
        <v>67.84</v>
      </c>
      <c r="F15" s="267">
        <f>VLOOKUP(A15,'3 - PLAN. ORÇAMENTÁRIA'!$B$16:$I$721,8,FALSE)</f>
        <v>1610.22</v>
      </c>
      <c r="G15" s="267">
        <f>ROUND(E15*F15,2)</f>
        <v>109237.32</v>
      </c>
      <c r="H15" s="262">
        <f t="shared" si="0"/>
        <v>1.864667513338208</v>
      </c>
      <c r="I15" s="262">
        <f t="shared" si="2"/>
        <v>28.038698125958888</v>
      </c>
      <c r="J15" s="257" t="str">
        <f t="shared" si="1"/>
        <v>A</v>
      </c>
    </row>
    <row r="16" spans="1:10" ht="28.5">
      <c r="A16" s="263" t="s">
        <v>2021</v>
      </c>
      <c r="B16" s="257" t="str">
        <f>VLOOKUP(A16,'3 - PLAN. ORÇAMENTÁRIA'!$B$16:$E$721,3,FALSE)</f>
        <v>PRÓPRIO</v>
      </c>
      <c r="C16" s="265" t="str">
        <f>VLOOKUP(A16,'3 - PLAN. ORÇAMENTÁRIA'!$B$16:$E$721,2,FALSE)</f>
        <v>TE-09 ENTRADA PRIMÁRIA SIMPLIF. POSTE ÚNICO - NEOENERGIA - 112,5 kVA 15kV- 220/127 V REF. 09.01.009/SP EDUCAÇÃO</v>
      </c>
      <c r="D16" s="257" t="str">
        <f>VLOOKUP(A16,'3 - PLAN. ORÇAMENTÁRIA'!$B$16:$E$721,4,FALSE)</f>
        <v>UN</v>
      </c>
      <c r="E16" s="266">
        <f>SUMIF('3 - PLAN. ORÇAMENTÁRIA'!$C$15:$C$721,C16,'3 - PLAN. ORÇAMENTÁRIA'!$F$15:$F$721)</f>
        <v>1</v>
      </c>
      <c r="F16" s="267">
        <f>VLOOKUP(A16,'3 - PLAN. ORÇAMENTÁRIA'!$B$16:$I$721,8,FALSE)</f>
        <v>98476.32</v>
      </c>
      <c r="G16" s="267">
        <f>ROUND(E16*F16,2)</f>
        <v>98476.32</v>
      </c>
      <c r="H16" s="262">
        <f t="shared" si="0"/>
        <v>1.6809785770751027</v>
      </c>
      <c r="I16" s="262">
        <f t="shared" si="2"/>
        <v>29.71967670303399</v>
      </c>
      <c r="J16" s="257" t="str">
        <f t="shared" si="1"/>
        <v>A</v>
      </c>
    </row>
    <row r="17" spans="1:10" ht="28.5">
      <c r="A17" s="263" t="s">
        <v>2020</v>
      </c>
      <c r="B17" s="257" t="str">
        <f>VLOOKUP(A17,'3 - PLAN. ORÇAMENTÁRIA'!$B$16:$E$721,3,FALSE)</f>
        <v>PRÓPRIO</v>
      </c>
      <c r="C17" s="265" t="str">
        <f>VLOOKUP(A17,'3 - PLAN. ORÇAMENTÁRIA'!$B$16:$E$721,2,FALSE)</f>
        <v>GRADIL EM AÇO GALVANIZADO, ELETROSOLDADO, COM PINTURA ELETROSTÁTICA EM POLIÉSTER, MALHA 5X20 CM; FIO 5,0 MM, L=2,50 M E H = 2,03 M - NYLOFOR OU EQUIVALENTE REF. 270720/GOINFRA CIVIL</v>
      </c>
      <c r="D17" s="257" t="str">
        <f>VLOOKUP(A17,'3 - PLAN. ORÇAMENTÁRIA'!$B$16:$E$721,4,FALSE)</f>
        <v>M</v>
      </c>
      <c r="E17" s="266">
        <f>SUMIF('3 - PLAN. ORÇAMENTÁRIA'!$C$15:$C$721,C17,'3 - PLAN. ORÇAMENTÁRIA'!$F$15:$F$721)</f>
        <v>162.4</v>
      </c>
      <c r="F17" s="267">
        <f>VLOOKUP(A17,'3 - PLAN. ORÇAMENTÁRIA'!$B$16:$I$721,8,FALSE)</f>
        <v>564.54</v>
      </c>
      <c r="G17" s="267">
        <f>ROUND(E17*F17,2)</f>
        <v>91681.3</v>
      </c>
      <c r="H17" s="262">
        <f t="shared" si="0"/>
        <v>1.5649884278615975</v>
      </c>
      <c r="I17" s="262">
        <f t="shared" si="2"/>
        <v>31.284665130895586</v>
      </c>
      <c r="J17" s="257" t="str">
        <f t="shared" si="1"/>
        <v>A</v>
      </c>
    </row>
    <row r="18" spans="1:10" ht="28.5">
      <c r="A18" s="263" t="s">
        <v>1929</v>
      </c>
      <c r="B18" s="257" t="str">
        <f>VLOOKUP(A18,'3 - PLAN. ORÇAMENTÁRIA'!$B$16:$E$721,3,FALSE)</f>
        <v>PRÓPRIO</v>
      </c>
      <c r="C18" s="265" t="str">
        <f>VLOOKUP(A18,'3 - PLAN. ORÇAMENTÁRIA'!$B$16:$E$721,2,FALSE)</f>
        <v>REVESTIMENTO EM PLACA DE ALUMÍNIO COMPOSTO "ACM", ESPESSURA DE 4 MM E ACABAMENTO EM PVDF, CORES DIVERSAS REF. 21.03.151/SP OBRAS</v>
      </c>
      <c r="D18" s="257" t="str">
        <f>VLOOKUP(A18,'3 - PLAN. ORÇAMENTÁRIA'!$B$16:$E$721,4,FALSE)</f>
        <v>M2</v>
      </c>
      <c r="E18" s="266">
        <f>SUMIF('3 - PLAN. ORÇAMENTÁRIA'!$C$15:$C$721,C18,'3 - PLAN. ORÇAMENTÁRIA'!$F$15:$F$721)</f>
        <v>83.97</v>
      </c>
      <c r="F18" s="267">
        <f>VLOOKUP(A18,'3 - PLAN. ORÇAMENTÁRIA'!$B$16:$I$721,8,FALSE)</f>
        <v>999.88</v>
      </c>
      <c r="G18" s="267">
        <f>ROUND(E18*F18,2)</f>
        <v>83959.92</v>
      </c>
      <c r="H18" s="262">
        <f t="shared" si="0"/>
        <v>1.4331854282627483</v>
      </c>
      <c r="I18" s="262">
        <f t="shared" si="2"/>
        <v>32.717850559158336</v>
      </c>
      <c r="J18" s="257" t="str">
        <f t="shared" si="1"/>
        <v>A</v>
      </c>
    </row>
    <row r="19" spans="1:10" ht="28.5">
      <c r="A19" s="263">
        <v>103273</v>
      </c>
      <c r="B19" s="257" t="str">
        <f>VLOOKUP(A19,'3 - PLAN. ORÇAMENTÁRIA'!$B$16:$E$721,3,FALSE)</f>
        <v>SINAPI</v>
      </c>
      <c r="C19" s="264" t="s">
        <v>3824</v>
      </c>
      <c r="D19" s="257" t="str">
        <f>VLOOKUP(A19,'3 - PLAN. ORÇAMENTÁRIA'!$B$16:$E$721,4,FALSE)</f>
        <v>UN</v>
      </c>
      <c r="E19" s="266">
        <f>SUMIF('3 - PLAN. ORÇAMENTÁRIA'!$C$15:$C$721,C19,'3 - PLAN. ORÇAMENTÁRIA'!$F$15:$F$721)</f>
        <v>5</v>
      </c>
      <c r="F19" s="267">
        <f>VLOOKUP(A19,'3 - PLAN. ORÇAMENTÁRIA'!$B$16:$I$721,8,FALSE)</f>
        <v>16229.77</v>
      </c>
      <c r="G19" s="267">
        <f>ROUND(E19*F19,2)</f>
        <v>81148.850000000006</v>
      </c>
      <c r="H19" s="262">
        <f t="shared" si="0"/>
        <v>1.3852008117716113</v>
      </c>
      <c r="I19" s="262">
        <f t="shared" si="2"/>
        <v>34.103051370929947</v>
      </c>
      <c r="J19" s="257" t="str">
        <f t="shared" si="1"/>
        <v>A</v>
      </c>
    </row>
    <row r="20" spans="1:10" ht="28.5">
      <c r="A20" s="263">
        <v>94994</v>
      </c>
      <c r="B20" s="257" t="str">
        <f>VLOOKUP(A20,'3 - PLAN. ORÇAMENTÁRIA'!$B$16:$E$721,3,FALSE)</f>
        <v>SINAPI</v>
      </c>
      <c r="C20" s="264" t="s">
        <v>3284</v>
      </c>
      <c r="D20" s="257" t="str">
        <f>VLOOKUP(A20,'3 - PLAN. ORÇAMENTÁRIA'!$B$16:$E$721,4,FALSE)</f>
        <v>M2</v>
      </c>
      <c r="E20" s="266">
        <f>SUMIF('3 - PLAN. ORÇAMENTÁRIA'!$C$15:$C$721,C20,'3 - PLAN. ORÇAMENTÁRIA'!$F$15:$F$721)</f>
        <v>667.65</v>
      </c>
      <c r="F20" s="267">
        <f>VLOOKUP(A20,'3 - PLAN. ORÇAMENTÁRIA'!$B$16:$I$721,8,FALSE)</f>
        <v>121.42</v>
      </c>
      <c r="G20" s="267">
        <f>ROUND(E20*F20,2)</f>
        <v>81066.06</v>
      </c>
      <c r="H20" s="262">
        <f t="shared" si="0"/>
        <v>1.3837875967327464</v>
      </c>
      <c r="I20" s="262">
        <f t="shared" si="2"/>
        <v>35.486838967662692</v>
      </c>
      <c r="J20" s="257" t="str">
        <f t="shared" si="1"/>
        <v>A</v>
      </c>
    </row>
    <row r="21" spans="1:10" ht="28.5">
      <c r="A21" s="263" t="s">
        <v>1907</v>
      </c>
      <c r="B21" s="257" t="str">
        <f>VLOOKUP(A21,'3 - PLAN. ORÇAMENTÁRIA'!$B$16:$E$721,3,FALSE)</f>
        <v>PRÓPRIO</v>
      </c>
      <c r="C21" s="265" t="str">
        <f>VLOOKUP(A21,'3 - PLAN. ORÇAMENTÁRIA'!$B$16:$E$721,2,FALSE)</f>
        <v>TELHA GALVALUME / ACO GALV SANDUICHE E=50MM (PIR) TRAPEZ H=40MM NAS DUAS FACES E= 0,50MM COM PINT FACES APARENTES REF. 94216/SINAPI</v>
      </c>
      <c r="D21" s="257" t="str">
        <f>VLOOKUP(A21,'3 - PLAN. ORÇAMENTÁRIA'!$B$16:$E$721,4,FALSE)</f>
        <v>M2</v>
      </c>
      <c r="E21" s="266">
        <f>SUMIF('3 - PLAN. ORÇAMENTÁRIA'!$C$15:$C$721,C21,'3 - PLAN. ORÇAMENTÁRIA'!$F$15:$F$721)</f>
        <v>337.09</v>
      </c>
      <c r="F21" s="267">
        <f>VLOOKUP(A21,'3 - PLAN. ORÇAMENTÁRIA'!$B$16:$I$721,8,FALSE)</f>
        <v>238.04</v>
      </c>
      <c r="G21" s="267">
        <f>ROUND(E21*F21,2)</f>
        <v>80240.899999999994</v>
      </c>
      <c r="H21" s="262">
        <f t="shared" si="0"/>
        <v>1.3697022178044995</v>
      </c>
      <c r="I21" s="262">
        <f t="shared" si="2"/>
        <v>36.856541185467194</v>
      </c>
      <c r="J21" s="257" t="str">
        <f t="shared" si="1"/>
        <v>A</v>
      </c>
    </row>
    <row r="22" spans="1:10" ht="42.75">
      <c r="A22" s="263" t="s">
        <v>2763</v>
      </c>
      <c r="B22" s="257" t="str">
        <f>VLOOKUP(A22,'3 - PLAN. ORÇAMENTÁRIA'!$B$16:$E$721,3,FALSE)</f>
        <v>PRÓPRIO</v>
      </c>
      <c r="C22" s="265" t="str">
        <f>VLOOKUP(A22,'3 - PLAN. ORÇAMENTÁRIA'!$B$16:$E$721,2,FALSE)</f>
        <v>REVESTIMENTO EM PORCELANATO TÉCNICO NATURAL/ACETINADO PARA ÁREA INTERNA E AMBIENTE DE MÉDIO TRÁFEGO MAIOR QUE 10 M², GRUPO DE ABSORÇÃO BIA, COEFICIENTE DE ATRITO I, ASSENTADO COM ARGAMASSA COLANTE INDUSTRIALIZADA, REJUNTADO REF. 87263/SINAPI</v>
      </c>
      <c r="D22" s="257" t="str">
        <f>VLOOKUP(A22,'3 - PLAN. ORÇAMENTÁRIA'!$B$16:$E$721,4,FALSE)</f>
        <v>M2</v>
      </c>
      <c r="E22" s="266">
        <f>SUMIF('3 - PLAN. ORÇAMENTÁRIA'!$C$15:$C$721,C22,'3 - PLAN. ORÇAMENTÁRIA'!$F$15:$F$721)</f>
        <v>332.32</v>
      </c>
      <c r="F22" s="267">
        <f>VLOOKUP(A22,'3 - PLAN. ORÇAMENTÁRIA'!$B$16:$I$721,8,FALSE)</f>
        <v>210.79</v>
      </c>
      <c r="G22" s="267">
        <f>ROUND(E22*F22,2)</f>
        <v>70049.73</v>
      </c>
      <c r="H22" s="262">
        <f t="shared" si="0"/>
        <v>1.1957402090156815</v>
      </c>
      <c r="I22" s="262">
        <f t="shared" si="2"/>
        <v>38.052281394482875</v>
      </c>
      <c r="J22" s="257" t="str">
        <f t="shared" si="1"/>
        <v>A</v>
      </c>
    </row>
    <row r="23" spans="1:10" ht="28.5">
      <c r="A23" s="263">
        <v>103368</v>
      </c>
      <c r="B23" s="257" t="str">
        <f>VLOOKUP(A23,'3 - PLAN. ORÇAMENTÁRIA'!$B$16:$E$721,3,FALSE)</f>
        <v>SINAPI</v>
      </c>
      <c r="C23" s="264" t="s">
        <v>3848</v>
      </c>
      <c r="D23" s="257" t="str">
        <f>VLOOKUP(A23,'3 - PLAN. ORÇAMENTÁRIA'!$B$16:$E$721,4,FALSE)</f>
        <v>M2</v>
      </c>
      <c r="E23" s="266">
        <f>SUMIF('3 - PLAN. ORÇAMENTÁRIA'!$C$15:$C$721,C23,'3 - PLAN. ORÇAMENTÁRIA'!$F$15:$F$721)</f>
        <v>716.99</v>
      </c>
      <c r="F23" s="267">
        <f>VLOOKUP(A23,'3 - PLAN. ORÇAMENTÁRIA'!$B$16:$I$721,8,FALSE)</f>
        <v>90.53</v>
      </c>
      <c r="G23" s="267">
        <f>ROUND(E23*F23,2)</f>
        <v>64909.1</v>
      </c>
      <c r="H23" s="262">
        <f t="shared" si="0"/>
        <v>1.1079902920542273</v>
      </c>
      <c r="I23" s="262">
        <f t="shared" si="2"/>
        <v>39.160271686537101</v>
      </c>
      <c r="J23" s="257" t="str">
        <f t="shared" si="1"/>
        <v>A</v>
      </c>
    </row>
    <row r="24" spans="1:10" ht="42.75">
      <c r="A24" s="263" t="s">
        <v>1891</v>
      </c>
      <c r="B24" s="257" t="str">
        <f>VLOOKUP(A24,'3 - PLAN. ORÇAMENTÁRIA'!$B$16:$E$721,3,FALSE)</f>
        <v>PRÓPRIO</v>
      </c>
      <c r="C24" s="265" t="str">
        <f>VLOOKUP(A24,'3 - PLAN. ORÇAMENTÁRIA'!$B$16:$E$721,2,FALSE)</f>
        <v>PILAR METÁLICO PERFIL LAMINADO OU SOLDADO EM AÇO ESTRUTURAL, COM CONEXÕES SOLDADAS, INCLUSOS MÃO DE OBRA, TRANSPORTE E IÇAMENTO UTILIZANDO GUINDASTE - FORNECIMENTO E INSTALAÇÃO. AF_01/2020_PA REF. 100766/SINAPI</v>
      </c>
      <c r="D24" s="257" t="str">
        <f>VLOOKUP(A24,'3 - PLAN. ORÇAMENTÁRIA'!$B$16:$E$721,4,FALSE)</f>
        <v>KG</v>
      </c>
      <c r="E24" s="266">
        <f>SUMIF('3 - PLAN. ORÇAMENTÁRIA'!$C$15:$C$721,C24,'3 - PLAN. ORÇAMENTÁRIA'!$F$15:$F$721)</f>
        <v>3785</v>
      </c>
      <c r="F24" s="267">
        <f>VLOOKUP(A24,'3 - PLAN. ORÇAMENTÁRIA'!$B$16:$I$721,8,FALSE)</f>
        <v>16.71</v>
      </c>
      <c r="G24" s="267">
        <f>ROUND(E24*F24,2)</f>
        <v>63247.35</v>
      </c>
      <c r="H24" s="262">
        <f t="shared" si="0"/>
        <v>1.0796244255143874</v>
      </c>
      <c r="I24" s="262">
        <f t="shared" si="2"/>
        <v>40.23989611205149</v>
      </c>
      <c r="J24" s="257" t="str">
        <f t="shared" si="1"/>
        <v>A</v>
      </c>
    </row>
    <row r="25" spans="1:10" ht="14.25">
      <c r="A25" s="263">
        <v>98459</v>
      </c>
      <c r="B25" s="257" t="str">
        <f>VLOOKUP(A25,'3 - PLAN. ORÇAMENTÁRIA'!$B$16:$E$721,3,FALSE)</f>
        <v>SINAPI</v>
      </c>
      <c r="C25" s="264" t="s">
        <v>156</v>
      </c>
      <c r="D25" s="257" t="str">
        <f>VLOOKUP(A25,'3 - PLAN. ORÇAMENTÁRIA'!$B$16:$E$721,4,FALSE)</f>
        <v>M2</v>
      </c>
      <c r="E25" s="266">
        <f>SUMIF('3 - PLAN. ORÇAMENTÁRIA'!$C$15:$C$721,C25,'3 - PLAN. ORÇAMENTÁRIA'!$F$15:$F$721)</f>
        <v>555.73</v>
      </c>
      <c r="F25" s="267">
        <f>VLOOKUP(A25,'3 - PLAN. ORÇAMENTÁRIA'!$B$16:$I$721,8,FALSE)</f>
        <v>109.88</v>
      </c>
      <c r="G25" s="267">
        <f>ROUND(E25*F25,2)</f>
        <v>61063.61</v>
      </c>
      <c r="H25" s="262">
        <f t="shared" si="0"/>
        <v>1.0423482543708884</v>
      </c>
      <c r="I25" s="262">
        <f t="shared" si="2"/>
        <v>41.282244366422375</v>
      </c>
      <c r="J25" s="257" t="str">
        <f t="shared" si="1"/>
        <v>A</v>
      </c>
    </row>
    <row r="26" spans="1:10" ht="14.25">
      <c r="A26" s="263" t="s">
        <v>1913</v>
      </c>
      <c r="B26" s="257" t="str">
        <f>VLOOKUP(A26,'3 - PLAN. ORÇAMENTÁRIA'!$B$16:$E$721,3,FALSE)</f>
        <v>PRÓPRIO</v>
      </c>
      <c r="C26" s="265" t="str">
        <f>VLOOKUP(A26,'3 - PLAN. ORÇAMENTÁRIA'!$B$16:$E$721,2,FALSE)</f>
        <v>FORRO EM FIBRA MINERAL NRC 0.65, EM PLACAS ACÚSTICAS REMOVÍVEIS DE 625MM X 625MM REF. 104757/SINAPI</v>
      </c>
      <c r="D26" s="257" t="str">
        <f>VLOOKUP(A26,'3 - PLAN. ORÇAMENTÁRIA'!$B$16:$E$721,4,FALSE)</f>
        <v>M2</v>
      </c>
      <c r="E26" s="266">
        <f>SUMIF('3 - PLAN. ORÇAMENTÁRIA'!$C$15:$C$721,C26,'3 - PLAN. ORÇAMENTÁRIA'!$F$15:$F$721)</f>
        <v>334.98</v>
      </c>
      <c r="F26" s="267">
        <f>VLOOKUP(A26,'3 - PLAN. ORÇAMENTÁRIA'!$B$16:$I$721,8,FALSE)</f>
        <v>182.15</v>
      </c>
      <c r="G26" s="267">
        <f>ROUND(E26*F26,2)</f>
        <v>61016.61</v>
      </c>
      <c r="H26" s="262">
        <f t="shared" si="0"/>
        <v>1.0415459701961494</v>
      </c>
      <c r="I26" s="262">
        <f t="shared" si="2"/>
        <v>42.323790336618522</v>
      </c>
      <c r="J26" s="257" t="str">
        <f t="shared" si="1"/>
        <v>A</v>
      </c>
    </row>
    <row r="27" spans="1:10" ht="28.5">
      <c r="A27" s="263" t="s">
        <v>1844</v>
      </c>
      <c r="B27" s="257" t="str">
        <f>VLOOKUP(A27,'3 - PLAN. ORÇAMENTÁRIA'!$B$16:$E$721,3,FALSE)</f>
        <v>COTAÇÃO</v>
      </c>
      <c r="C27" s="265" t="str">
        <f>VLOOKUP(A27,'3 - PLAN. ORÇAMENTÁRIA'!$B$16:$E$721,2,FALSE)</f>
        <v>SISTEMA FOTOVOLTÁICO COMPLETO - POTÊNCIA DE GERAÇÃO 43,45 KWp - CONFORME PROJETO ESPECÍFICO (FORNECIMENTO E INSTALAÇÃO)</v>
      </c>
      <c r="D27" s="257" t="str">
        <f>VLOOKUP(A27,'3 - PLAN. ORÇAMENTÁRIA'!$B$16:$E$721,4,FALSE)</f>
        <v>CJ</v>
      </c>
      <c r="E27" s="266">
        <f>SUMIF('3 - PLAN. ORÇAMENTÁRIA'!$C$15:$C$721,C27,'3 - PLAN. ORÇAMENTÁRIA'!$F$15:$F$721)</f>
        <v>1</v>
      </c>
      <c r="F27" s="267">
        <f>VLOOKUP(A27,'3 - PLAN. ORÇAMENTÁRIA'!$B$16:$I$721,8,FALSE)</f>
        <v>60727.38</v>
      </c>
      <c r="G27" s="267">
        <f>ROUND(E27*F27,2)</f>
        <v>60727.38</v>
      </c>
      <c r="H27" s="262">
        <f t="shared" si="0"/>
        <v>1.0366088499438144</v>
      </c>
      <c r="I27" s="262">
        <f t="shared" si="2"/>
        <v>43.36039918656234</v>
      </c>
      <c r="J27" s="257" t="str">
        <f t="shared" si="1"/>
        <v>A</v>
      </c>
    </row>
    <row r="28" spans="1:10" ht="28.5">
      <c r="A28" s="263" t="s">
        <v>2189</v>
      </c>
      <c r="B28" s="257" t="str">
        <f>VLOOKUP(A28,'3 - PLAN. ORÇAMENTÁRIA'!$B$16:$E$721,3,FALSE)</f>
        <v>PRÓPRIO</v>
      </c>
      <c r="C28" s="265" t="str">
        <f>VLOOKUP(A28,'3 - PLAN. ORÇAMENTÁRIA'!$B$16:$E$721,2,FALSE)</f>
        <v>LUMINÁRIA PÚBLICA LED RETANGULAR PARA POSTE, FLUXO LUMINOSO DE 14200 A 18000 LM, EFICIÊNCIA MÍNIMA DE 120 LM/W - POTÊNCIA DE 100 W/120 W (UN) REF. 101657/SINAPI</v>
      </c>
      <c r="D28" s="257" t="str">
        <f>VLOOKUP(A28,'3 - PLAN. ORÇAMENTÁRIA'!$B$16:$E$721,4,FALSE)</f>
        <v>UN</v>
      </c>
      <c r="E28" s="266">
        <f>SUMIF('3 - PLAN. ORÇAMENTÁRIA'!$C$15:$C$721,C28,'3 - PLAN. ORÇAMENTÁRIA'!$F$15:$F$721)</f>
        <v>71</v>
      </c>
      <c r="F28" s="267">
        <f>VLOOKUP(A28,'3 - PLAN. ORÇAMENTÁRIA'!$B$16:$I$721,8,FALSE)</f>
        <v>807.32</v>
      </c>
      <c r="G28" s="267">
        <f>ROUND(E28*F28,2)</f>
        <v>57319.72</v>
      </c>
      <c r="H28" s="262">
        <f t="shared" si="0"/>
        <v>0.97844051609507032</v>
      </c>
      <c r="I28" s="262">
        <f t="shared" si="2"/>
        <v>44.33883970265741</v>
      </c>
      <c r="J28" s="257" t="str">
        <f t="shared" si="1"/>
        <v>A</v>
      </c>
    </row>
    <row r="29" spans="1:10" ht="28.5">
      <c r="A29" s="263">
        <v>105033</v>
      </c>
      <c r="B29" s="257" t="str">
        <f>VLOOKUP(A29,'3 - PLAN. ORÇAMENTÁRIA'!$B$16:$E$721,3,FALSE)</f>
        <v>SINAPI</v>
      </c>
      <c r="C29" s="264" t="s">
        <v>2908</v>
      </c>
      <c r="D29" s="257" t="str">
        <f>VLOOKUP(A29,'3 - PLAN. ORÇAMENTÁRIA'!$B$16:$E$721,4,FALSE)</f>
        <v>M</v>
      </c>
      <c r="E29" s="266">
        <f>SUMIF('3 - PLAN. ORÇAMENTÁRIA'!$C$15:$C$721,C29,'3 - PLAN. ORÇAMENTÁRIA'!$F$15:$F$721)</f>
        <v>719.42</v>
      </c>
      <c r="F29" s="267">
        <f>VLOOKUP(A29,'3 - PLAN. ORÇAMENTÁRIA'!$B$16:$I$721,8,FALSE)</f>
        <v>78.510000000000005</v>
      </c>
      <c r="G29" s="267">
        <f>ROUND(E29*F29,2)</f>
        <v>56481.66</v>
      </c>
      <c r="H29" s="262">
        <f t="shared" si="0"/>
        <v>0.96413493576567177</v>
      </c>
      <c r="I29" s="262">
        <f t="shared" si="2"/>
        <v>45.30297463842308</v>
      </c>
      <c r="J29" s="257" t="str">
        <f t="shared" si="1"/>
        <v>A</v>
      </c>
    </row>
    <row r="30" spans="1:10" ht="28.5">
      <c r="A30" s="263" t="s">
        <v>2953</v>
      </c>
      <c r="B30" s="257" t="str">
        <f>VLOOKUP(A30,'3 - PLAN. ORÇAMENTÁRIA'!$B$16:$E$721,3,FALSE)</f>
        <v>PRÓPRIO</v>
      </c>
      <c r="C30" s="265" t="str">
        <f>VLOOKUP(A30,'3 - PLAN. ORÇAMENTÁRIA'!$B$16:$E$721,2,FALSE)</f>
        <v>BRISE QUADRICULADO EM TELA DE ARAME GALVANIZADO FIO 12, MALHA 2", COM SUPORTE EM TUBO GALVANIZADO 1 1/2" E REQUADROS EM BARRA CHATA 3/4" X 3/16" REF. S09580/ORSE</v>
      </c>
      <c r="D30" s="257" t="str">
        <f>VLOOKUP(A30,'3 - PLAN. ORÇAMENTÁRIA'!$B$16:$E$721,4,FALSE)</f>
        <v>M2</v>
      </c>
      <c r="E30" s="266">
        <f>SUMIF('3 - PLAN. ORÇAMENTÁRIA'!$C$15:$C$721,C30,'3 - PLAN. ORÇAMENTÁRIA'!$F$15:$F$721)</f>
        <v>32.229999999999997</v>
      </c>
      <c r="F30" s="267">
        <f>VLOOKUP(A30,'3 - PLAN. ORÇAMENTÁRIA'!$B$16:$I$721,8,FALSE)</f>
        <v>1735.33</v>
      </c>
      <c r="G30" s="267">
        <f>ROUND(E30*F30,2)</f>
        <v>55929.69</v>
      </c>
      <c r="H30" s="262">
        <f t="shared" si="0"/>
        <v>0.95471287627778534</v>
      </c>
      <c r="I30" s="262">
        <f t="shared" si="2"/>
        <v>46.257687514700869</v>
      </c>
      <c r="J30" s="257" t="str">
        <f t="shared" si="1"/>
        <v>A</v>
      </c>
    </row>
    <row r="31" spans="1:10" ht="28.5">
      <c r="A31" s="263" t="s">
        <v>3367</v>
      </c>
      <c r="B31" s="257" t="str">
        <f>VLOOKUP(A31,'3 - PLAN. ORÇAMENTÁRIA'!$B$16:$E$721,3,FALSE)</f>
        <v>PRÓPRIO</v>
      </c>
      <c r="C31" s="265" t="str">
        <f>VLOOKUP(A31,'3 - PLAN. ORÇAMENTÁRIA'!$B$16:$E$721,2,FALSE)</f>
        <v>EXECUÇÃO DE PAVIMENTO EM PISO INTERTRAVADO, COM BLOCO PISOGRAMA DE 60 X 45 CM, ESPESSURA 8 CM (INCLUSO LASTRO DE AREIA E PÓ DE PEDRA 6CM) REF. 92392/SINAPI</v>
      </c>
      <c r="D31" s="257" t="str">
        <f>VLOOKUP(A31,'3 - PLAN. ORÇAMENTÁRIA'!$B$16:$E$721,4,FALSE)</f>
        <v>M2</v>
      </c>
      <c r="E31" s="266">
        <f>SUMIF('3 - PLAN. ORÇAMENTÁRIA'!$C$15:$C$721,C31,'3 - PLAN. ORÇAMENTÁRIA'!$F$15:$F$721)</f>
        <v>254.53</v>
      </c>
      <c r="F31" s="267">
        <f>VLOOKUP(A31,'3 - PLAN. ORÇAMENTÁRIA'!$B$16:$I$721,8,FALSE)</f>
        <v>216.47</v>
      </c>
      <c r="G31" s="267">
        <f>ROUND(E31*F31,2)</f>
        <v>55098.11</v>
      </c>
      <c r="H31" s="262">
        <f t="shared" si="0"/>
        <v>0.94051790874524432</v>
      </c>
      <c r="I31" s="262">
        <f t="shared" si="2"/>
        <v>47.198205423446112</v>
      </c>
      <c r="J31" s="257" t="str">
        <f t="shared" si="1"/>
        <v>A</v>
      </c>
    </row>
    <row r="32" spans="1:10" ht="14.25">
      <c r="A32" s="263">
        <v>92990</v>
      </c>
      <c r="B32" s="257" t="str">
        <f>VLOOKUP(A32,'3 - PLAN. ORÇAMENTÁRIA'!$B$16:$E$721,3,FALSE)</f>
        <v>SINAPI</v>
      </c>
      <c r="C32" s="264" t="s">
        <v>566</v>
      </c>
      <c r="D32" s="257" t="str">
        <f>VLOOKUP(A32,'3 - PLAN. ORÇAMENTÁRIA'!$B$16:$E$721,4,FALSE)</f>
        <v>M</v>
      </c>
      <c r="E32" s="266">
        <f>SUMIF('3 - PLAN. ORÇAMENTÁRIA'!$C$15:$C$721,C32,'3 - PLAN. ORÇAMENTÁRIA'!$F$15:$F$721)</f>
        <v>456.81</v>
      </c>
      <c r="F32" s="267">
        <f>VLOOKUP(A32,'3 - PLAN. ORÇAMENTÁRIA'!$B$16:$I$721,8,FALSE)</f>
        <v>117.25</v>
      </c>
      <c r="G32" s="267">
        <f>ROUND(E32*F32,2)</f>
        <v>53560.97</v>
      </c>
      <c r="H32" s="262">
        <f t="shared" si="0"/>
        <v>0.91427911946102636</v>
      </c>
      <c r="I32" s="262">
        <f t="shared" si="2"/>
        <v>48.11248454290714</v>
      </c>
      <c r="J32" s="257" t="str">
        <f t="shared" si="1"/>
        <v>A</v>
      </c>
    </row>
    <row r="33" spans="1:10" ht="28.5">
      <c r="A33" s="263" t="s">
        <v>3235</v>
      </c>
      <c r="B33" s="257" t="str">
        <f>VLOOKUP(A33,'3 - PLAN. ORÇAMENTÁRIA'!$B$16:$E$721,3,FALSE)</f>
        <v>PRÓPRIO</v>
      </c>
      <c r="C33" s="265" t="str">
        <f>VLOOKUP(A33,'3 - PLAN. ORÇAMENTÁRIA'!$B$16:$E$721,2,FALSE)</f>
        <v>PISO FULGET (GRANITO LAVADO) 40 X 40 CM ASSENTADO SOBRE ARGAMASSA 1:3 (CIMENTO E AREIA). AF_09/2020 REF. 101732/SINAPI</v>
      </c>
      <c r="D33" s="257" t="str">
        <f>VLOOKUP(A33,'3 - PLAN. ORÇAMENTÁRIA'!$B$16:$E$721,4,FALSE)</f>
        <v>M2</v>
      </c>
      <c r="E33" s="266">
        <f>SUMIF('3 - PLAN. ORÇAMENTÁRIA'!$C$15:$C$721,C33,'3 - PLAN. ORÇAMENTÁRIA'!$F$15:$F$721)</f>
        <v>204.81</v>
      </c>
      <c r="F33" s="267">
        <f>VLOOKUP(A33,'3 - PLAN. ORÇAMENTÁRIA'!$B$16:$I$721,8,FALSE)</f>
        <v>259.88</v>
      </c>
      <c r="G33" s="267">
        <f>ROUND(E33*F33,2)</f>
        <v>53226.02</v>
      </c>
      <c r="H33" s="262">
        <f t="shared" si="0"/>
        <v>0.90856156447530689</v>
      </c>
      <c r="I33" s="262">
        <f t="shared" si="2"/>
        <v>49.021046107382446</v>
      </c>
      <c r="J33" s="257" t="str">
        <f t="shared" si="1"/>
        <v>A</v>
      </c>
    </row>
    <row r="34" spans="1:10" ht="28.5">
      <c r="A34" s="263" t="s">
        <v>2136</v>
      </c>
      <c r="B34" s="257" t="str">
        <f>VLOOKUP(A34,'3 - PLAN. ORÇAMENTÁRIA'!$B$16:$E$721,3,FALSE)</f>
        <v>PRÓPRIO</v>
      </c>
      <c r="C34" s="265" t="str">
        <f>VLOOKUP(A34,'3 - PLAN. ORÇAMENTÁRIA'!$B$16:$E$721,2,FALSE)</f>
        <v>POSTE DE AÇO GALVANIZADO CÔNICO CONTÍNO RETO, DIÂMETRO SUPERIOR 60MM, DIÂMETRO DA BASE 115MM, ALTURA TOTAL 5M, CONIPOST REF. SÉRIE 0005/CLASSE 60 DA CONIPOST OU SIMILAR REF. 100622/SINAPI</v>
      </c>
      <c r="D34" s="257" t="str">
        <f>VLOOKUP(A34,'3 - PLAN. ORÇAMENTÁRIA'!$B$16:$E$721,4,FALSE)</f>
        <v>UN</v>
      </c>
      <c r="E34" s="266">
        <f>SUMIF('3 - PLAN. ORÇAMENTÁRIA'!$C$15:$C$721,C34,'3 - PLAN. ORÇAMENTÁRIA'!$F$15:$F$721)</f>
        <v>39</v>
      </c>
      <c r="F34" s="267">
        <f>VLOOKUP(A34,'3 - PLAN. ORÇAMENTÁRIA'!$B$16:$I$721,8,FALSE)</f>
        <v>1350.54</v>
      </c>
      <c r="G34" s="267">
        <f>ROUND(E34*F34,2)</f>
        <v>52671.06</v>
      </c>
      <c r="H34" s="262">
        <f t="shared" si="0"/>
        <v>0.89908846605800619</v>
      </c>
      <c r="I34" s="262">
        <f t="shared" si="2"/>
        <v>49.92013457344045</v>
      </c>
      <c r="J34" s="257" t="str">
        <f t="shared" si="1"/>
        <v>A</v>
      </c>
    </row>
    <row r="35" spans="1:10" ht="28.5">
      <c r="A35" s="263">
        <v>93591</v>
      </c>
      <c r="B35" s="257" t="str">
        <f>VLOOKUP(A35,'3 - PLAN. ORÇAMENTÁRIA'!$B$16:$E$721,3,FALSE)</f>
        <v>SINAPI</v>
      </c>
      <c r="C35" s="264" t="s">
        <v>3950</v>
      </c>
      <c r="D35" s="257" t="str">
        <f>VLOOKUP(A35,'3 - PLAN. ORÇAMENTÁRIA'!$B$16:$E$721,4,FALSE)</f>
        <v>M3XKM</v>
      </c>
      <c r="E35" s="266">
        <f>SUMIF('3 - PLAN. ORÇAMENTÁRIA'!$C$15:$C$721,C35,'3 - PLAN. ORÇAMENTÁRIA'!$F$15:$F$721)</f>
        <v>14793.37</v>
      </c>
      <c r="F35" s="267">
        <f>VLOOKUP(A35,'3 - PLAN. ORÇAMENTÁRIA'!$B$16:$I$721,8,FALSE)</f>
        <v>3.41</v>
      </c>
      <c r="G35" s="267">
        <f>ROUND(E35*F35,2)</f>
        <v>50445.39</v>
      </c>
      <c r="H35" s="262">
        <f t="shared" si="0"/>
        <v>0.86109655501138349</v>
      </c>
      <c r="I35" s="262">
        <f t="shared" si="2"/>
        <v>50.781231128451836</v>
      </c>
      <c r="J35" s="257" t="str">
        <f t="shared" si="1"/>
        <v>A</v>
      </c>
    </row>
    <row r="36" spans="1:10" ht="28.5">
      <c r="A36" s="263">
        <v>103342</v>
      </c>
      <c r="B36" s="257" t="str">
        <f>VLOOKUP(A36,'3 - PLAN. ORÇAMENTÁRIA'!$B$16:$E$721,3,FALSE)</f>
        <v>SINAPI</v>
      </c>
      <c r="C36" s="264" t="s">
        <v>256</v>
      </c>
      <c r="D36" s="257" t="str">
        <f>VLOOKUP(A36,'3 - PLAN. ORÇAMENTÁRIA'!$B$16:$E$721,4,FALSE)</f>
        <v>M2</v>
      </c>
      <c r="E36" s="266">
        <f>SUMIF('3 - PLAN. ORÇAMENTÁRIA'!$C$15:$C$721,C36,'3 - PLAN. ORÇAMENTÁRIA'!$F$15:$F$721)</f>
        <v>312.42</v>
      </c>
      <c r="F36" s="267">
        <f>VLOOKUP(A36,'3 - PLAN. ORÇAMENTÁRIA'!$B$16:$I$721,8,FALSE)</f>
        <v>161.13</v>
      </c>
      <c r="G36" s="267">
        <f>ROUND(E36*F36,2)</f>
        <v>50340.23</v>
      </c>
      <c r="H36" s="262">
        <f t="shared" si="0"/>
        <v>0.85930148684509522</v>
      </c>
      <c r="I36" s="262">
        <f t="shared" si="2"/>
        <v>51.640532615296934</v>
      </c>
      <c r="J36" s="257" t="str">
        <f t="shared" si="1"/>
        <v>A</v>
      </c>
    </row>
    <row r="37" spans="1:10" ht="28.5">
      <c r="A37" s="263" t="s">
        <v>2227</v>
      </c>
      <c r="B37" s="257" t="str">
        <f>VLOOKUP(A37,'3 - PLAN. ORÇAMENTÁRIA'!$B$16:$E$721,3,FALSE)</f>
        <v>PRÓPRIO</v>
      </c>
      <c r="C37" s="265" t="str">
        <f>VLOOKUP(A37,'3 - PLAN. ORÇAMENTÁRIA'!$B$16:$E$721,2,FALSE)</f>
        <v>LAJE PRÉ-FABRICADA STEEL DECK, ESPESSURA DA CHAPA 0,80 MM, ESPESSURA DA LAJE 10 CM, COM CAPA DE CONCRETO FCK=25MPA REF. S07947/ORSE</v>
      </c>
      <c r="D37" s="257" t="str">
        <f>VLOOKUP(A37,'3 - PLAN. ORÇAMENTÁRIA'!$B$16:$E$721,4,FALSE)</f>
        <v>M2</v>
      </c>
      <c r="E37" s="266">
        <f>SUMIF('3 - PLAN. ORÇAMENTÁRIA'!$C$15:$C$721,C37,'3 - PLAN. ORÇAMENTÁRIA'!$F$15:$F$721)</f>
        <v>113.3</v>
      </c>
      <c r="F37" s="267">
        <f>VLOOKUP(A37,'3 - PLAN. ORÇAMENTÁRIA'!$B$16:$I$721,8,FALSE)</f>
        <v>432.55</v>
      </c>
      <c r="G37" s="267">
        <f>ROUND(E37*F37,2)</f>
        <v>49007.92</v>
      </c>
      <c r="H37" s="262">
        <f t="shared" si="0"/>
        <v>0.8365591202738939</v>
      </c>
      <c r="I37" s="262">
        <f t="shared" si="2"/>
        <v>52.477091735570831</v>
      </c>
      <c r="J37" s="257" t="str">
        <f t="shared" si="1"/>
        <v>A</v>
      </c>
    </row>
    <row r="38" spans="1:10" ht="28.5">
      <c r="A38" s="263">
        <v>87644</v>
      </c>
      <c r="B38" s="257" t="str">
        <f>VLOOKUP(A38,'3 - PLAN. ORÇAMENTÁRIA'!$B$16:$E$721,3,FALSE)</f>
        <v>SINAPI</v>
      </c>
      <c r="C38" s="265" t="str">
        <f>VLOOKUP(A38,'3 - PLAN. ORÇAMENTÁRIA'!$B$16:$E$721,2,FALSE)</f>
        <v>CONTRAPISO (REGULARIZAÇÃO) EM ARGAMASSA PRONTA, PREPARO MANUAL, APLICADO EM ÁREAS SECAS SOBRE LAJE, ADERIDO, ACABAMENTO NÃO REFORÇADO, ESPESSURA 4CM. AF_07/2021</v>
      </c>
      <c r="D38" s="257" t="str">
        <f>VLOOKUP(A38,'3 - PLAN. ORÇAMENTÁRIA'!$B$16:$E$721,4,FALSE)</f>
        <v>M3</v>
      </c>
      <c r="E38" s="266">
        <f>SUMIF('3 - PLAN. ORÇAMENTÁRIA'!$C$15:$C$721,C38,'3 - PLAN. ORÇAMENTÁRIA'!$F$15:$F$721)</f>
        <v>331.3</v>
      </c>
      <c r="F38" s="267">
        <f>VLOOKUP(A38,'3 - PLAN. ORÇAMENTÁRIA'!$B$16:$I$721,8,FALSE)</f>
        <v>144.12</v>
      </c>
      <c r="G38" s="267">
        <f>ROUND(E38*F38,2)</f>
        <v>47746.96</v>
      </c>
      <c r="H38" s="262">
        <f t="shared" si="0"/>
        <v>0.81503468935945045</v>
      </c>
      <c r="I38" s="262">
        <f t="shared" si="2"/>
        <v>53.292126424930281</v>
      </c>
      <c r="J38" s="257" t="str">
        <f t="shared" si="1"/>
        <v>A</v>
      </c>
    </row>
    <row r="39" spans="1:10" ht="42.75">
      <c r="A39" s="263" t="s">
        <v>1911</v>
      </c>
      <c r="B39" s="257" t="str">
        <f>VLOOKUP(A39,'3 - PLAN. ORÇAMENTÁRIA'!$B$16:$E$721,3,FALSE)</f>
        <v>PRÓPRIO</v>
      </c>
      <c r="C39" s="265" t="str">
        <f>VLOOKUP(A39,'3 - PLAN. ORÇAMENTÁRIA'!$B$16:$E$721,2,FALSE)</f>
        <v>REVESTIMENTO CERÂMICO PARA PISO OU PAREDE, 30 X 60 CM, LINHA CETIM BIANCO OU SIMILAR, PORTOBELLO OU SIMILAR, APLICADO COM ARGAMASSA INDUSTRIALIZADA AC-I, REJUNTADO, EXCLUSIVE REGULARIZAÇÃO DE BASE OU EMBOÇO REF. 87273/SINAPI</v>
      </c>
      <c r="D39" s="257" t="str">
        <f>VLOOKUP(A39,'3 - PLAN. ORÇAMENTÁRIA'!$B$16:$E$721,4,FALSE)</f>
        <v>M2</v>
      </c>
      <c r="E39" s="266">
        <f>SUMIF('3 - PLAN. ORÇAMENTÁRIA'!$C$15:$C$721,C39,'3 - PLAN. ORÇAMENTÁRIA'!$F$15:$F$721)</f>
        <v>266.85000000000002</v>
      </c>
      <c r="F39" s="267">
        <f>VLOOKUP(A39,'3 - PLAN. ORÇAMENTÁRIA'!$B$16:$I$721,8,FALSE)</f>
        <v>173.13</v>
      </c>
      <c r="G39" s="267">
        <f>ROUND(E39*F39,2)</f>
        <v>46199.74</v>
      </c>
      <c r="H39" s="262">
        <f t="shared" si="0"/>
        <v>0.78862383572456507</v>
      </c>
      <c r="I39" s="262">
        <f t="shared" si="2"/>
        <v>54.080750260654845</v>
      </c>
      <c r="J39" s="257" t="str">
        <f t="shared" si="1"/>
        <v>A</v>
      </c>
    </row>
    <row r="40" spans="1:10" ht="14.25">
      <c r="A40" s="263" t="s">
        <v>2754</v>
      </c>
      <c r="B40" s="257" t="str">
        <f>VLOOKUP(A40,'3 - PLAN. ORÇAMENTÁRIA'!$B$16:$E$721,3,FALSE)</f>
        <v>PRÓPRIO</v>
      </c>
      <c r="C40" s="265" t="str">
        <f>VLOOKUP(A40,'3 - PLAN. ORÇAMENTÁRIA'!$B$16:$E$721,2,FALSE)</f>
        <v>PLANTIO DE GRAMA AMENDOIM, EM PLACAS. AF_07/2024 REF. 103946</v>
      </c>
      <c r="D40" s="257" t="str">
        <f>VLOOKUP(A40,'3 - PLAN. ORÇAMENTÁRIA'!$B$16:$E$721,4,FALSE)</f>
        <v>M2</v>
      </c>
      <c r="E40" s="266">
        <f>SUMIF('3 - PLAN. ORÇAMENTÁRIA'!$C$15:$C$721,C40,'3 - PLAN. ORÇAMENTÁRIA'!$F$15:$F$721)</f>
        <v>316.52999999999997</v>
      </c>
      <c r="F40" s="267">
        <f>VLOOKUP(A40,'3 - PLAN. ORÇAMENTÁRIA'!$B$16:$I$721,8,FALSE)</f>
        <v>143</v>
      </c>
      <c r="G40" s="267">
        <f>ROUND(E40*F40,2)</f>
        <v>45263.79</v>
      </c>
      <c r="H40" s="262">
        <f t="shared" si="0"/>
        <v>0.77264728522782189</v>
      </c>
      <c r="I40" s="262">
        <f t="shared" si="2"/>
        <v>54.853397545882665</v>
      </c>
      <c r="J40" s="257" t="str">
        <f t="shared" si="1"/>
        <v>A</v>
      </c>
    </row>
    <row r="41" spans="1:10" ht="28.5">
      <c r="A41" s="263">
        <v>96542</v>
      </c>
      <c r="B41" s="257" t="str">
        <f>VLOOKUP(A41,'3 - PLAN. ORÇAMENTÁRIA'!$B$16:$E$721,3,FALSE)</f>
        <v>SINAPI</v>
      </c>
      <c r="C41" s="264" t="s">
        <v>228</v>
      </c>
      <c r="D41" s="257" t="str">
        <f>VLOOKUP(A41,'3 - PLAN. ORÇAMENTÁRIA'!$B$16:$E$721,4,FALSE)</f>
        <v>M2</v>
      </c>
      <c r="E41" s="266">
        <f>SUMIF('3 - PLAN. ORÇAMENTÁRIA'!$C$15:$C$721,C41,'3 - PLAN. ORÇAMENTÁRIA'!$F$15:$F$721)</f>
        <v>380.93</v>
      </c>
      <c r="F41" s="267">
        <f>VLOOKUP(A41,'3 - PLAN. ORÇAMENTÁRIA'!$B$16:$I$721,8,FALSE)</f>
        <v>118.45</v>
      </c>
      <c r="G41" s="267">
        <f>ROUND(E41*F41,2)</f>
        <v>45121.16</v>
      </c>
      <c r="H41" s="262">
        <f t="shared" si="0"/>
        <v>0.77021260880563003</v>
      </c>
      <c r="I41" s="262">
        <f t="shared" si="2"/>
        <v>55.623610154688294</v>
      </c>
      <c r="J41" s="257" t="str">
        <f t="shared" si="1"/>
        <v>A</v>
      </c>
    </row>
    <row r="42" spans="1:10" ht="28.5">
      <c r="A42" s="263">
        <v>96557</v>
      </c>
      <c r="B42" s="257" t="str">
        <f>VLOOKUP(A42,'3 - PLAN. ORÇAMENTÁRIA'!$B$16:$E$721,3,FALSE)</f>
        <v>SINAPI</v>
      </c>
      <c r="C42" s="264" t="s">
        <v>217</v>
      </c>
      <c r="D42" s="257" t="str">
        <f>VLOOKUP(A42,'3 - PLAN. ORÇAMENTÁRIA'!$B$16:$E$721,4,FALSE)</f>
        <v>M3</v>
      </c>
      <c r="E42" s="266">
        <f>SUMIF('3 - PLAN. ORÇAMENTÁRIA'!$C$15:$C$721,C42,'3 - PLAN. ORÇAMENTÁRIA'!$F$15:$F$721)</f>
        <v>51.59</v>
      </c>
      <c r="F42" s="267">
        <f>VLOOKUP(A42,'3 - PLAN. ORÇAMENTÁRIA'!$B$16:$I$721,8,FALSE)</f>
        <v>838.74</v>
      </c>
      <c r="G42" s="267">
        <f>ROUND(E42*F42,2)</f>
        <v>43270.6</v>
      </c>
      <c r="H42" s="262">
        <f t="shared" si="0"/>
        <v>0.7386237789672272</v>
      </c>
      <c r="I42" s="262">
        <f t="shared" si="2"/>
        <v>56.362233933655517</v>
      </c>
      <c r="J42" s="257" t="str">
        <f t="shared" si="1"/>
        <v>A</v>
      </c>
    </row>
    <row r="43" spans="1:10" ht="28.5">
      <c r="A43" s="263">
        <v>98299</v>
      </c>
      <c r="B43" s="257" t="str">
        <f>VLOOKUP(A43,'3 - PLAN. ORÇAMENTÁRIA'!$B$16:$E$721,3,FALSE)</f>
        <v>SINAPI</v>
      </c>
      <c r="C43" s="264" t="s">
        <v>2159</v>
      </c>
      <c r="D43" s="257" t="str">
        <f>VLOOKUP(A43,'3 - PLAN. ORÇAMENTÁRIA'!$B$16:$E$721,4,FALSE)</f>
        <v>M</v>
      </c>
      <c r="E43" s="266">
        <f>SUMIF('3 - PLAN. ORÇAMENTÁRIA'!$C$15:$C$721,C43,'3 - PLAN. ORÇAMENTÁRIA'!$F$15:$F$721)</f>
        <v>1331.09</v>
      </c>
      <c r="F43" s="267">
        <f>VLOOKUP(A43,'3 - PLAN. ORÇAMENTÁRIA'!$B$16:$I$721,8,FALSE)</f>
        <v>31.91</v>
      </c>
      <c r="G43" s="267">
        <f>ROUND(E43*F43,2)</f>
        <v>42475.08</v>
      </c>
      <c r="H43" s="262">
        <f t="shared" si="0"/>
        <v>0.7250443511653476</v>
      </c>
      <c r="I43" s="262">
        <f t="shared" si="2"/>
        <v>57.087278284820862</v>
      </c>
      <c r="J43" s="257" t="str">
        <f t="shared" si="1"/>
        <v>A</v>
      </c>
    </row>
    <row r="44" spans="1:10" ht="28.5">
      <c r="A44" s="263">
        <v>94993</v>
      </c>
      <c r="B44" s="257" t="str">
        <f>VLOOKUP(A44,'3 - PLAN. ORÇAMENTÁRIA'!$B$16:$E$721,3,FALSE)</f>
        <v>SINAPI</v>
      </c>
      <c r="C44" s="264" t="s">
        <v>2768</v>
      </c>
      <c r="D44" s="257" t="str">
        <f>VLOOKUP(A44,'3 - PLAN. ORÇAMENTÁRIA'!$B$16:$E$721,4,FALSE)</f>
        <v>M2</v>
      </c>
      <c r="E44" s="266">
        <f>SUMIF('3 - PLAN. ORÇAMENTÁRIA'!$C$15:$C$721,C44,'3 - PLAN. ORÇAMENTÁRIA'!$F$15:$F$721)</f>
        <v>453.6</v>
      </c>
      <c r="F44" s="267">
        <f>VLOOKUP(A44,'3 - PLAN. ORÇAMENTÁRIA'!$B$16:$I$721,8,FALSE)</f>
        <v>92.45</v>
      </c>
      <c r="G44" s="267">
        <f>ROUND(E44*F44,2)</f>
        <v>41935.32</v>
      </c>
      <c r="H44" s="262">
        <f t="shared" si="0"/>
        <v>0.71583071486413274</v>
      </c>
      <c r="I44" s="262">
        <f t="shared" si="2"/>
        <v>57.803108999684994</v>
      </c>
      <c r="J44" s="257" t="str">
        <f t="shared" si="1"/>
        <v>A</v>
      </c>
    </row>
    <row r="45" spans="1:10" ht="28.5">
      <c r="A45" s="263">
        <v>100757</v>
      </c>
      <c r="B45" s="257" t="str">
        <f>VLOOKUP(A45,'3 - PLAN. ORÇAMENTÁRIA'!$B$16:$E$721,3,FALSE)</f>
        <v>SINAPI</v>
      </c>
      <c r="C45" s="264" t="s">
        <v>2504</v>
      </c>
      <c r="D45" s="257" t="str">
        <f>VLOOKUP(A45,'3 - PLAN. ORÇAMENTÁRIA'!$B$16:$E$721,4,FALSE)</f>
        <v>M2</v>
      </c>
      <c r="E45" s="266">
        <f>SUMIF('3 - PLAN. ORÇAMENTÁRIA'!$C$15:$C$721,C45,'3 - PLAN. ORÇAMENTÁRIA'!$F$15:$F$721)</f>
        <v>607.75</v>
      </c>
      <c r="F45" s="267">
        <f>VLOOKUP(A45,'3 - PLAN. ORÇAMENTÁRIA'!$B$16:$I$721,8,FALSE)</f>
        <v>67.22</v>
      </c>
      <c r="G45" s="267">
        <f>ROUND(E45*F45,2)</f>
        <v>40852.959999999999</v>
      </c>
      <c r="H45" s="262">
        <f t="shared" si="0"/>
        <v>0.69735496381369733</v>
      </c>
      <c r="I45" s="262">
        <f t="shared" si="2"/>
        <v>58.500463963498689</v>
      </c>
      <c r="J45" s="257" t="str">
        <f t="shared" si="1"/>
        <v>A</v>
      </c>
    </row>
    <row r="46" spans="1:10" ht="28.5">
      <c r="A46" s="263" t="s">
        <v>2257</v>
      </c>
      <c r="B46" s="257" t="str">
        <f>VLOOKUP(A46,'3 - PLAN. ORÇAMENTÁRIA'!$B$16:$E$721,3,FALSE)</f>
        <v>PRÓPRIO</v>
      </c>
      <c r="C46" s="265" t="str">
        <f>VLOOKUP(A46,'3 - PLAN. ORÇAMENTÁRIA'!$B$16:$E$721,2,FALSE)</f>
        <v>FORNECIMENTO E MONTAGEM DE ESTRUTURA METÁLICA EM TUBO GALVANIZADO, INCLUSIVE PRIMER ANTICORROSIVO E PINTURA DE ACABAMENTO (BARRAS FECHAMENTO FACHADA) REF. 15.03.150/SP OBRAS</v>
      </c>
      <c r="D46" s="257" t="str">
        <f>VLOOKUP(A46,'3 - PLAN. ORÇAMENTÁRIA'!$B$16:$E$721,4,FALSE)</f>
        <v>KG</v>
      </c>
      <c r="E46" s="266">
        <f>SUMIF('3 - PLAN. ORÇAMENTÁRIA'!$C$15:$C$721,C46,'3 - PLAN. ORÇAMENTÁRIA'!$F$15:$F$721)</f>
        <v>1612.4</v>
      </c>
      <c r="F46" s="267">
        <f>VLOOKUP(A46,'3 - PLAN. ORÇAMENTÁRIA'!$B$16:$I$721,8,FALSE)</f>
        <v>24.59</v>
      </c>
      <c r="G46" s="267">
        <f>ROUND(E46*F46,2)</f>
        <v>39648.92</v>
      </c>
      <c r="H46" s="262">
        <f t="shared" si="0"/>
        <v>0.67680215024449097</v>
      </c>
      <c r="I46" s="262">
        <f t="shared" si="2"/>
        <v>59.17726611374318</v>
      </c>
      <c r="J46" s="257" t="str">
        <f t="shared" si="1"/>
        <v>A</v>
      </c>
    </row>
    <row r="47" spans="1:10" ht="28.5">
      <c r="A47" s="263">
        <v>103250</v>
      </c>
      <c r="B47" s="257" t="str">
        <f>VLOOKUP(A47,'3 - PLAN. ORÇAMENTÁRIA'!$B$16:$E$721,3,FALSE)</f>
        <v>SINAPI</v>
      </c>
      <c r="C47" s="264" t="s">
        <v>441</v>
      </c>
      <c r="D47" s="257" t="str">
        <f>VLOOKUP(A47,'3 - PLAN. ORÇAMENTÁRIA'!$B$16:$E$721,4,FALSE)</f>
        <v>UN</v>
      </c>
      <c r="E47" s="266">
        <f>SUMIF('3 - PLAN. ORÇAMENTÁRIA'!$C$15:$C$721,C47,'3 - PLAN. ORÇAMENTÁRIA'!$F$15:$F$721)</f>
        <v>7</v>
      </c>
      <c r="F47" s="267">
        <f>VLOOKUP(A47,'3 - PLAN. ORÇAMENTÁRIA'!$B$16:$I$721,8,FALSE)</f>
        <v>5349.59</v>
      </c>
      <c r="G47" s="267">
        <f>ROUND(E47*F47,2)</f>
        <v>37447.129999999997</v>
      </c>
      <c r="H47" s="262">
        <f t="shared" si="0"/>
        <v>0.63921786783813994</v>
      </c>
      <c r="I47" s="262">
        <f t="shared" si="2"/>
        <v>59.816483981581321</v>
      </c>
      <c r="J47" s="257" t="str">
        <f t="shared" si="1"/>
        <v>A</v>
      </c>
    </row>
    <row r="48" spans="1:10" ht="14.25">
      <c r="A48" s="263">
        <v>91930</v>
      </c>
      <c r="B48" s="257" t="str">
        <f>VLOOKUP(A48,'3 - PLAN. ORÇAMENTÁRIA'!$B$16:$E$721,3,FALSE)</f>
        <v>SINAPI</v>
      </c>
      <c r="C48" s="264" t="s">
        <v>387</v>
      </c>
      <c r="D48" s="257" t="str">
        <f>VLOOKUP(A48,'3 - PLAN. ORÇAMENTÁRIA'!$B$16:$E$721,4,FALSE)</f>
        <v>M</v>
      </c>
      <c r="E48" s="266">
        <f>SUMIF('3 - PLAN. ORÇAMENTÁRIA'!$C$15:$C$721,C48,'3 - PLAN. ORÇAMENTÁRIA'!$F$15:$F$721)</f>
        <v>2701.47</v>
      </c>
      <c r="F48" s="267">
        <f>VLOOKUP(A48,'3 - PLAN. ORÇAMENTÁRIA'!$B$16:$I$721,8,FALSE)</f>
        <v>13.84</v>
      </c>
      <c r="G48" s="267">
        <f>ROUND(E48*F48,2)</f>
        <v>37388.339999999997</v>
      </c>
      <c r="H48" s="262">
        <f t="shared" si="0"/>
        <v>0.63821432982467396</v>
      </c>
      <c r="I48" s="262">
        <f t="shared" si="2"/>
        <v>60.454698311405998</v>
      </c>
      <c r="J48" s="257" t="str">
        <f t="shared" si="1"/>
        <v>A</v>
      </c>
    </row>
    <row r="49" spans="1:10" ht="14.25">
      <c r="A49" s="263">
        <v>98557</v>
      </c>
      <c r="B49" s="257" t="str">
        <f>VLOOKUP(A49,'3 - PLAN. ORÇAMENTÁRIA'!$B$16:$E$721,3,FALSE)</f>
        <v>SINAPI</v>
      </c>
      <c r="C49" s="264" t="s">
        <v>219</v>
      </c>
      <c r="D49" s="257" t="str">
        <f>VLOOKUP(A49,'3 - PLAN. ORÇAMENTÁRIA'!$B$16:$E$721,4,FALSE)</f>
        <v>M2</v>
      </c>
      <c r="E49" s="266">
        <f>SUMIF('3 - PLAN. ORÇAMENTÁRIA'!$C$15:$C$721,C49,'3 - PLAN. ORÇAMENTÁRIA'!$F$15:$F$721)</f>
        <v>695.62</v>
      </c>
      <c r="F49" s="267">
        <f>VLOOKUP(A49,'3 - PLAN. ORÇAMENTÁRIA'!$B$16:$I$721,8,FALSE)</f>
        <v>53.24</v>
      </c>
      <c r="G49" s="267">
        <f>ROUND(E49*F49,2)</f>
        <v>37034.81</v>
      </c>
      <c r="H49" s="262">
        <f t="shared" si="0"/>
        <v>0.63217961654179178</v>
      </c>
      <c r="I49" s="262">
        <f t="shared" si="2"/>
        <v>61.086877927947789</v>
      </c>
      <c r="J49" s="257" t="str">
        <f t="shared" si="1"/>
        <v>A</v>
      </c>
    </row>
    <row r="50" spans="1:10" ht="28.5">
      <c r="A50" s="263" t="s">
        <v>2353</v>
      </c>
      <c r="B50" s="257" t="str">
        <f>VLOOKUP(A50,'3 - PLAN. ORÇAMENTÁRIA'!$B$16:$E$721,3,FALSE)</f>
        <v>PRÓPRIO</v>
      </c>
      <c r="C50" s="265" t="str">
        <f>VLOOKUP(A50,'3 - PLAN. ORÇAMENTÁRIA'!$B$16:$E$721,2,FALSE)</f>
        <v>PORTÃO EM GRADIL BELGO NYLOFOR 3D, DE CORRER, INCLUSIVE FERROLHOPS E RODÍZIOS REF. 34.05.300/SP OBRAS</v>
      </c>
      <c r="D50" s="257" t="str">
        <f>VLOOKUP(A50,'3 - PLAN. ORÇAMENTÁRIA'!$B$16:$E$721,4,FALSE)</f>
        <v>M2</v>
      </c>
      <c r="E50" s="266">
        <f>SUMIF('3 - PLAN. ORÇAMENTÁRIA'!$C$15:$C$721,C50,'3 - PLAN. ORÇAMENTÁRIA'!$F$15:$F$721)</f>
        <v>31.54</v>
      </c>
      <c r="F50" s="267">
        <f>VLOOKUP(A50,'3 - PLAN. ORÇAMENTÁRIA'!$B$16:$I$721,8,FALSE)</f>
        <v>1136.02</v>
      </c>
      <c r="G50" s="267">
        <f>ROUND(E50*F50,2)</f>
        <v>35830.07</v>
      </c>
      <c r="H50" s="262">
        <f t="shared" si="0"/>
        <v>0.61161485405934468</v>
      </c>
      <c r="I50" s="262">
        <f t="shared" si="2"/>
        <v>61.698492782007136</v>
      </c>
      <c r="J50" s="257" t="str">
        <f t="shared" si="1"/>
        <v>A</v>
      </c>
    </row>
    <row r="51" spans="1:10" ht="28.5">
      <c r="A51" s="263">
        <v>102723</v>
      </c>
      <c r="B51" s="257" t="str">
        <f>VLOOKUP(A51,'3 - PLAN. ORÇAMENTÁRIA'!$B$16:$E$721,3,FALSE)</f>
        <v>SINAPI</v>
      </c>
      <c r="C51" s="264" t="s">
        <v>1209</v>
      </c>
      <c r="D51" s="257" t="str">
        <f>VLOOKUP(A51,'3 - PLAN. ORÇAMENTÁRIA'!$B$16:$E$721,4,FALSE)</f>
        <v>M</v>
      </c>
      <c r="E51" s="266">
        <f>SUMIF('3 - PLAN. ORÇAMENTÁRIA'!$C$15:$C$721,C51,'3 - PLAN. ORÇAMENTÁRIA'!$F$15:$F$721)</f>
        <v>249.01</v>
      </c>
      <c r="F51" s="267">
        <f>VLOOKUP(A51,'3 - PLAN. ORÇAMENTÁRIA'!$B$16:$I$721,8,FALSE)</f>
        <v>140.49</v>
      </c>
      <c r="G51" s="267">
        <f>ROUND(E51*F51,2)</f>
        <v>34983.410000000003</v>
      </c>
      <c r="H51" s="262">
        <f t="shared" si="0"/>
        <v>0.597162472795845</v>
      </c>
      <c r="I51" s="262">
        <f t="shared" si="2"/>
        <v>62.29565525480298</v>
      </c>
      <c r="J51" s="257" t="str">
        <f t="shared" si="1"/>
        <v>A</v>
      </c>
    </row>
    <row r="52" spans="1:10" ht="14.25">
      <c r="A52" s="263" t="s">
        <v>3331</v>
      </c>
      <c r="B52" s="257" t="str">
        <f>VLOOKUP(A52,'3 - PLAN. ORÇAMENTÁRIA'!$B$16:$E$721,3,FALSE)</f>
        <v>PRÓPRIO</v>
      </c>
      <c r="C52" s="265" t="str">
        <f>VLOOKUP(A52,'3 - PLAN. ORÇAMENTÁRIA'!$B$16:$E$721,2,FALSE)</f>
        <v>CA-22 CANALETA DE AGUAS PLUVIAIS EM CONCRETO (30CM) REF. 16.05.032/SP EDUCAÇÃO</v>
      </c>
      <c r="D52" s="257" t="str">
        <f>VLOOKUP(A52,'3 - PLAN. ORÇAMENTÁRIA'!$B$16:$E$721,4,FALSE)</f>
        <v>M</v>
      </c>
      <c r="E52" s="266">
        <f>SUMIF('3 - PLAN. ORÇAMENTÁRIA'!$C$15:$C$721,C52,'3 - PLAN. ORÇAMENTÁRIA'!$F$15:$F$721)</f>
        <v>138.62</v>
      </c>
      <c r="F52" s="267">
        <f>VLOOKUP(A52,'3 - PLAN. ORÇAMENTÁRIA'!$B$16:$I$721,8,FALSE)</f>
        <v>241.01</v>
      </c>
      <c r="G52" s="267">
        <f>ROUND(E52*F52,2)</f>
        <v>33408.81</v>
      </c>
      <c r="H52" s="262">
        <f t="shared" si="0"/>
        <v>0.5702842459544839</v>
      </c>
      <c r="I52" s="262">
        <f t="shared" si="2"/>
        <v>62.865939500757463</v>
      </c>
      <c r="J52" s="257" t="str">
        <f t="shared" si="1"/>
        <v>A</v>
      </c>
    </row>
    <row r="53" spans="1:10" ht="28.5">
      <c r="A53" s="263">
        <v>87547</v>
      </c>
      <c r="B53" s="257" t="str">
        <f>VLOOKUP(A53,'3 - PLAN. ORÇAMENTÁRIA'!$B$16:$E$721,3,FALSE)</f>
        <v>SINAPI</v>
      </c>
      <c r="C53" s="264" t="s">
        <v>4029</v>
      </c>
      <c r="D53" s="257" t="str">
        <f>VLOOKUP(A53,'3 - PLAN. ORÇAMENTÁRIA'!$B$16:$E$721,4,FALSE)</f>
        <v>M2</v>
      </c>
      <c r="E53" s="266">
        <f>SUMIF('3 - PLAN. ORÇAMENTÁRIA'!$C$15:$C$721,C53,'3 - PLAN. ORÇAMENTÁRIA'!$F$15:$F$721)</f>
        <v>921.81000000000006</v>
      </c>
      <c r="F53" s="267">
        <f>VLOOKUP(A53,'3 - PLAN. ORÇAMENTÁRIA'!$B$16:$I$721,8,FALSE)</f>
        <v>34.880000000000003</v>
      </c>
      <c r="G53" s="267">
        <f>ROUND(E53*F53,2)</f>
        <v>32152.73</v>
      </c>
      <c r="H53" s="262">
        <f t="shared" si="0"/>
        <v>0.54884311603520486</v>
      </c>
      <c r="I53" s="262">
        <f t="shared" si="2"/>
        <v>63.414782616792671</v>
      </c>
      <c r="J53" s="257" t="str">
        <f t="shared" si="1"/>
        <v>A</v>
      </c>
    </row>
    <row r="54" spans="1:10" ht="14.25">
      <c r="A54" s="263" t="s">
        <v>3606</v>
      </c>
      <c r="B54" s="257" t="str">
        <f>VLOOKUP(A54,'3 - PLAN. ORÇAMENTÁRIA'!$B$16:$E$721,3,FALSE)</f>
        <v>PRÓPRIO</v>
      </c>
      <c r="C54" s="265" t="str">
        <f>VLOOKUP(A54,'3 - PLAN. ORÇAMENTÁRIA'!$B$16:$E$721,2,FALSE)</f>
        <v>TC-11 TAMPA DE CONCRETO PRE-MOLDADA PERF. P/ CANALETA L=35CM REF. 16.05.048/SP EDUCAÇÃO</v>
      </c>
      <c r="D54" s="257" t="str">
        <f>VLOOKUP(A54,'3 - PLAN. ORÇAMENTÁRIA'!$B$16:$E$721,4,FALSE)</f>
        <v>M</v>
      </c>
      <c r="E54" s="266">
        <f>SUMIF('3 - PLAN. ORÇAMENTÁRIA'!$C$15:$C$721,C54,'3 - PLAN. ORÇAMENTÁRIA'!$F$15:$F$721)</f>
        <v>138.62</v>
      </c>
      <c r="F54" s="267">
        <f>VLOOKUP(A54,'3 - PLAN. ORÇAMENTÁRIA'!$B$16:$I$721,8,FALSE)</f>
        <v>224.79</v>
      </c>
      <c r="G54" s="267">
        <f>ROUND(E54*F54,2)</f>
        <v>31160.39</v>
      </c>
      <c r="H54" s="262">
        <f t="shared" si="0"/>
        <v>0.53190399522753551</v>
      </c>
      <c r="I54" s="262">
        <f t="shared" si="2"/>
        <v>63.946686612020208</v>
      </c>
      <c r="J54" s="257" t="str">
        <f t="shared" si="1"/>
        <v>A</v>
      </c>
    </row>
    <row r="55" spans="1:10" ht="14.25">
      <c r="A55" s="263">
        <v>91926</v>
      </c>
      <c r="B55" s="257" t="str">
        <f>VLOOKUP(A55,'3 - PLAN. ORÇAMENTÁRIA'!$B$16:$E$721,3,FALSE)</f>
        <v>SINAPI</v>
      </c>
      <c r="C55" s="264" t="s">
        <v>573</v>
      </c>
      <c r="D55" s="257" t="str">
        <f>VLOOKUP(A55,'3 - PLAN. ORÇAMENTÁRIA'!$B$16:$E$721,4,FALSE)</f>
        <v>M</v>
      </c>
      <c r="E55" s="266">
        <f>SUMIF('3 - PLAN. ORÇAMENTÁRIA'!$C$15:$C$721,C55,'3 - PLAN. ORÇAMENTÁRIA'!$F$15:$F$721)</f>
        <v>4874.38</v>
      </c>
      <c r="F55" s="267">
        <f>VLOOKUP(A55,'3 - PLAN. ORÇAMENTÁRIA'!$B$16:$I$721,8,FALSE)</f>
        <v>6.33</v>
      </c>
      <c r="G55" s="267">
        <f>ROUND(E55*F55,2)</f>
        <v>30854.83</v>
      </c>
      <c r="H55" s="262">
        <f t="shared" si="0"/>
        <v>0.52668812389916875</v>
      </c>
      <c r="I55" s="262">
        <f t="shared" si="2"/>
        <v>64.473374735919379</v>
      </c>
      <c r="J55" s="257" t="str">
        <f t="shared" si="1"/>
        <v>A</v>
      </c>
    </row>
    <row r="56" spans="1:10" ht="14.25">
      <c r="A56" s="263" t="s">
        <v>1892</v>
      </c>
      <c r="B56" s="257" t="str">
        <f>VLOOKUP(A56,'3 - PLAN. ORÇAMENTÁRIA'!$B$16:$E$721,3,FALSE)</f>
        <v>PRÓPRIO</v>
      </c>
      <c r="C56" s="265" t="str">
        <f>VLOOKUP(A56,'3 - PLAN. ORÇAMENTÁRIA'!$B$16:$E$721,2,FALSE)</f>
        <v>ESTACA HÉLICE CONTÍNUA, DIÂMETRO DE 30 CM, INCLUSO CONCRETO FCK=30MPA, SEM ARMAÇÃO REF. 100651/SINAPI</v>
      </c>
      <c r="D56" s="257" t="str">
        <f>VLOOKUP(A56,'3 - PLAN. ORÇAMENTÁRIA'!$B$16:$E$721,4,FALSE)</f>
        <v>M</v>
      </c>
      <c r="E56" s="266">
        <f>SUMIF('3 - PLAN. ORÇAMENTÁRIA'!$C$15:$C$721,C56,'3 - PLAN. ORÇAMENTÁRIA'!$F$15:$F$721)</f>
        <v>216</v>
      </c>
      <c r="F56" s="267">
        <f>VLOOKUP(A56,'3 - PLAN. ORÇAMENTÁRIA'!$B$16:$I$721,8,FALSE)</f>
        <v>141.62</v>
      </c>
      <c r="G56" s="267">
        <f>ROUND(E56*F56,2)</f>
        <v>30589.919999999998</v>
      </c>
      <c r="H56" s="262">
        <f t="shared" si="0"/>
        <v>0.52216614303257092</v>
      </c>
      <c r="I56" s="262">
        <f t="shared" si="2"/>
        <v>64.995540878951942</v>
      </c>
      <c r="J56" s="257" t="str">
        <f t="shared" si="1"/>
        <v>A</v>
      </c>
    </row>
    <row r="57" spans="1:10" ht="28.5">
      <c r="A57" s="263" t="s">
        <v>3895</v>
      </c>
      <c r="B57" s="257" t="str">
        <f>VLOOKUP(A57,'3 - PLAN. ORÇAMENTÁRIA'!$B$16:$E$721,3,FALSE)</f>
        <v>PRÓPRIO</v>
      </c>
      <c r="C57" s="265" t="str">
        <f>VLOOKUP(A57,'3 - PLAN. ORÇAMENTÁRIA'!$B$16:$E$721,2,FALSE)</f>
        <v>CAIXILHO EM ALULMÍNIO COM PINTURA ELETROSTÁTICA, FIXO, SOB MEDIDA - BRANCO (MONTANTES E DIVISÓRIAS INTERNAS) REF. 25.01.500/SP OBRAS</v>
      </c>
      <c r="D57" s="257" t="str">
        <f>VLOOKUP(A57,'3 - PLAN. ORÇAMENTÁRIA'!$B$16:$E$721,4,FALSE)</f>
        <v>M2</v>
      </c>
      <c r="E57" s="266">
        <f>SUMIF('3 - PLAN. ORÇAMENTÁRIA'!$C$15:$C$721,C57,'3 - PLAN. ORÇAMENTÁRIA'!$F$15:$F$721)</f>
        <v>21.64</v>
      </c>
      <c r="F57" s="267">
        <f>VLOOKUP(A57,'3 - PLAN. ORÇAMENTÁRIA'!$B$16:$I$721,8,FALSE)</f>
        <v>1353.97</v>
      </c>
      <c r="G57" s="267">
        <f>ROUND(E57*F57,2)</f>
        <v>29299.91</v>
      </c>
      <c r="H57" s="262">
        <f t="shared" si="0"/>
        <v>0.50014583221863462</v>
      </c>
      <c r="I57" s="262">
        <f t="shared" si="2"/>
        <v>65.495686711170578</v>
      </c>
      <c r="J57" s="257" t="str">
        <f t="shared" si="1"/>
        <v>A</v>
      </c>
    </row>
    <row r="58" spans="1:10" ht="14.25">
      <c r="A58" s="263">
        <v>96546</v>
      </c>
      <c r="B58" s="257" t="str">
        <f>VLOOKUP(A58,'3 - PLAN. ORÇAMENTÁRIA'!$B$16:$E$721,3,FALSE)</f>
        <v>SINAPI</v>
      </c>
      <c r="C58" s="264" t="s">
        <v>245</v>
      </c>
      <c r="D58" s="257" t="str">
        <f>VLOOKUP(A58,'3 - PLAN. ORÇAMENTÁRIA'!$B$16:$E$721,4,FALSE)</f>
        <v>KG</v>
      </c>
      <c r="E58" s="266">
        <f>SUMIF('3 - PLAN. ORÇAMENTÁRIA'!$C$15:$C$721,C58,'3 - PLAN. ORÇAMENTÁRIA'!$F$15:$F$721)</f>
        <v>1481</v>
      </c>
      <c r="F58" s="267">
        <f>VLOOKUP(A58,'3 - PLAN. ORÇAMENTÁRIA'!$B$16:$I$721,8,FALSE)</f>
        <v>18.62</v>
      </c>
      <c r="G58" s="267">
        <f>ROUND(E58*F58,2)</f>
        <v>27576.22</v>
      </c>
      <c r="H58" s="262">
        <f t="shared" si="0"/>
        <v>0.47072265755574522</v>
      </c>
      <c r="I58" s="262">
        <f t="shared" si="2"/>
        <v>65.966409368726318</v>
      </c>
      <c r="J58" s="257" t="str">
        <f t="shared" si="1"/>
        <v>A</v>
      </c>
    </row>
    <row r="59" spans="1:10" ht="28.5">
      <c r="A59" s="263">
        <v>96385</v>
      </c>
      <c r="B59" s="257" t="str">
        <f>VLOOKUP(A59,'3 - PLAN. ORÇAMENTÁRIA'!$B$16:$E$721,3,FALSE)</f>
        <v>SINAPI</v>
      </c>
      <c r="C59" s="264" t="s">
        <v>190</v>
      </c>
      <c r="D59" s="257" t="str">
        <f>VLOOKUP(A59,'3 - PLAN. ORÇAMENTÁRIA'!$B$16:$E$721,4,FALSE)</f>
        <v>M3</v>
      </c>
      <c r="E59" s="266">
        <f>SUMIF('3 - PLAN. ORÇAMENTÁRIA'!$C$15:$C$721,C59,'3 - PLAN. ORÇAMENTÁRIA'!$F$15:$F$721)</f>
        <v>1781.81</v>
      </c>
      <c r="F59" s="267">
        <f>VLOOKUP(A59,'3 - PLAN. ORÇAMENTÁRIA'!$B$16:$I$721,8,FALSE)</f>
        <v>15.22</v>
      </c>
      <c r="G59" s="267">
        <f>ROUND(E59*F59,2)</f>
        <v>27119.15</v>
      </c>
      <c r="H59" s="262">
        <f t="shared" si="0"/>
        <v>0.46292052930578914</v>
      </c>
      <c r="I59" s="262">
        <f t="shared" si="2"/>
        <v>66.429329898032108</v>
      </c>
      <c r="J59" s="257" t="str">
        <f t="shared" si="1"/>
        <v>A</v>
      </c>
    </row>
    <row r="60" spans="1:10" ht="14.25">
      <c r="A60" s="263" t="s">
        <v>2254</v>
      </c>
      <c r="B60" s="257" t="str">
        <f>VLOOKUP(A60,'3 - PLAN. ORÇAMENTÁRIA'!$B$16:$E$721,3,FALSE)</f>
        <v>PRÓPRIO</v>
      </c>
      <c r="C60" s="265" t="str">
        <f>VLOOKUP(A60,'3 - PLAN. ORÇAMENTÁRIA'!$B$16:$E$721,2,FALSE)</f>
        <v>VIDRO LAMINADO INCOLOR DE 8MM (COBERTURA ENTRADA EDIFICAÇÃO + GUARITA) REF. 102176/SINAPI</v>
      </c>
      <c r="D60" s="257" t="str">
        <f>VLOOKUP(A60,'3 - PLAN. ORÇAMENTÁRIA'!$B$16:$E$721,4,FALSE)</f>
        <v>M2</v>
      </c>
      <c r="E60" s="266">
        <f>SUMIF('3 - PLAN. ORÇAMENTÁRIA'!$C$15:$C$721,C60,'3 - PLAN. ORÇAMENTÁRIA'!$F$15:$F$721)</f>
        <v>25.78</v>
      </c>
      <c r="F60" s="267">
        <f>VLOOKUP(A60,'3 - PLAN. ORÇAMENTÁRIA'!$B$16:$I$721,8,FALSE)</f>
        <v>1040.78</v>
      </c>
      <c r="G60" s="267">
        <f>ROUND(E60*F60,2)</f>
        <v>26831.31</v>
      </c>
      <c r="H60" s="262">
        <f t="shared" si="0"/>
        <v>0.45800713618117506</v>
      </c>
      <c r="I60" s="262">
        <f t="shared" si="2"/>
        <v>66.887337034213289</v>
      </c>
      <c r="J60" s="257" t="str">
        <f t="shared" si="1"/>
        <v>A</v>
      </c>
    </row>
    <row r="61" spans="1:10" ht="14.25">
      <c r="A61" s="263">
        <v>91928</v>
      </c>
      <c r="B61" s="257" t="str">
        <f>VLOOKUP(A61,'3 - PLAN. ORÇAMENTÁRIA'!$B$16:$E$721,3,FALSE)</f>
        <v>SINAPI</v>
      </c>
      <c r="C61" s="264" t="s">
        <v>389</v>
      </c>
      <c r="D61" s="257" t="str">
        <f>VLOOKUP(A61,'3 - PLAN. ORÇAMENTÁRIA'!$B$16:$E$721,4,FALSE)</f>
        <v>M</v>
      </c>
      <c r="E61" s="266">
        <f>SUMIF('3 - PLAN. ORÇAMENTÁRIA'!$C$15:$C$721,C61,'3 - PLAN. ORÇAMENTÁRIA'!$F$15:$F$721)</f>
        <v>2437.62</v>
      </c>
      <c r="F61" s="267">
        <f>VLOOKUP(A61,'3 - PLAN. ORÇAMENTÁRIA'!$B$16:$I$721,8,FALSE)</f>
        <v>9.8800000000000008</v>
      </c>
      <c r="G61" s="267">
        <f>ROUND(E61*F61,2)</f>
        <v>24083.69</v>
      </c>
      <c r="H61" s="262">
        <f t="shared" si="0"/>
        <v>0.41110560332593538</v>
      </c>
      <c r="I61" s="262">
        <f t="shared" si="2"/>
        <v>67.298442637539225</v>
      </c>
      <c r="J61" s="257" t="str">
        <f t="shared" si="1"/>
        <v>A</v>
      </c>
    </row>
    <row r="62" spans="1:10" ht="28.5">
      <c r="A62" s="263" t="s">
        <v>1863</v>
      </c>
      <c r="B62" s="257" t="str">
        <f>VLOOKUP(A62,'3 - PLAN. ORÇAMENTÁRIA'!$B$16:$E$721,3,FALSE)</f>
        <v>COTAÇÃO</v>
      </c>
      <c r="C62" s="265" t="str">
        <f>VLOOKUP(A62,'3 - PLAN. ORÇAMENTÁRIA'!$B$16:$E$721,2,FALSE)</f>
        <v>TAXA DE DESCARTE DE MATERIAL CONFORME SLU (SERVIÇO DE LIMPEZA URBANA DO DISTRITO FEDERAL) - DISTÂNCIA DE 41,6 KM</v>
      </c>
      <c r="D62" s="257" t="str">
        <f>VLOOKUP(A62,'3 - PLAN. ORÇAMENTÁRIA'!$B$16:$E$721,4,FALSE)</f>
        <v>TX/T</v>
      </c>
      <c r="E62" s="266">
        <f>SUMIF('3 - PLAN. ORÇAMENTÁRIA'!$C$15:$C$721,C62,'3 - PLAN. ORÇAMENTÁRIA'!$F$15:$F$721)</f>
        <v>1232.78</v>
      </c>
      <c r="F62" s="267">
        <f>VLOOKUP(A62,'3 - PLAN. ORÇAMENTÁRIA'!$B$16:$I$721,8,FALSE)</f>
        <v>18.64</v>
      </c>
      <c r="G62" s="267">
        <f>ROUND(E62*F62,2)</f>
        <v>22979.02</v>
      </c>
      <c r="H62" s="262">
        <f t="shared" si="0"/>
        <v>0.39224902334063988</v>
      </c>
      <c r="I62" s="262">
        <f t="shared" si="2"/>
        <v>67.690691660879864</v>
      </c>
      <c r="J62" s="257" t="str">
        <f t="shared" si="1"/>
        <v>A</v>
      </c>
    </row>
    <row r="63" spans="1:10" ht="14.25">
      <c r="A63" s="263">
        <v>95578</v>
      </c>
      <c r="B63" s="257" t="str">
        <f>VLOOKUP(A63,'3 - PLAN. ORÇAMENTÁRIA'!$B$16:$E$721,3,FALSE)</f>
        <v>SINAPI</v>
      </c>
      <c r="C63" s="264" t="s">
        <v>202</v>
      </c>
      <c r="D63" s="257" t="str">
        <f>VLOOKUP(A63,'3 - PLAN. ORÇAMENTÁRIA'!$B$16:$E$721,4,FALSE)</f>
        <v>KG</v>
      </c>
      <c r="E63" s="266">
        <f>SUMIF('3 - PLAN. ORÇAMENTÁRIA'!$C$15:$C$721,C63,'3 - PLAN. ORÇAMENTÁRIA'!$F$15:$F$721)</f>
        <v>1953</v>
      </c>
      <c r="F63" s="267">
        <f>VLOOKUP(A63,'3 - PLAN. ORÇAMENTÁRIA'!$B$16:$I$721,8,FALSE)</f>
        <v>11.71</v>
      </c>
      <c r="G63" s="267">
        <f>ROUND(E63*F63,2)</f>
        <v>22869.63</v>
      </c>
      <c r="H63" s="262">
        <f t="shared" si="0"/>
        <v>0.39038174959862509</v>
      </c>
      <c r="I63" s="262">
        <f t="shared" si="2"/>
        <v>68.081073410478496</v>
      </c>
      <c r="J63" s="257" t="str">
        <f t="shared" si="1"/>
        <v>A</v>
      </c>
    </row>
    <row r="64" spans="1:10" ht="14.25">
      <c r="A64" s="263">
        <v>96546</v>
      </c>
      <c r="B64" s="257" t="str">
        <f>VLOOKUP(A64,'3 - PLAN. ORÇAMENTÁRIA'!$B$16:$E$721,3,FALSE)</f>
        <v>SINAPI</v>
      </c>
      <c r="C64" s="264" t="s">
        <v>913</v>
      </c>
      <c r="D64" s="257" t="str">
        <f>VLOOKUP(A64,'3 - PLAN. ORÇAMENTÁRIA'!$B$16:$E$721,4,FALSE)</f>
        <v>KG</v>
      </c>
      <c r="E64" s="266">
        <f>SUMIF('3 - PLAN. ORÇAMENTÁRIA'!$C$15:$C$721,C64,'3 - PLAN. ORÇAMENTÁRIA'!$F$15:$F$721)</f>
        <v>1216.49</v>
      </c>
      <c r="F64" s="267">
        <f>VLOOKUP(A64,'3 - PLAN. ORÇAMENTÁRIA'!$B$16:$I$721,8,FALSE)</f>
        <v>18.62</v>
      </c>
      <c r="G64" s="267">
        <f>ROUND(E64*F64,2)</f>
        <v>22651.040000000001</v>
      </c>
      <c r="H64" s="262">
        <f t="shared" si="0"/>
        <v>0.38665044539104659</v>
      </c>
      <c r="I64" s="262">
        <f t="shared" si="2"/>
        <v>68.467723855869536</v>
      </c>
      <c r="J64" s="257" t="str">
        <f t="shared" si="1"/>
        <v>A</v>
      </c>
    </row>
    <row r="65" spans="1:10" ht="14.25">
      <c r="A65" s="263" t="s">
        <v>3896</v>
      </c>
      <c r="B65" s="257" t="str">
        <f>VLOOKUP(A65,'3 - PLAN. ORÇAMENTÁRIA'!$B$16:$E$721,3,FALSE)</f>
        <v>PRÓPRIO</v>
      </c>
      <c r="C65" s="265" t="str">
        <f>VLOOKUP(A65,'3 - PLAN. ORÇAMENTÁRIA'!$B$16:$E$721,2,FALSE)</f>
        <v>VIDRO LAMINADO INCOLOR DE 8MM (MONTANTES E DIVISÓRIAS INTERNAS) REF. 102176/SINAPI</v>
      </c>
      <c r="D65" s="257" t="str">
        <f>VLOOKUP(A65,'3 - PLAN. ORÇAMENTÁRIA'!$B$16:$E$721,4,FALSE)</f>
        <v>M2</v>
      </c>
      <c r="E65" s="266">
        <f>SUMIF('3 - PLAN. ORÇAMENTÁRIA'!$C$15:$C$721,C65,'3 - PLAN. ORÇAMENTÁRIA'!$F$15:$F$721)</f>
        <v>21.64</v>
      </c>
      <c r="F65" s="267">
        <f>VLOOKUP(A65,'3 - PLAN. ORÇAMENTÁRIA'!$B$16:$I$721,8,FALSE)</f>
        <v>1040.78</v>
      </c>
      <c r="G65" s="267">
        <f>ROUND(E65*F65,2)</f>
        <v>22522.48</v>
      </c>
      <c r="H65" s="262">
        <f t="shared" si="0"/>
        <v>0.38445594212499468</v>
      </c>
      <c r="I65" s="262">
        <f t="shared" si="2"/>
        <v>68.852179797994538</v>
      </c>
      <c r="J65" s="257" t="str">
        <f t="shared" si="1"/>
        <v>A</v>
      </c>
    </row>
    <row r="66" spans="1:10" ht="14.25">
      <c r="A66" s="263" t="s">
        <v>2858</v>
      </c>
      <c r="B66" s="257" t="str">
        <f>VLOOKUP(A66,'3 - PLAN. ORÇAMENTÁRIA'!$B$16:$E$721,3,FALSE)</f>
        <v>PRÓPRIO</v>
      </c>
      <c r="C66" s="265" t="str">
        <f>VLOOKUP(A66,'3 - PLAN. ORÇAMENTÁRIA'!$B$16:$E$721,2,FALSE)</f>
        <v>GA-01 GUIA LEVE OU SEPARADOR DE PISOS REF. 16.02.027/SP EDUCAÇÃO</v>
      </c>
      <c r="D66" s="257" t="str">
        <f>VLOOKUP(A66,'3 - PLAN. ORÇAMENTÁRIA'!$B$16:$E$721,4,FALSE)</f>
        <v>M</v>
      </c>
      <c r="E66" s="266">
        <f>SUMIF('3 - PLAN. ORÇAMENTÁRIA'!$C$15:$C$721,C66,'3 - PLAN. ORÇAMENTÁRIA'!$F$15:$F$721)</f>
        <v>331.07</v>
      </c>
      <c r="F66" s="267">
        <f>VLOOKUP(A66,'3 - PLAN. ORÇAMENTÁRIA'!$B$16:$I$721,8,FALSE)</f>
        <v>66.31</v>
      </c>
      <c r="G66" s="267">
        <f>ROUND(E66*F66,2)</f>
        <v>21953.25</v>
      </c>
      <c r="H66" s="262">
        <f t="shared" si="0"/>
        <v>0.37473925657634238</v>
      </c>
      <c r="I66" s="262">
        <f t="shared" si="2"/>
        <v>69.226919054570885</v>
      </c>
      <c r="J66" s="257" t="str">
        <f t="shared" si="1"/>
        <v>A</v>
      </c>
    </row>
    <row r="67" spans="1:10" ht="42.75">
      <c r="A67" s="263" t="s">
        <v>3377</v>
      </c>
      <c r="B67" s="257" t="str">
        <f>VLOOKUP(A67,'3 - PLAN. ORÇAMENTÁRIA'!$B$16:$E$721,3,FALSE)</f>
        <v>PRÓPRIO</v>
      </c>
      <c r="C67" s="265" t="str">
        <f>VLOOKUP(A67,'3 - PLAN. ORÇAMENTÁRIA'!$B$16:$E$721,2,FALSE)</f>
        <v>ASSENTAMENTO DE GUIA (MEIO-FIO) EM TRECHO RETO, CONFECCIONADA EM CONCRETO PRÉ-FABRICADO, DIMENSÕES 100X15X12X30 CM (COMPRIMENTO X BASE INFERIOR X BASE SUPERIOR X ALTURA). AF_01/2024 REF. 94273/SINAPI</v>
      </c>
      <c r="D67" s="257" t="str">
        <f>VLOOKUP(A67,'3 - PLAN. ORÇAMENTÁRIA'!$B$16:$E$721,4,FALSE)</f>
        <v>M</v>
      </c>
      <c r="E67" s="266">
        <f>SUMIF('3 - PLAN. ORÇAMENTÁRIA'!$C$15:$C$721,C67,'3 - PLAN. ORÇAMENTÁRIA'!$F$15:$F$721)</f>
        <v>371.53</v>
      </c>
      <c r="F67" s="267">
        <f>VLOOKUP(A67,'3 - PLAN. ORÇAMENTÁRIA'!$B$16:$I$721,8,FALSE)</f>
        <v>58.91</v>
      </c>
      <c r="G67" s="267">
        <f>ROUND(E67*F67,2)</f>
        <v>21886.83</v>
      </c>
      <c r="H67" s="262">
        <f t="shared" si="0"/>
        <v>0.37360547540855171</v>
      </c>
      <c r="I67" s="262">
        <f t="shared" si="2"/>
        <v>69.600524529979438</v>
      </c>
      <c r="J67" s="257" t="str">
        <f t="shared" si="1"/>
        <v>A</v>
      </c>
    </row>
    <row r="68" spans="1:10" ht="28.5">
      <c r="A68" s="263">
        <v>100324</v>
      </c>
      <c r="B68" s="257" t="str">
        <f>VLOOKUP(A68,'3 - PLAN. ORÇAMENTÁRIA'!$B$16:$E$721,3,FALSE)</f>
        <v>SINAPI</v>
      </c>
      <c r="C68" s="264" t="s">
        <v>2880</v>
      </c>
      <c r="D68" s="257" t="str">
        <f>VLOOKUP(A68,'3 - PLAN. ORÇAMENTÁRIA'!$B$16:$E$721,4,FALSE)</f>
        <v>M3</v>
      </c>
      <c r="E68" s="266">
        <f>SUMIF('3 - PLAN. ORÇAMENTÁRIA'!$C$15:$C$721,C68,'3 - PLAN. ORÇAMENTÁRIA'!$F$15:$F$721)</f>
        <v>59.55</v>
      </c>
      <c r="F68" s="267">
        <f>VLOOKUP(A68,'3 - PLAN. ORÇAMENTÁRIA'!$B$16:$I$721,8,FALSE)</f>
        <v>367.13</v>
      </c>
      <c r="G68" s="267">
        <f>ROUND(E68*F68,2)</f>
        <v>21862.59</v>
      </c>
      <c r="H68" s="262">
        <f t="shared" si="0"/>
        <v>0.37319170161289911</v>
      </c>
      <c r="I68" s="262">
        <f t="shared" si="2"/>
        <v>69.973716231592334</v>
      </c>
      <c r="J68" s="257" t="str">
        <f t="shared" si="1"/>
        <v>A</v>
      </c>
    </row>
    <row r="69" spans="1:10" ht="14.25">
      <c r="A69" s="263">
        <v>103946</v>
      </c>
      <c r="B69" s="257" t="str">
        <f>VLOOKUP(A69,'3 - PLAN. ORÇAMENTÁRIA'!$B$16:$E$721,3,FALSE)</f>
        <v>SINAPI</v>
      </c>
      <c r="C69" s="264" t="s">
        <v>1212</v>
      </c>
      <c r="D69" s="257" t="str">
        <f>VLOOKUP(A69,'3 - PLAN. ORÇAMENTÁRIA'!$B$16:$E$721,4,FALSE)</f>
        <v>M2</v>
      </c>
      <c r="E69" s="266">
        <f>SUMIF('3 - PLAN. ORÇAMENTÁRIA'!$C$15:$C$721,C69,'3 - PLAN. ORÇAMENTÁRIA'!$F$15:$F$721)</f>
        <v>788.63</v>
      </c>
      <c r="F69" s="267">
        <f>VLOOKUP(A69,'3 - PLAN. ORÇAMENTÁRIA'!$B$16:$I$721,8,FALSE)</f>
        <v>26.96</v>
      </c>
      <c r="G69" s="267">
        <f>ROUND(E69*F69,2)</f>
        <v>21261.46</v>
      </c>
      <c r="H69" s="262">
        <f t="shared" si="0"/>
        <v>0.3629304870179878</v>
      </c>
      <c r="I69" s="262">
        <f t="shared" si="2"/>
        <v>70.336646718610325</v>
      </c>
      <c r="J69" s="257" t="str">
        <f t="shared" si="1"/>
        <v>A</v>
      </c>
    </row>
    <row r="70" spans="1:10" ht="28.5">
      <c r="A70" s="263">
        <v>10777</v>
      </c>
      <c r="B70" s="257" t="str">
        <f>VLOOKUP(A70,'3 - PLAN. ORÇAMENTÁRIA'!$B$16:$E$721,3,FALSE)</f>
        <v>SINAPI</v>
      </c>
      <c r="C70" s="265" t="s">
        <v>133</v>
      </c>
      <c r="D70" s="257" t="str">
        <f>VLOOKUP(A70,'3 - PLAN. ORÇAMENTÁRIA'!$B$16:$E$721,4,FALSE)</f>
        <v>MES</v>
      </c>
      <c r="E70" s="266">
        <f>SUMIF('3 - PLAN. ORÇAMENTÁRIA'!$C$15:$C$721,C70,'3 - PLAN. ORÇAMENTÁRIA'!$F$15:$F$721)</f>
        <v>10</v>
      </c>
      <c r="F70" s="267">
        <f>VLOOKUP(A70,'3 - PLAN. ORÇAMENTÁRIA'!$B$16:$I$721,8,FALSE)</f>
        <v>2081.66</v>
      </c>
      <c r="G70" s="267">
        <f>ROUND(E70*F70,2)</f>
        <v>20816.599999999999</v>
      </c>
      <c r="H70" s="262">
        <f t="shared" si="0"/>
        <v>0.3553367819547032</v>
      </c>
      <c r="I70" s="262">
        <f t="shared" si="2"/>
        <v>70.69198350056503</v>
      </c>
      <c r="J70" s="257" t="str">
        <f t="shared" si="1"/>
        <v>A</v>
      </c>
    </row>
    <row r="71" spans="1:10" ht="28.5">
      <c r="A71" s="263">
        <v>100721</v>
      </c>
      <c r="B71" s="257" t="str">
        <f>VLOOKUP(A71,'3 - PLAN. ORÇAMENTÁRIA'!$B$16:$E$721,3,FALSE)</f>
        <v>SINAPI</v>
      </c>
      <c r="C71" s="264" t="s">
        <v>1072</v>
      </c>
      <c r="D71" s="257" t="str">
        <f>VLOOKUP(A71,'3 - PLAN. ORÇAMENTÁRIA'!$B$16:$E$721,4,FALSE)</f>
        <v>M2</v>
      </c>
      <c r="E71" s="266">
        <f>SUMIF('3 - PLAN. ORÇAMENTÁRIA'!$C$15:$C$721,C71,'3 - PLAN. ORÇAMENTÁRIA'!$F$15:$F$721)</f>
        <v>607.75</v>
      </c>
      <c r="F71" s="267">
        <f>VLOOKUP(A71,'3 - PLAN. ORÇAMENTÁRIA'!$B$16:$I$721,8,FALSE)</f>
        <v>34.1</v>
      </c>
      <c r="G71" s="267">
        <f>ROUND(E71*F71,2)</f>
        <v>20724.28</v>
      </c>
      <c r="H71" s="262">
        <f t="shared" si="0"/>
        <v>0.3537608909970032</v>
      </c>
      <c r="I71" s="262">
        <f t="shared" si="2"/>
        <v>71.045744391562039</v>
      </c>
      <c r="J71" s="257" t="str">
        <f t="shared" si="1"/>
        <v>A</v>
      </c>
    </row>
    <row r="72" spans="1:10" ht="28.5">
      <c r="A72" s="263" t="s">
        <v>3355</v>
      </c>
      <c r="B72" s="257" t="str">
        <f>VLOOKUP(A72,'3 - PLAN. ORÇAMENTÁRIA'!$B$16:$E$721,3,FALSE)</f>
        <v>PRÓPRIO</v>
      </c>
      <c r="C72" s="265" t="str">
        <f>VLOOKUP(A72,'3 - PLAN. ORÇAMENTÁRIA'!$B$16:$E$721,2,FALSE)</f>
        <v>PORTA DE CORRER EM ALUMÍNIO COM PINTURA ELETROSTÁTICA, SOB MEDIDA - COR BRANCA REF. 25.02.240/SP OBRAS</v>
      </c>
      <c r="D72" s="257" t="str">
        <f>VLOOKUP(A72,'3 - PLAN. ORÇAMENTÁRIA'!$B$16:$E$721,4,FALSE)</f>
        <v>M2</v>
      </c>
      <c r="E72" s="266">
        <f>SUMIF('3 - PLAN. ORÇAMENTÁRIA'!$C$15:$C$721,C72,'3 - PLAN. ORÇAMENTÁRIA'!$F$15:$F$721)</f>
        <v>14.34</v>
      </c>
      <c r="F72" s="267">
        <f>VLOOKUP(A72,'3 - PLAN. ORÇAMENTÁRIA'!$B$16:$I$721,8,FALSE)</f>
        <v>1409.79</v>
      </c>
      <c r="G72" s="267">
        <f>ROUND(E72*F72,2)</f>
        <v>20216.39</v>
      </c>
      <c r="H72" s="262">
        <f t="shared" si="0"/>
        <v>0.34509127164576553</v>
      </c>
      <c r="I72" s="262">
        <f t="shared" si="2"/>
        <v>71.39083566320781</v>
      </c>
      <c r="J72" s="257" t="str">
        <f t="shared" si="1"/>
        <v>A</v>
      </c>
    </row>
    <row r="73" spans="1:10" ht="14.25">
      <c r="A73" s="263" t="s">
        <v>2173</v>
      </c>
      <c r="B73" s="257" t="str">
        <f>VLOOKUP(A73,'3 - PLAN. ORÇAMENTÁRIA'!$B$16:$E$721,3,FALSE)</f>
        <v>PRÓPRIO</v>
      </c>
      <c r="C73" s="265" t="str">
        <f>VLOOKUP(A73,'3 - PLAN. ORÇAMENTÁRIA'!$B$16:$E$721,2,FALSE)</f>
        <v>CONSTRUÇÃO DE REFEITÓRIO PROVISÓRIO EM MADERIA - FORNECIMENTO E MONTAGEM REF. 02.01.021/SP OBRAS</v>
      </c>
      <c r="D73" s="257" t="str">
        <f>VLOOKUP(A73,'3 - PLAN. ORÇAMENTÁRIA'!$B$16:$E$721,4,FALSE)</f>
        <v>M2</v>
      </c>
      <c r="E73" s="266">
        <f>SUMIF('3 - PLAN. ORÇAMENTÁRIA'!$C$15:$C$721,C73,'3 - PLAN. ORÇAMENTÁRIA'!$F$15:$F$721)</f>
        <v>36.799999999999997</v>
      </c>
      <c r="F73" s="267">
        <f>VLOOKUP(A73,'3 - PLAN. ORÇAMENTÁRIA'!$B$16:$I$721,8,FALSE)</f>
        <v>543.36</v>
      </c>
      <c r="G73" s="267">
        <f>ROUND(E73*F73,2)</f>
        <v>19995.650000000001</v>
      </c>
      <c r="H73" s="262">
        <f t="shared" ref="H73:H136" si="3">(G73*100)/SUM($G$8:$G$519)</f>
        <v>0.34132326720466177</v>
      </c>
      <c r="I73" s="262">
        <f t="shared" si="2"/>
        <v>71.732158930412467</v>
      </c>
      <c r="J73" s="257" t="str">
        <f t="shared" ref="J73:J136" si="4">IF(I73&lt;80,"A",IF(I73&lt;95,"B","C"))</f>
        <v>A</v>
      </c>
    </row>
    <row r="74" spans="1:10" ht="14.25">
      <c r="A74" s="263">
        <v>100553</v>
      </c>
      <c r="B74" s="257" t="str">
        <f>VLOOKUP(A74,'3 - PLAN. ORÇAMENTÁRIA'!$B$16:$E$721,3,FALSE)</f>
        <v>SINAPI</v>
      </c>
      <c r="C74" s="264" t="s">
        <v>2528</v>
      </c>
      <c r="D74" s="257" t="str">
        <f>VLOOKUP(A74,'3 - PLAN. ORÇAMENTÁRIA'!$B$16:$E$721,4,FALSE)</f>
        <v>M</v>
      </c>
      <c r="E74" s="266">
        <f>SUMIF('3 - PLAN. ORÇAMENTÁRIA'!$C$15:$C$721,C74,'3 - PLAN. ORÇAMENTÁRIA'!$F$15:$F$721)</f>
        <v>554.26</v>
      </c>
      <c r="F74" s="267">
        <f>VLOOKUP(A74,'3 - PLAN. ORÇAMENTÁRIA'!$B$16:$I$721,8,FALSE)</f>
        <v>36.07</v>
      </c>
      <c r="G74" s="267">
        <f>ROUND(E74*F74,2)</f>
        <v>19992.16</v>
      </c>
      <c r="H74" s="262">
        <f t="shared" si="3"/>
        <v>0.34126369333721834</v>
      </c>
      <c r="I74" s="262">
        <f t="shared" ref="I74:I137" si="5">H74+I73</f>
        <v>72.073422623749678</v>
      </c>
      <c r="J74" s="257" t="str">
        <f t="shared" si="4"/>
        <v>A</v>
      </c>
    </row>
    <row r="75" spans="1:10" ht="14.25">
      <c r="A75" s="263">
        <v>96977</v>
      </c>
      <c r="B75" s="257" t="str">
        <f>VLOOKUP(A75,'3 - PLAN. ORÇAMENTÁRIA'!$B$16:$E$721,3,FALSE)</f>
        <v>SINAPI</v>
      </c>
      <c r="C75" s="264" t="s">
        <v>1267</v>
      </c>
      <c r="D75" s="257" t="str">
        <f>VLOOKUP(A75,'3 - PLAN. ORÇAMENTÁRIA'!$B$16:$E$721,4,FALSE)</f>
        <v>M</v>
      </c>
      <c r="E75" s="266">
        <f>SUMIF('3 - PLAN. ORÇAMENTÁRIA'!$C$15:$C$721,C75,'3 - PLAN. ORÇAMENTÁRIA'!$F$15:$F$721)</f>
        <v>224.07</v>
      </c>
      <c r="F75" s="267">
        <f>VLOOKUP(A75,'3 - PLAN. ORÇAMENTÁRIA'!$B$16:$I$721,8,FALSE)</f>
        <v>87.98</v>
      </c>
      <c r="G75" s="267">
        <f>ROUND(E75*F75,2)</f>
        <v>19713.68</v>
      </c>
      <c r="H75" s="262">
        <f t="shared" si="3"/>
        <v>0.33651007425250973</v>
      </c>
      <c r="I75" s="262">
        <f t="shared" si="5"/>
        <v>72.409932698002194</v>
      </c>
      <c r="J75" s="257" t="str">
        <f t="shared" si="4"/>
        <v>A</v>
      </c>
    </row>
    <row r="76" spans="1:10" ht="28.5">
      <c r="A76" s="263">
        <v>96540</v>
      </c>
      <c r="B76" s="257" t="str">
        <f>VLOOKUP(A76,'3 - PLAN. ORÇAMENTÁRIA'!$B$16:$E$721,3,FALSE)</f>
        <v>SINAPI</v>
      </c>
      <c r="C76" s="264" t="s">
        <v>215</v>
      </c>
      <c r="D76" s="257" t="str">
        <f>VLOOKUP(A76,'3 - PLAN. ORÇAMENTÁRIA'!$B$16:$E$721,4,FALSE)</f>
        <v>M2</v>
      </c>
      <c r="E76" s="266">
        <f>SUMIF('3 - PLAN. ORÇAMENTÁRIA'!$C$15:$C$721,C76,'3 - PLAN. ORÇAMENTÁRIA'!$F$15:$F$721)</f>
        <v>123.3</v>
      </c>
      <c r="F76" s="267">
        <f>VLOOKUP(A76,'3 - PLAN. ORÇAMENTÁRIA'!$B$16:$I$721,8,FALSE)</f>
        <v>158.93</v>
      </c>
      <c r="G76" s="267">
        <f>ROUND(E76*F76,2)</f>
        <v>19596.07</v>
      </c>
      <c r="H76" s="262">
        <f t="shared" si="3"/>
        <v>0.3345024861292959</v>
      </c>
      <c r="I76" s="262">
        <f t="shared" si="5"/>
        <v>72.74443518413149</v>
      </c>
      <c r="J76" s="257" t="str">
        <f t="shared" si="4"/>
        <v>A</v>
      </c>
    </row>
    <row r="77" spans="1:10" ht="28.5">
      <c r="A77" s="263" t="s">
        <v>2077</v>
      </c>
      <c r="B77" s="257" t="str">
        <f>VLOOKUP(A77,'3 - PLAN. ORÇAMENTÁRIA'!$B$16:$E$721,3,FALSE)</f>
        <v>COTAÇÃO</v>
      </c>
      <c r="C77" s="265" t="str">
        <f>VLOOKUP(A77,'3 - PLAN. ORÇAMENTÁRIA'!$B$16:$E$721,2,FALSE)</f>
        <v>LETREIRO EM ACABAMENTO ACRÍLICO E ADESIVADO NA COR CONFORME LOGOTIPO, COM LOGO ILUMINADOS E LETRAS EM ILUMINAÇÃO INDIRETA</v>
      </c>
      <c r="D77" s="257" t="str">
        <f>VLOOKUP(A77,'3 - PLAN. ORÇAMENTÁRIA'!$B$16:$E$721,4,FALSE)</f>
        <v>CJ</v>
      </c>
      <c r="E77" s="266">
        <f>SUMIF('3 - PLAN. ORÇAMENTÁRIA'!$C$15:$C$721,C77,'3 - PLAN. ORÇAMENTÁRIA'!$F$15:$F$721)</f>
        <v>2</v>
      </c>
      <c r="F77" s="267">
        <f>VLOOKUP(A77,'3 - PLAN. ORÇAMENTÁRIA'!$B$16:$I$721,8,FALSE)</f>
        <v>9725.99</v>
      </c>
      <c r="G77" s="267">
        <f>ROUND(E77*F77,2)</f>
        <v>19451.98</v>
      </c>
      <c r="H77" s="262">
        <f t="shared" si="3"/>
        <v>0.33204288768805895</v>
      </c>
      <c r="I77" s="262">
        <f t="shared" si="5"/>
        <v>73.076478071819551</v>
      </c>
      <c r="J77" s="257" t="str">
        <f t="shared" si="4"/>
        <v>A</v>
      </c>
    </row>
    <row r="78" spans="1:10" ht="42.75">
      <c r="A78" s="263" t="s">
        <v>2228</v>
      </c>
      <c r="B78" s="257" t="str">
        <f>VLOOKUP(A78,'3 - PLAN. ORÇAMENTÁRIA'!$B$16:$E$721,3,FALSE)</f>
        <v>PRÓPRIO</v>
      </c>
      <c r="C78" s="265" t="str">
        <f>VLOOKUP(A78,'3 - PLAN. ORÇAMENTÁRIA'!$B$16:$E$721,2,FALSE)</f>
        <v>FORNECIMENTO E MONTAGEM DE PORTA DE ENROLAR AUTOMÁTICA, EM CHAPA 20 TRANSVISION, COM GUIAS LATERAIS, SOLEIRA T, MOTOR PARA 1000KG , PVC AUTO LUBRIFICANTE NAS GUIAS, BORRACHA DE VEDAÇÃO DE SOLEIRA, CENTRAL COM 02 CONTROLES E PINTURA ELETROSTÁTICA REF. S13468/ORSE</v>
      </c>
      <c r="D78" s="257" t="str">
        <f>VLOOKUP(A78,'3 - PLAN. ORÇAMENTÁRIA'!$B$16:$E$721,4,FALSE)</f>
        <v>M2</v>
      </c>
      <c r="E78" s="266">
        <f>'3 - PLAN. ORÇAMENTÁRIA'!F184</f>
        <v>42.43</v>
      </c>
      <c r="F78" s="267">
        <f>VLOOKUP(A78,'3 - PLAN. ORÇAMENTÁRIA'!$B$16:$I$721,8,FALSE)</f>
        <v>452.77</v>
      </c>
      <c r="G78" s="267">
        <f>ROUND(E78*F78,2)</f>
        <v>19211.03</v>
      </c>
      <c r="H78" s="262">
        <f t="shared" si="3"/>
        <v>0.32792990105181741</v>
      </c>
      <c r="I78" s="262">
        <f t="shared" si="5"/>
        <v>73.404407972871368</v>
      </c>
      <c r="J78" s="257" t="str">
        <f t="shared" si="4"/>
        <v>A</v>
      </c>
    </row>
    <row r="79" spans="1:10" ht="28.5">
      <c r="A79" s="263">
        <v>105009</v>
      </c>
      <c r="B79" s="257" t="str">
        <f>VLOOKUP(A79,'3 - PLAN. ORÇAMENTÁRIA'!$B$16:$E$721,3,FALSE)</f>
        <v>SINAPI</v>
      </c>
      <c r="C79" s="264" t="s">
        <v>172</v>
      </c>
      <c r="D79" s="257" t="str">
        <f>VLOOKUP(A79,'3 - PLAN. ORÇAMENTÁRIA'!$B$16:$E$721,4,FALSE)</f>
        <v>M</v>
      </c>
      <c r="E79" s="266">
        <f>SUMIF('3 - PLAN. ORÇAMENTÁRIA'!$C$15:$C$721,C79,'3 - PLAN. ORÇAMENTÁRIA'!$F$15:$F$721)</f>
        <v>188</v>
      </c>
      <c r="F79" s="267">
        <f>VLOOKUP(A79,'3 - PLAN. ORÇAMENTÁRIA'!$B$16:$I$721,8,FALSE)</f>
        <v>99.59</v>
      </c>
      <c r="G79" s="267">
        <f>ROUND(E79*F79,2)</f>
        <v>18722.919999999998</v>
      </c>
      <c r="H79" s="262">
        <f t="shared" si="3"/>
        <v>0.31959792384901237</v>
      </c>
      <c r="I79" s="262">
        <f t="shared" si="5"/>
        <v>73.724005896720385</v>
      </c>
      <c r="J79" s="257" t="str">
        <f t="shared" si="4"/>
        <v>A</v>
      </c>
    </row>
    <row r="80" spans="1:10" ht="28.5">
      <c r="A80" s="263">
        <v>98547</v>
      </c>
      <c r="B80" s="257" t="str">
        <f>VLOOKUP(A80,'3 - PLAN. ORÇAMENTÁRIA'!$B$16:$E$721,3,FALSE)</f>
        <v>SINAPI</v>
      </c>
      <c r="C80" s="264" t="s">
        <v>2242</v>
      </c>
      <c r="D80" s="257" t="str">
        <f>VLOOKUP(A80,'3 - PLAN. ORÇAMENTÁRIA'!$B$16:$E$721,4,FALSE)</f>
        <v>M2</v>
      </c>
      <c r="E80" s="266">
        <f>SUMIF('3 - PLAN. ORÇAMENTÁRIA'!$C$15:$C$721,C80,'3 - PLAN. ORÇAMENTÁRIA'!$F$15:$F$721)</f>
        <v>75.53</v>
      </c>
      <c r="F80" s="267">
        <f>VLOOKUP(A80,'3 - PLAN. ORÇAMENTÁRIA'!$B$16:$I$721,8,FALSE)</f>
        <v>245.2</v>
      </c>
      <c r="G80" s="267">
        <f>ROUND(E80*F80,2)</f>
        <v>18519.96</v>
      </c>
      <c r="H80" s="262">
        <f t="shared" si="3"/>
        <v>0.31613342180422477</v>
      </c>
      <c r="I80" s="262">
        <f t="shared" si="5"/>
        <v>74.040139318524609</v>
      </c>
      <c r="J80" s="257" t="str">
        <f t="shared" si="4"/>
        <v>A</v>
      </c>
    </row>
    <row r="81" spans="1:10" ht="28.5">
      <c r="A81" s="263">
        <v>10775</v>
      </c>
      <c r="B81" s="257" t="str">
        <f>VLOOKUP(A81,'3 - PLAN. ORÇAMENTÁRIA'!$B$16:$E$721,3,FALSE)</f>
        <v>SINAPI</v>
      </c>
      <c r="C81" s="265" t="s">
        <v>130</v>
      </c>
      <c r="D81" s="257" t="str">
        <f>VLOOKUP(A81,'3 - PLAN. ORÇAMENTÁRIA'!$B$16:$E$721,4,FALSE)</f>
        <v>MES</v>
      </c>
      <c r="E81" s="266">
        <f>SUMIF('3 - PLAN. ORÇAMENTÁRIA'!$C$15:$C$721,C81,'3 - PLAN. ORÇAMENTÁRIA'!$F$15:$F$721)</f>
        <v>10</v>
      </c>
      <c r="F81" s="267">
        <f>VLOOKUP(A81,'3 - PLAN. ORÇAMENTÁRIA'!$B$16:$I$721,8,FALSE)</f>
        <v>1833.39</v>
      </c>
      <c r="G81" s="267">
        <f>ROUND(E81*F81,2)</f>
        <v>18333.900000000001</v>
      </c>
      <c r="H81" s="262">
        <f t="shared" si="3"/>
        <v>0.31295740066482203</v>
      </c>
      <c r="I81" s="262">
        <f t="shared" si="5"/>
        <v>74.353096719189438</v>
      </c>
      <c r="J81" s="257" t="str">
        <f t="shared" si="4"/>
        <v>A</v>
      </c>
    </row>
    <row r="82" spans="1:10" ht="28.5">
      <c r="A82" s="263">
        <v>104959</v>
      </c>
      <c r="B82" s="257" t="str">
        <f>VLOOKUP(A82,'3 - PLAN. ORÇAMENTÁRIA'!$B$16:$E$721,3,FALSE)</f>
        <v>SINAPI</v>
      </c>
      <c r="C82" s="264" t="s">
        <v>2769</v>
      </c>
      <c r="D82" s="257" t="str">
        <f>VLOOKUP(A82,'3 - PLAN. ORÇAMENTÁRIA'!$B$16:$E$721,4,FALSE)</f>
        <v>M2</v>
      </c>
      <c r="E82" s="266">
        <f>SUMIF('3 - PLAN. ORÇAMENTÁRIA'!$C$15:$C$721,C82,'3 - PLAN. ORÇAMENTÁRIA'!$F$15:$F$721)</f>
        <v>520.79999999999995</v>
      </c>
      <c r="F82" s="267">
        <f>VLOOKUP(A82,'3 - PLAN. ORÇAMENTÁRIA'!$B$16:$I$721,8,FALSE)</f>
        <v>33.770000000000003</v>
      </c>
      <c r="G82" s="267">
        <f>ROUND(E82*F82,2)</f>
        <v>17587.419999999998</v>
      </c>
      <c r="H82" s="262">
        <f t="shared" si="3"/>
        <v>0.30021507958484028</v>
      </c>
      <c r="I82" s="262">
        <f t="shared" si="5"/>
        <v>74.653311798774283</v>
      </c>
      <c r="J82" s="257" t="str">
        <f t="shared" si="4"/>
        <v>A</v>
      </c>
    </row>
    <row r="83" spans="1:10" ht="28.5">
      <c r="A83" s="263">
        <v>99253</v>
      </c>
      <c r="B83" s="257" t="str">
        <f>VLOOKUP(A83,'3 - PLAN. ORÇAMENTÁRIA'!$B$16:$E$721,3,FALSE)</f>
        <v>SINAPI</v>
      </c>
      <c r="C83" s="265" t="s">
        <v>2870</v>
      </c>
      <c r="D83" s="257" t="str">
        <f>VLOOKUP(A83,'3 - PLAN. ORÇAMENTÁRIA'!$B$16:$E$721,4,FALSE)</f>
        <v>UN</v>
      </c>
      <c r="E83" s="266">
        <f>SUMIF('3 - PLAN. ORÇAMENTÁRIA'!$C$15:$C$721,C83,'3 - PLAN. ORÇAMENTÁRIA'!$F$15:$F$721)</f>
        <v>25</v>
      </c>
      <c r="F83" s="267">
        <f>VLOOKUP(A83,'3 - PLAN. ORÇAMENTÁRIA'!$B$16:$I$721,8,FALSE)</f>
        <v>700.65</v>
      </c>
      <c r="G83" s="267">
        <f>ROUND(E83*F83,2)</f>
        <v>17516.25</v>
      </c>
      <c r="H83" s="262">
        <f t="shared" si="3"/>
        <v>0.2990002165057728</v>
      </c>
      <c r="I83" s="262">
        <f t="shared" si="5"/>
        <v>74.952312015280057</v>
      </c>
      <c r="J83" s="257" t="str">
        <f t="shared" si="4"/>
        <v>A</v>
      </c>
    </row>
    <row r="84" spans="1:10" ht="42.75">
      <c r="A84" s="263" t="s">
        <v>1895</v>
      </c>
      <c r="B84" s="257" t="str">
        <f>VLOOKUP(A84,'3 - PLAN. ORÇAMENTÁRIA'!$B$16:$E$721,3,FALSE)</f>
        <v>PRÓPRIO</v>
      </c>
      <c r="C84" s="265" t="str">
        <f>VLOOKUP(A84,'3 - PLAN. ORÇAMENTÁRIA'!$B$16:$E$721,2,FALSE)</f>
        <v>KIT DE PORTA PRONTA DE MADEIRA RU, ACABAMENTO LAMINADO NATURAL COM VERNIZ, FOLHA PESADA, 80x210, EXCLUSIVE FECHADURA, FIXAÇÃO COM PREENCHIMENTO TOTAL DE ESPUMA EXPANSIVA - FORNECIMENTO E INSTALAÇÃO. REF. 100675/SINAPI</v>
      </c>
      <c r="D84" s="257" t="str">
        <f>VLOOKUP(A84,'3 - PLAN. ORÇAMENTÁRIA'!$B$16:$E$721,4,FALSE)</f>
        <v>UN</v>
      </c>
      <c r="E84" s="266">
        <f>SUMIF('3 - PLAN. ORÇAMENTÁRIA'!$C$15:$C$721,C84,'3 - PLAN. ORÇAMENTÁRIA'!$F$15:$F$721)</f>
        <v>10</v>
      </c>
      <c r="F84" s="267">
        <f>VLOOKUP(A84,'3 - PLAN. ORÇAMENTÁRIA'!$B$16:$I$721,8,FALSE)</f>
        <v>1711.08</v>
      </c>
      <c r="G84" s="267">
        <f>ROUND(E84*F84,2)</f>
        <v>17110.8</v>
      </c>
      <c r="H84" s="262">
        <f t="shared" si="3"/>
        <v>0.29207923525794488</v>
      </c>
      <c r="I84" s="262">
        <f t="shared" si="5"/>
        <v>75.244391250538001</v>
      </c>
      <c r="J84" s="257" t="str">
        <f t="shared" si="4"/>
        <v>A</v>
      </c>
    </row>
    <row r="85" spans="1:10" ht="42.75">
      <c r="A85" s="263" t="s">
        <v>1915</v>
      </c>
      <c r="B85" s="257" t="str">
        <f>VLOOKUP(A85,'3 - PLAN. ORÇAMENTÁRIA'!$B$16:$E$721,3,FALSE)</f>
        <v>PRÓPRIO</v>
      </c>
      <c r="C85" s="265" t="str">
        <f>VLOOKUP(A85,'3 - PLAN. ORÇAMENTÁRIA'!$B$16:$E$721,2,FALSE)</f>
        <v>VASO SANITÁRIO COM CAIXA DE DESCARGA ACOPLADA, PARA SANITÁRIO ACESSÍVEL, LINHA VOGUE PLUS CONFORTO, SEM ABERTURA FRONTAL P.515.17, DECA OU SIMILAR, COM CAIXA ACOPLADA LINHA VOGUE PLUS CONFORTO, COR BRANCA, REFERÊNCIA CDC 01F 17, DECA OU SIMILAR REF. 100878/SINAPI</v>
      </c>
      <c r="D85" s="257" t="str">
        <f>VLOOKUP(A85,'3 - PLAN. ORÇAMENTÁRIA'!$B$16:$E$721,4,FALSE)</f>
        <v>UN</v>
      </c>
      <c r="E85" s="266">
        <f>'3 - PLAN. ORÇAMENTÁRIA'!F255</f>
        <v>6</v>
      </c>
      <c r="F85" s="267">
        <f>VLOOKUP(A85,'3 - PLAN. ORÇAMENTÁRIA'!$B$16:$I$721,8,FALSE)</f>
        <v>2827.7</v>
      </c>
      <c r="G85" s="267">
        <f>ROUND(E85*F85,2)</f>
        <v>16966.2</v>
      </c>
      <c r="H85" s="262">
        <f t="shared" si="3"/>
        <v>0.28961093117991821</v>
      </c>
      <c r="I85" s="262">
        <f t="shared" si="5"/>
        <v>75.534002181717923</v>
      </c>
      <c r="J85" s="257" t="str">
        <f t="shared" si="4"/>
        <v>A</v>
      </c>
    </row>
    <row r="86" spans="1:10" ht="28.5">
      <c r="A86" s="263">
        <v>90697</v>
      </c>
      <c r="B86" s="257" t="str">
        <f>VLOOKUP(A86,'3 - PLAN. ORÇAMENTÁRIA'!$B$16:$E$721,3,FALSE)</f>
        <v>SINAPI</v>
      </c>
      <c r="C86" s="264" t="s">
        <v>2967</v>
      </c>
      <c r="D86" s="257" t="str">
        <f>VLOOKUP(A86,'3 - PLAN. ORÇAMENTÁRIA'!$B$16:$E$721,4,FALSE)</f>
        <v>M</v>
      </c>
      <c r="E86" s="266">
        <f>SUMIF('3 - PLAN. ORÇAMENTÁRIA'!$C$15:$C$721,C86,'3 - PLAN. ORÇAMENTÁRIA'!$F$15:$F$721)</f>
        <v>57.16</v>
      </c>
      <c r="F86" s="267">
        <f>VLOOKUP(A86,'3 - PLAN. ORÇAMENTÁRIA'!$B$16:$I$721,8,FALSE)</f>
        <v>293.37</v>
      </c>
      <c r="G86" s="267">
        <f>ROUND(E86*F86,2)</f>
        <v>16769.03</v>
      </c>
      <c r="H86" s="262">
        <f t="shared" si="3"/>
        <v>0.28624526371750803</v>
      </c>
      <c r="I86" s="262">
        <f t="shared" si="5"/>
        <v>75.820247445435427</v>
      </c>
      <c r="J86" s="257" t="str">
        <f t="shared" si="4"/>
        <v>A</v>
      </c>
    </row>
    <row r="87" spans="1:10" ht="14.25">
      <c r="A87" s="263" t="s">
        <v>2070</v>
      </c>
      <c r="B87" s="257" t="str">
        <f>VLOOKUP(A87,'3 - PLAN. ORÇAMENTÁRIA'!$B$16:$E$721,3,FALSE)</f>
        <v>PRÓPRIO</v>
      </c>
      <c r="C87" s="265" t="str">
        <f>VLOOKUP(A87,'3 - PLAN. ORÇAMENTÁRIA'!$B$16:$E$721,2,FALSE)</f>
        <v>DETECTOR DE METAIS, TIPO PORTAL, MICROPROCESSADO REF. 66.02.090/SP OBRAS</v>
      </c>
      <c r="D87" s="257" t="str">
        <f>VLOOKUP(A87,'3 - PLAN. ORÇAMENTÁRIA'!$B$16:$E$721,4,FALSE)</f>
        <v>UN</v>
      </c>
      <c r="E87" s="266">
        <f>SUMIF('3 - PLAN. ORÇAMENTÁRIA'!$C$15:$C$721,C87,'3 - PLAN. ORÇAMENTÁRIA'!$F$15:$F$721)</f>
        <v>1</v>
      </c>
      <c r="F87" s="267">
        <f>VLOOKUP(A87,'3 - PLAN. ORÇAMENTÁRIA'!$B$16:$I$721,8,FALSE)</f>
        <v>16507.009999999998</v>
      </c>
      <c r="G87" s="267">
        <f>ROUND(E87*F87,2)</f>
        <v>16507.009999999998</v>
      </c>
      <c r="H87" s="262">
        <f t="shared" si="3"/>
        <v>0.28177261479271853</v>
      </c>
      <c r="I87" s="262">
        <f t="shared" si="5"/>
        <v>76.102020060228142</v>
      </c>
      <c r="J87" s="257" t="str">
        <f t="shared" si="4"/>
        <v>A</v>
      </c>
    </row>
    <row r="88" spans="1:10" ht="14.25">
      <c r="A88" s="263" t="s">
        <v>1928</v>
      </c>
      <c r="B88" s="257" t="str">
        <f>VLOOKUP(A88,'3 - PLAN. ORÇAMENTÁRIA'!$B$16:$E$721,3,FALSE)</f>
        <v>PRÓPRIO</v>
      </c>
      <c r="C88" s="265" t="str">
        <f>VLOOKUP(A88,'3 - PLAN. ORÇAMENTÁRIA'!$B$16:$E$721,2,FALSE)</f>
        <v>CORRIMÃO DUPLO AÇO INOX FORNECIDO E INSTALADO NO GUARDA-CORPO DE VIDRO REF. 99859/SINAPI</v>
      </c>
      <c r="D88" s="257" t="str">
        <f>VLOOKUP(A88,'3 - PLAN. ORÇAMENTÁRIA'!$B$16:$E$721,4,FALSE)</f>
        <v>M</v>
      </c>
      <c r="E88" s="266">
        <f>SUMIF('3 - PLAN. ORÇAMENTÁRIA'!$C$15:$C$721,C88,'3 - PLAN. ORÇAMENTÁRIA'!$F$15:$F$721)</f>
        <v>50.11</v>
      </c>
      <c r="F88" s="267">
        <f>VLOOKUP(A88,'3 - PLAN. ORÇAMENTÁRIA'!$B$16:$I$721,8,FALSE)</f>
        <v>324.68</v>
      </c>
      <c r="G88" s="267">
        <f>ROUND(E88*F88,2)</f>
        <v>16269.71</v>
      </c>
      <c r="H88" s="262">
        <f t="shared" si="3"/>
        <v>0.27772193320408972</v>
      </c>
      <c r="I88" s="262">
        <f t="shared" si="5"/>
        <v>76.379741993432233</v>
      </c>
      <c r="J88" s="257" t="str">
        <f t="shared" si="4"/>
        <v>A</v>
      </c>
    </row>
    <row r="89" spans="1:10" ht="14.25">
      <c r="A89" s="263" t="s">
        <v>2990</v>
      </c>
      <c r="B89" s="257" t="str">
        <f>VLOOKUP(A89,'3 - PLAN. ORÇAMENTÁRIA'!$B$16:$E$721,3,FALSE)</f>
        <v>PRÓPRIO</v>
      </c>
      <c r="C89" s="265" t="str">
        <f>VLOOKUP(A89,'3 - PLAN. ORÇAMENTÁRIA'!$B$16:$E$721,2,FALSE)</f>
        <v>PORTA DE ABRIR EM ALUMÍNIO COM PINTURA ELETROSTÁTICA, SOB MEDIDA - COR BRANCA REF. 25.02.300/SP OBRAS</v>
      </c>
      <c r="D89" s="257" t="str">
        <f>VLOOKUP(A89,'3 - PLAN. ORÇAMENTÁRIA'!$B$16:$E$721,4,FALSE)</f>
        <v>UN</v>
      </c>
      <c r="E89" s="266">
        <f>SUMIF('3 - PLAN. ORÇAMENTÁRIA'!$C$15:$C$721,C89,'3 - PLAN. ORÇAMENTÁRIA'!$F$15:$F$721)</f>
        <v>8.4499999999999993</v>
      </c>
      <c r="F89" s="267">
        <f>VLOOKUP(A89,'3 - PLAN. ORÇAMENTÁRIA'!$B$16:$I$721,8,FALSE)</f>
        <v>1914.34</v>
      </c>
      <c r="G89" s="267">
        <f>ROUND(E89*F89,2)</f>
        <v>16176.17</v>
      </c>
      <c r="H89" s="262">
        <f t="shared" si="3"/>
        <v>0.27612521699759862</v>
      </c>
      <c r="I89" s="262">
        <f t="shared" si="5"/>
        <v>76.655867210429832</v>
      </c>
      <c r="J89" s="257" t="str">
        <f t="shared" si="4"/>
        <v>A</v>
      </c>
    </row>
    <row r="90" spans="1:10" ht="14.25">
      <c r="A90" s="263">
        <v>92986</v>
      </c>
      <c r="B90" s="257" t="str">
        <f>VLOOKUP(A90,'3 - PLAN. ORÇAMENTÁRIA'!$B$16:$E$721,3,FALSE)</f>
        <v>SINAPI</v>
      </c>
      <c r="C90" s="264" t="s">
        <v>1121</v>
      </c>
      <c r="D90" s="257" t="str">
        <f>VLOOKUP(A90,'3 - PLAN. ORÇAMENTÁRIA'!$B$16:$E$721,4,FALSE)</f>
        <v>M</v>
      </c>
      <c r="E90" s="266">
        <f>SUMIF('3 - PLAN. ORÇAMENTÁRIA'!$C$15:$C$721,C90,'3 - PLAN. ORÇAMENTÁRIA'!$F$15:$F$721)</f>
        <v>269.63</v>
      </c>
      <c r="F90" s="267">
        <f>VLOOKUP(A90,'3 - PLAN. ORÇAMENTÁRIA'!$B$16:$I$721,8,FALSE)</f>
        <v>58.16</v>
      </c>
      <c r="G90" s="267">
        <f>ROUND(E90*F90,2)</f>
        <v>15681.68</v>
      </c>
      <c r="H90" s="262">
        <f t="shared" si="3"/>
        <v>0.26768433398554187</v>
      </c>
      <c r="I90" s="262">
        <f t="shared" si="5"/>
        <v>76.923551544415375</v>
      </c>
      <c r="J90" s="257" t="str">
        <f t="shared" si="4"/>
        <v>A</v>
      </c>
    </row>
    <row r="91" spans="1:10" ht="28.5">
      <c r="A91" s="263" t="s">
        <v>1912</v>
      </c>
      <c r="B91" s="257" t="str">
        <f>VLOOKUP(A91,'3 - PLAN. ORÇAMENTÁRIA'!$B$16:$E$721,3,FALSE)</f>
        <v>PRÓPRIO</v>
      </c>
      <c r="C91" s="265" t="str">
        <f>VLOOKUP(A91,'3 - PLAN. ORÇAMENTÁRIA'!$B$16:$E$721,2,FALSE)</f>
        <v>APLICAÇÃO DE 01 DEMÃO DE SELADOR E TEXTURA EM PAREDES NA COR 200 LINHA PREDIAL DA TERRACOR REF. 88416/SINAPI</v>
      </c>
      <c r="D91" s="257" t="str">
        <f>VLOOKUP(A91,'3 - PLAN. ORÇAMENTÁRIA'!$B$16:$E$721,4,FALSE)</f>
        <v>M2</v>
      </c>
      <c r="E91" s="266">
        <f>SUMIF('3 - PLAN. ORÇAMENTÁRIA'!$C$15:$C$721,C91,'3 - PLAN. ORÇAMENTÁRIA'!$F$15:$F$721)</f>
        <v>520.79999999999995</v>
      </c>
      <c r="F91" s="267">
        <f>VLOOKUP(A91,'3 - PLAN. ORÇAMENTÁRIA'!$B$16:$I$721,8,FALSE)</f>
        <v>29.87</v>
      </c>
      <c r="G91" s="267">
        <f>ROUND(E91*F91,2)</f>
        <v>15556.3</v>
      </c>
      <c r="H91" s="262">
        <f t="shared" si="3"/>
        <v>0.26554411292535524</v>
      </c>
      <c r="I91" s="262">
        <f t="shared" si="5"/>
        <v>77.189095657340729</v>
      </c>
      <c r="J91" s="257" t="str">
        <f t="shared" si="4"/>
        <v>A</v>
      </c>
    </row>
    <row r="92" spans="1:10" ht="28.5">
      <c r="A92" s="263">
        <v>96527</v>
      </c>
      <c r="B92" s="257" t="str">
        <f>VLOOKUP(A92,'3 - PLAN. ORÇAMENTÁRIA'!$B$16:$E$721,3,FALSE)</f>
        <v>SINAPI</v>
      </c>
      <c r="C92" s="264" t="s">
        <v>224</v>
      </c>
      <c r="D92" s="257" t="str">
        <f>VLOOKUP(A92,'3 - PLAN. ORÇAMENTÁRIA'!$B$16:$E$721,4,FALSE)</f>
        <v>M3</v>
      </c>
      <c r="E92" s="266">
        <f>SUMIF('3 - PLAN. ORÇAMENTÁRIA'!$C$15:$C$721,C92,'3 - PLAN. ORÇAMENTÁRIA'!$F$15:$F$721)</f>
        <v>110.59</v>
      </c>
      <c r="F92" s="267">
        <f>VLOOKUP(A92,'3 - PLAN. ORÇAMENTÁRIA'!$B$16:$I$721,8,FALSE)</f>
        <v>140.49</v>
      </c>
      <c r="G92" s="267">
        <f>ROUND(E92*F92,2)</f>
        <v>15536.79</v>
      </c>
      <c r="H92" s="262">
        <f t="shared" si="3"/>
        <v>0.26521107964345825</v>
      </c>
      <c r="I92" s="262">
        <f t="shared" si="5"/>
        <v>77.454306736984194</v>
      </c>
      <c r="J92" s="257" t="str">
        <f t="shared" si="4"/>
        <v>A</v>
      </c>
    </row>
    <row r="93" spans="1:10" ht="28.5">
      <c r="A93" s="263">
        <v>104766</v>
      </c>
      <c r="B93" s="257" t="str">
        <f>VLOOKUP(A93,'3 - PLAN. ORÇAMENTÁRIA'!$B$16:$E$721,3,FALSE)</f>
        <v>SINAPI</v>
      </c>
      <c r="C93" s="264" t="s">
        <v>2917</v>
      </c>
      <c r="D93" s="257" t="str">
        <f>VLOOKUP(A93,'3 - PLAN. ORÇAMENTÁRIA'!$B$16:$E$721,4,FALSE)</f>
        <v>M</v>
      </c>
      <c r="E93" s="266">
        <f>SUMIF('3 - PLAN. ORÇAMENTÁRIA'!$C$15:$C$721,C93,'3 - PLAN. ORÇAMENTÁRIA'!$F$15:$F$721)</f>
        <v>745.89</v>
      </c>
      <c r="F93" s="267">
        <f>VLOOKUP(A93,'3 - PLAN. ORÇAMENTÁRIA'!$B$16:$I$721,8,FALSE)</f>
        <v>20.61</v>
      </c>
      <c r="G93" s="267">
        <f>ROUND(E93*F93,2)</f>
        <v>15372.79</v>
      </c>
      <c r="H93" s="262">
        <f t="shared" si="3"/>
        <v>0.26241161996990103</v>
      </c>
      <c r="I93" s="262">
        <f t="shared" si="5"/>
        <v>77.71671835695409</v>
      </c>
      <c r="J93" s="257" t="str">
        <f t="shared" si="4"/>
        <v>A</v>
      </c>
    </row>
    <row r="94" spans="1:10" ht="28.5">
      <c r="A94" s="263" t="s">
        <v>1899</v>
      </c>
      <c r="B94" s="257" t="str">
        <f>VLOOKUP(A94,'3 - PLAN. ORÇAMENTÁRIA'!$B$16:$E$721,3,FALSE)</f>
        <v>PRÓPRIO</v>
      </c>
      <c r="C94" s="265" t="str">
        <f>VLOOKUP(A94,'3 - PLAN. ORÇAMENTÁRIA'!$B$16:$E$721,2,FALSE)</f>
        <v>EQUIPAMENTO AUTOMATIZADOR DE PORTAS DESLIZANTES PARA FOLHA DUPLA. FORNECIMENTO E INSTALAÇÃO COMPLETA (COM SENSOR DOS DOIS LADOS) REF. 28.20.800/SP OBRAS</v>
      </c>
      <c r="D94" s="257" t="str">
        <f>VLOOKUP(A94,'3 - PLAN. ORÇAMENTÁRIA'!$B$16:$E$721,4,FALSE)</f>
        <v>UN</v>
      </c>
      <c r="E94" s="266">
        <f>SUMIF('3 - PLAN. ORÇAMENTÁRIA'!$C$15:$C$721,C94,'3 - PLAN. ORÇAMENTÁRIA'!$F$15:$F$721)</f>
        <v>1</v>
      </c>
      <c r="F94" s="267">
        <f>VLOOKUP(A94,'3 - PLAN. ORÇAMENTÁRIA'!$B$16:$I$721,8,FALSE)</f>
        <v>15365.55</v>
      </c>
      <c r="G94" s="267">
        <f>ROUND(E94*F94,2)</f>
        <v>15365.55</v>
      </c>
      <c r="H94" s="262">
        <f t="shared" si="3"/>
        <v>0.26228803406723911</v>
      </c>
      <c r="I94" s="262">
        <f t="shared" si="5"/>
        <v>77.979006391021329</v>
      </c>
      <c r="J94" s="257" t="str">
        <f t="shared" si="4"/>
        <v>A</v>
      </c>
    </row>
    <row r="95" spans="1:10" ht="14.25">
      <c r="A95" s="263" t="s">
        <v>1970</v>
      </c>
      <c r="B95" s="257" t="str">
        <f>VLOOKUP(A95,'3 - PLAN. ORÇAMENTÁRIA'!$B$16:$E$721,3,FALSE)</f>
        <v>PRÓPRIO</v>
      </c>
      <c r="C95" s="265" t="str">
        <f>VLOOKUP(A95,'3 - PLAN. ORÇAMENTÁRIA'!$B$16:$E$721,2,FALSE)</f>
        <v>ELETROCALHA PERFURADA GALVANIZADA A FOGO, 300X100 MM, COM ACESSÓRIOS REF. 97243/SINAPI</v>
      </c>
      <c r="D95" s="257" t="str">
        <f>VLOOKUP(A95,'3 - PLAN. ORÇAMENTÁRIA'!$B$16:$E$721,4,FALSE)</f>
        <v>M</v>
      </c>
      <c r="E95" s="266">
        <f>SUMIF('3 - PLAN. ORÇAMENTÁRIA'!$C$15:$C$721,C95,'3 - PLAN. ORÇAMENTÁRIA'!$F$15:$F$721)</f>
        <v>71.05</v>
      </c>
      <c r="F95" s="267">
        <f>VLOOKUP(A95,'3 - PLAN. ORÇAMENTÁRIA'!$B$16:$I$721,8,FALSE)</f>
        <v>205.98</v>
      </c>
      <c r="G95" s="267">
        <f>ROUND(E95*F95,2)</f>
        <v>14634.88</v>
      </c>
      <c r="H95" s="262">
        <f t="shared" si="3"/>
        <v>0.24981558772773879</v>
      </c>
      <c r="I95" s="262">
        <f t="shared" si="5"/>
        <v>78.228821978749068</v>
      </c>
      <c r="J95" s="257" t="str">
        <f t="shared" si="4"/>
        <v>A</v>
      </c>
    </row>
    <row r="96" spans="1:10" ht="28.5">
      <c r="A96" s="263">
        <v>10776</v>
      </c>
      <c r="B96" s="257" t="str">
        <f>VLOOKUP(A96,'3 - PLAN. ORÇAMENTÁRIA'!$B$16:$E$721,3,FALSE)</f>
        <v>SINAPI</v>
      </c>
      <c r="C96" s="265" t="s">
        <v>136</v>
      </c>
      <c r="D96" s="257" t="str">
        <f>VLOOKUP(A96,'3 - PLAN. ORÇAMENTÁRIA'!$B$16:$E$721,4,FALSE)</f>
        <v>MES</v>
      </c>
      <c r="E96" s="266">
        <f>SUMIF('3 - PLAN. ORÇAMENTÁRIA'!$C$15:$C$721,C96,'3 - PLAN. ORÇAMENTÁRIA'!$F$15:$F$721)</f>
        <v>10</v>
      </c>
      <c r="F96" s="267">
        <f>VLOOKUP(A96,'3 - PLAN. ORÇAMENTÁRIA'!$B$16:$I$721,8,FALSE)</f>
        <v>1432.33</v>
      </c>
      <c r="G96" s="267">
        <f>ROUND(E96*F96,2)</f>
        <v>14323.3</v>
      </c>
      <c r="H96" s="262">
        <f t="shared" si="3"/>
        <v>0.24449695574550123</v>
      </c>
      <c r="I96" s="262">
        <f t="shared" si="5"/>
        <v>78.473318934494571</v>
      </c>
      <c r="J96" s="257" t="str">
        <f t="shared" si="4"/>
        <v>A</v>
      </c>
    </row>
    <row r="97" spans="1:10" ht="28.5">
      <c r="A97" s="263" t="s">
        <v>2105</v>
      </c>
      <c r="B97" s="257" t="str">
        <f>VLOOKUP(A97,'3 - PLAN. ORÇAMENTÁRIA'!$B$16:$E$721,3,FALSE)</f>
        <v>PRÓPRIO</v>
      </c>
      <c r="C97" s="265" t="str">
        <f>VLOOKUP(A97,'3 - PLAN. ORÇAMENTÁRIA'!$B$16:$E$721,2,FALSE)</f>
        <v>ESTACA BROCA DE CONCRETO, DIÂMETRO DE 20CM, ESCAVAÇÃO MANUAL COM TRADO CONCHA, SEM ARMAÇÃO. AF_05/2020 REF. 101173/SINAPI</v>
      </c>
      <c r="D97" s="257" t="str">
        <f>VLOOKUP(A97,'3 - PLAN. ORÇAMENTÁRIA'!$B$16:$E$721,4,FALSE)</f>
        <v>M</v>
      </c>
      <c r="E97" s="266">
        <f>SUMIF('3 - PLAN. ORÇAMENTÁRIA'!$C$15:$C$721,C97,'3 - PLAN. ORÇAMENTÁRIA'!$F$15:$F$721)</f>
        <v>218</v>
      </c>
      <c r="F97" s="267">
        <f>VLOOKUP(A97,'3 - PLAN. ORÇAMENTÁRIA'!$B$16:$I$721,8,FALSE)</f>
        <v>63.75</v>
      </c>
      <c r="G97" s="267">
        <f>ROUND(E97*F97,2)</f>
        <v>13897.5</v>
      </c>
      <c r="H97" s="262">
        <f t="shared" si="3"/>
        <v>0.23722860251988739</v>
      </c>
      <c r="I97" s="262">
        <f t="shared" si="5"/>
        <v>78.710547537014463</v>
      </c>
      <c r="J97" s="257" t="str">
        <f t="shared" si="4"/>
        <v>A</v>
      </c>
    </row>
    <row r="98" spans="1:10" ht="28.5">
      <c r="A98" s="263" t="s">
        <v>2873</v>
      </c>
      <c r="B98" s="257" t="str">
        <f>VLOOKUP(A98,'3 - PLAN. ORÇAMENTÁRIA'!$B$16:$E$721,3,FALSE)</f>
        <v>PRÓPRIO</v>
      </c>
      <c r="C98" s="265" t="str">
        <f>VLOOKUP(A98,'3 - PLAN. ORÇAMENTÁRIA'!$B$16:$E$721,2,FALSE)</f>
        <v>TELA DE ACO SOLDADA GALVANIZADA/ZINCADA PARA ALVENARIA, FIO D = *1,24 MM, MALHA 25 X 25 MM (LIGAÇÃO ENTRE ALVENARIA, PILARES  E VIGAS METÁLICOS) REF. 32.20.060/SP OBRAS</v>
      </c>
      <c r="D98" s="257" t="str">
        <f>VLOOKUP(A98,'3 - PLAN. ORÇAMENTÁRIA'!$B$16:$E$721,4,FALSE)</f>
        <v>M2</v>
      </c>
      <c r="E98" s="266">
        <f>SUMIF('3 - PLAN. ORÇAMENTÁRIA'!$C$15:$C$721,C98,'3 - PLAN. ORÇAMENTÁRIA'!$F$15:$F$721)</f>
        <v>457.13</v>
      </c>
      <c r="F98" s="267">
        <f>VLOOKUP(A98,'3 - PLAN. ORÇAMENTÁRIA'!$B$16:$I$721,8,FALSE)</f>
        <v>29.91</v>
      </c>
      <c r="G98" s="267">
        <f>ROUND(E98*F98,2)</f>
        <v>13672.76</v>
      </c>
      <c r="H98" s="262">
        <f t="shared" si="3"/>
        <v>0.23339231857455051</v>
      </c>
      <c r="I98" s="262">
        <f t="shared" si="5"/>
        <v>78.943939855589008</v>
      </c>
      <c r="J98" s="257" t="str">
        <f t="shared" si="4"/>
        <v>A</v>
      </c>
    </row>
    <row r="99" spans="1:10" ht="14.25">
      <c r="A99" s="263" t="s">
        <v>1996</v>
      </c>
      <c r="B99" s="257" t="str">
        <f>VLOOKUP(A99,'3 - PLAN. ORÇAMENTÁRIA'!$B$16:$E$721,3,FALSE)</f>
        <v>PRÓPRIO</v>
      </c>
      <c r="C99" s="265" t="str">
        <f>VLOOKUP(A99,'3 - PLAN. ORÇAMENTÁRIA'!$B$16:$E$721,2,FALSE)</f>
        <v>SWITCH GIGABIT 24 PORTAS COM CAPACIDADE DE 10/100/1000/MBPS REF. 66.20.225/SP OBRAS</v>
      </c>
      <c r="D99" s="257" t="str">
        <f>VLOOKUP(A99,'3 - PLAN. ORÇAMENTÁRIA'!$B$16:$E$721,4,FALSE)</f>
        <v>UN</v>
      </c>
      <c r="E99" s="266">
        <f>SUMIF('3 - PLAN. ORÇAMENTÁRIA'!$C$15:$C$721,C99,'3 - PLAN. ORÇAMENTÁRIA'!$F$15:$F$721)</f>
        <v>5</v>
      </c>
      <c r="F99" s="267">
        <f>VLOOKUP(A99,'3 - PLAN. ORÇAMENTÁRIA'!$B$16:$I$721,8,FALSE)</f>
        <v>2716.61</v>
      </c>
      <c r="G99" s="267">
        <f>ROUND(E99*F99,2)</f>
        <v>13583.05</v>
      </c>
      <c r="H99" s="262">
        <f t="shared" si="3"/>
        <v>0.23186097999336258</v>
      </c>
      <c r="I99" s="262">
        <f t="shared" si="5"/>
        <v>79.175800835582365</v>
      </c>
      <c r="J99" s="257" t="str">
        <f t="shared" si="4"/>
        <v>A</v>
      </c>
    </row>
    <row r="100" spans="1:10" ht="14.25">
      <c r="A100" s="263">
        <v>95577</v>
      </c>
      <c r="B100" s="257" t="str">
        <f>VLOOKUP(A100,'3 - PLAN. ORÇAMENTÁRIA'!$B$16:$E$721,3,FALSE)</f>
        <v>SINAPI</v>
      </c>
      <c r="C100" s="264" t="s">
        <v>2867</v>
      </c>
      <c r="D100" s="257" t="str">
        <f>VLOOKUP(A100,'3 - PLAN. ORÇAMENTÁRIA'!$B$16:$E$721,4,FALSE)</f>
        <v>KG</v>
      </c>
      <c r="E100" s="266">
        <f>SUMIF('3 - PLAN. ORÇAMENTÁRIA'!$C$15:$C$721,C100,'3 - PLAN. ORÇAMENTÁRIA'!$F$15:$F$721)</f>
        <v>963</v>
      </c>
      <c r="F100" s="267">
        <f>VLOOKUP(A100,'3 - PLAN. ORÇAMENTÁRIA'!$B$16:$I$721,8,FALSE)</f>
        <v>14.1</v>
      </c>
      <c r="G100" s="267">
        <f>ROUND(E100*F100,2)</f>
        <v>13578.3</v>
      </c>
      <c r="H100" s="262">
        <f t="shared" si="3"/>
        <v>0.23177989808208577</v>
      </c>
      <c r="I100" s="262">
        <f t="shared" si="5"/>
        <v>79.407580733664446</v>
      </c>
      <c r="J100" s="257" t="str">
        <f t="shared" si="4"/>
        <v>A</v>
      </c>
    </row>
    <row r="101" spans="1:10" ht="14.25">
      <c r="A101" s="263">
        <v>91935</v>
      </c>
      <c r="B101" s="257" t="str">
        <f>VLOOKUP(A101,'3 - PLAN. ORÇAMENTÁRIA'!$B$16:$E$721,3,FALSE)</f>
        <v>SINAPI</v>
      </c>
      <c r="C101" s="264" t="s">
        <v>569</v>
      </c>
      <c r="D101" s="257" t="str">
        <f>VLOOKUP(A101,'3 - PLAN. ORÇAMENTÁRIA'!$B$16:$E$721,4,FALSE)</f>
        <v>M</v>
      </c>
      <c r="E101" s="266">
        <f>SUMIF('3 - PLAN. ORÇAMENTÁRIA'!$C$15:$C$721,C101,'3 - PLAN. ORÇAMENTÁRIA'!$F$15:$F$721)</f>
        <v>352.88</v>
      </c>
      <c r="F101" s="267">
        <f>VLOOKUP(A101,'3 - PLAN. ORÇAMENTÁRIA'!$B$16:$I$721,8,FALSE)</f>
        <v>37.729999999999997</v>
      </c>
      <c r="G101" s="267">
        <f>ROUND(E101*F101,2)</f>
        <v>13314.16</v>
      </c>
      <c r="H101" s="262">
        <f t="shared" si="3"/>
        <v>0.22727106102005282</v>
      </c>
      <c r="I101" s="262">
        <f t="shared" si="5"/>
        <v>79.634851794684494</v>
      </c>
      <c r="J101" s="257" t="str">
        <f t="shared" si="4"/>
        <v>A</v>
      </c>
    </row>
    <row r="102" spans="1:10" ht="14.25">
      <c r="A102" s="263" t="s">
        <v>1986</v>
      </c>
      <c r="B102" s="257" t="str">
        <f>VLOOKUP(A102,'3 - PLAN. ORÇAMENTÁRIA'!$B$16:$E$721,3,FALSE)</f>
        <v>PRÓPRIO</v>
      </c>
      <c r="C102" s="265" t="str">
        <f>VLOOKUP(A102,'3 - PLAN. ORÇAMENTÁRIA'!$B$16:$E$721,2,FALSE)</f>
        <v>BARRA CONDUTORA CHATA EM ALUMÍNIO DE 7/8´ X 1/8´, INCLUSIVE ACESSÓRIOS DE FIXAÇÃO REF. 42.05.440/SP OBRAS</v>
      </c>
      <c r="D102" s="257" t="str">
        <f>VLOOKUP(A102,'3 - PLAN. ORÇAMENTÁRIA'!$B$16:$E$721,4,FALSE)</f>
        <v>M</v>
      </c>
      <c r="E102" s="266">
        <f>SUMIF('3 - PLAN. ORÇAMENTÁRIA'!$C$15:$C$721,C102,'3 - PLAN. ORÇAMENTÁRIA'!$F$15:$F$721)</f>
        <v>287.54000000000002</v>
      </c>
      <c r="F102" s="267">
        <f>VLOOKUP(A102,'3 - PLAN. ORÇAMENTÁRIA'!$B$16:$I$721,8,FALSE)</f>
        <v>45.17</v>
      </c>
      <c r="G102" s="267">
        <f>ROUND(E102*F102,2)</f>
        <v>12988.18</v>
      </c>
      <c r="H102" s="262">
        <f t="shared" si="3"/>
        <v>0.22170662282257608</v>
      </c>
      <c r="I102" s="262">
        <f t="shared" si="5"/>
        <v>79.856558417507074</v>
      </c>
      <c r="J102" s="257" t="str">
        <f t="shared" si="4"/>
        <v>A</v>
      </c>
    </row>
    <row r="103" spans="1:10" ht="14.25">
      <c r="A103" s="263">
        <v>95584</v>
      </c>
      <c r="B103" s="257" t="str">
        <f>VLOOKUP(A103,'3 - PLAN. ORÇAMENTÁRIA'!$B$16:$E$721,3,FALSE)</f>
        <v>SINAPI</v>
      </c>
      <c r="C103" s="264" t="s">
        <v>199</v>
      </c>
      <c r="D103" s="257" t="str">
        <f>VLOOKUP(A103,'3 - PLAN. ORÇAMENTÁRIA'!$B$16:$E$721,4,FALSE)</f>
        <v>KG</v>
      </c>
      <c r="E103" s="266">
        <f>SUMIF('3 - PLAN. ORÇAMENTÁRIA'!$C$15:$C$721,C103,'3 - PLAN. ORÇAMENTÁRIA'!$F$15:$F$721)</f>
        <v>678</v>
      </c>
      <c r="F103" s="267">
        <f>VLOOKUP(A103,'3 - PLAN. ORÇAMENTÁRIA'!$B$16:$I$721,8,FALSE)</f>
        <v>18.63</v>
      </c>
      <c r="G103" s="267">
        <f>ROUND(E103*F103,2)</f>
        <v>12631.14</v>
      </c>
      <c r="H103" s="262">
        <f t="shared" si="3"/>
        <v>0.2156119942747293</v>
      </c>
      <c r="I103" s="262">
        <f t="shared" si="5"/>
        <v>80.072170411781798</v>
      </c>
      <c r="J103" s="257" t="str">
        <f t="shared" si="4"/>
        <v>B</v>
      </c>
    </row>
    <row r="104" spans="1:10" ht="14.25">
      <c r="A104" s="263" t="s">
        <v>3333</v>
      </c>
      <c r="B104" s="257" t="str">
        <f>VLOOKUP(A104,'3 - PLAN. ORÇAMENTÁRIA'!$B$16:$E$721,3,FALSE)</f>
        <v>PRÓPRIO</v>
      </c>
      <c r="C104" s="265" t="str">
        <f>VLOOKUP(A104,'3 - PLAN. ORÇAMENTÁRIA'!$B$16:$E$721,2,FALSE)</f>
        <v>CA-20 CANALETA DE AGUAS PLUVIAIS EM OCNCRETO (15CM) REF. 16.05.030/SP EDUCAÇÃO</v>
      </c>
      <c r="D104" s="257" t="str">
        <f>VLOOKUP(A104,'3 - PLAN. ORÇAMENTÁRIA'!$B$16:$E$721,4,FALSE)</f>
        <v>M</v>
      </c>
      <c r="E104" s="266">
        <f>SUMIF('3 - PLAN. ORÇAMENTÁRIA'!$C$15:$C$721,C104,'3 - PLAN. ORÇAMENTÁRIA'!$F$15:$F$721)</f>
        <v>54.53</v>
      </c>
      <c r="F104" s="267">
        <f>VLOOKUP(A104,'3 - PLAN. ORÇAMENTÁRIA'!$B$16:$I$721,8,FALSE)</f>
        <v>227.06</v>
      </c>
      <c r="G104" s="267">
        <f>ROUND(E104*F104,2)</f>
        <v>12381.58</v>
      </c>
      <c r="H104" s="262">
        <f t="shared" si="3"/>
        <v>0.21135203600562602</v>
      </c>
      <c r="I104" s="262">
        <f t="shared" si="5"/>
        <v>80.283522447787419</v>
      </c>
      <c r="J104" s="257" t="str">
        <f t="shared" si="4"/>
        <v>B</v>
      </c>
    </row>
    <row r="105" spans="1:10" ht="14.25">
      <c r="A105" s="263" t="s">
        <v>2012</v>
      </c>
      <c r="B105" s="257" t="str">
        <f>VLOOKUP(A105,'3 - PLAN. ORÇAMENTÁRIA'!$B$16:$E$721,3,FALSE)</f>
        <v>PRÓPRIO</v>
      </c>
      <c r="C105" s="265" t="str">
        <f>VLOOKUP(A105,'3 - PLAN. ORÇAMENTÁRIA'!$B$16:$E$721,2,FALSE)</f>
        <v>LUMINÁRIA PLAFON (EMBUTIR) - 48 W REF. 103788/SINAPI</v>
      </c>
      <c r="D105" s="257" t="str">
        <f>VLOOKUP(A105,'3 - PLAN. ORÇAMENTÁRIA'!$B$16:$E$721,4,FALSE)</f>
        <v>UN</v>
      </c>
      <c r="E105" s="266">
        <f>SUMIF('3 - PLAN. ORÇAMENTÁRIA'!$C$15:$C$721,C105,'3 - PLAN. ORÇAMENTÁRIA'!$F$15:$F$721)</f>
        <v>70</v>
      </c>
      <c r="F105" s="267">
        <f>VLOOKUP(A105,'3 - PLAN. ORÇAMENTÁRIA'!$B$16:$I$721,8,FALSE)</f>
        <v>175.79</v>
      </c>
      <c r="G105" s="267">
        <f>ROUND(E105*F105,2)</f>
        <v>12305.3</v>
      </c>
      <c r="H105" s="262">
        <f t="shared" si="3"/>
        <v>0.21004994585990072</v>
      </c>
      <c r="I105" s="262">
        <f t="shared" si="5"/>
        <v>80.493572393647327</v>
      </c>
      <c r="J105" s="257" t="str">
        <f t="shared" si="4"/>
        <v>B</v>
      </c>
    </row>
    <row r="106" spans="1:10" ht="28.5">
      <c r="A106" s="263" t="s">
        <v>3601</v>
      </c>
      <c r="B106" s="257" t="str">
        <f>VLOOKUP(A106,'3 - PLAN. ORÇAMENTÁRIA'!$B$16:$E$721,3,FALSE)</f>
        <v>PRÓPRIO</v>
      </c>
      <c r="C106" s="265" t="str">
        <f>VLOOKUP(A106,'3 - PLAN. ORÇAMENTÁRIA'!$B$16:$E$721,2,FALSE)</f>
        <v>ARGILA EXPANDIDA REF. 32.06.120/SP OBRAS</v>
      </c>
      <c r="D106" s="257" t="str">
        <f>VLOOKUP(A106,'3 - PLAN. ORÇAMENTÁRIA'!$B$16:$E$721,4,FALSE)</f>
        <v>M3</v>
      </c>
      <c r="E106" s="266">
        <f>SUMIF('3 - PLAN. ORÇAMENTÁRIA'!$C$15:$C$721,C106,'3 - PLAN. ORÇAMENTÁRIA'!$F$15:$F$721)</f>
        <v>11.7</v>
      </c>
      <c r="F106" s="267">
        <f>VLOOKUP(A106,'3 - PLAN. ORÇAMENTÁRIA'!$B$16:$I$721,8,FALSE)</f>
        <v>1040.21</v>
      </c>
      <c r="G106" s="267">
        <f>ROUND(E106*F106,2)</f>
        <v>12170.46</v>
      </c>
      <c r="H106" s="262">
        <f t="shared" si="3"/>
        <v>0.20774824377220283</v>
      </c>
      <c r="I106" s="262">
        <f t="shared" si="5"/>
        <v>80.701320637419528</v>
      </c>
      <c r="J106" s="257" t="str">
        <f t="shared" si="4"/>
        <v>B</v>
      </c>
    </row>
    <row r="107" spans="1:10" ht="14.25">
      <c r="A107" s="263" t="s">
        <v>1896</v>
      </c>
      <c r="B107" s="257" t="str">
        <f>VLOOKUP(A107,'3 - PLAN. ORÇAMENTÁRIA'!$B$16:$E$721,3,FALSE)</f>
        <v>PRÓPRIO</v>
      </c>
      <c r="C107" s="265" t="str">
        <f>VLOOKUP(A107,'3 - PLAN. ORÇAMENTÁRIA'!$B$16:$E$721,2,FALSE)</f>
        <v>KIT DE PORTA PRONTA DE MADEIRA RU, ACABAMENTO LAMINADO NATURAL COM VERNIZ, FOLHA PESADA, 90x210, EXCLUSIVE FECHADURA, FIXAÇÃO COM PREENCHIMENTO TOTAL DE ESPUMA EXPANSIVA - FORNECIMENTO E INSTALAÇÃO. REF. 100675/SINAPI</v>
      </c>
      <c r="D107" s="257" t="str">
        <f>VLOOKUP(A107,'3 - PLAN. ORÇAMENTÁRIA'!$B$16:$E$721,4,FALSE)</f>
        <v>UN</v>
      </c>
      <c r="E107" s="266">
        <f>SUMIF('3 - PLAN. ORÇAMENTÁRIA'!$C$15:$C$721,C107,'3 - PLAN. ORÇAMENTÁRIA'!$F$15:$F$721)</f>
        <v>7</v>
      </c>
      <c r="F107" s="267">
        <f>VLOOKUP(A107,'3 - PLAN. ORÇAMENTÁRIA'!$B$16:$I$721,8,FALSE)</f>
        <v>1734.34</v>
      </c>
      <c r="G107" s="267">
        <f>ROUND(E107*F107,2)</f>
        <v>12140.38</v>
      </c>
      <c r="H107" s="262">
        <f t="shared" si="3"/>
        <v>0.2072347819003699</v>
      </c>
      <c r="I107" s="262">
        <f t="shared" si="5"/>
        <v>80.908555419319896</v>
      </c>
      <c r="J107" s="257" t="str">
        <f t="shared" si="4"/>
        <v>B</v>
      </c>
    </row>
    <row r="108" spans="1:10" ht="42.75">
      <c r="A108" s="263" t="s">
        <v>2075</v>
      </c>
      <c r="B108" s="257" t="str">
        <f>VLOOKUP(A108,'3 - PLAN. ORÇAMENTÁRIA'!$B$16:$E$721,3,FALSE)</f>
        <v>PRÓPRIO</v>
      </c>
      <c r="C108" s="265" t="str">
        <f>VLOOKUP(A108,'3 - PLAN. ORÇAMENTÁRIA'!$B$16:$E$721,2,FALSE)</f>
        <v>TOMADA RJ-45 - CATEGORIA 6A (PLACA, MÓDULO E CONECTOR) REF. 98307/SINAPI</v>
      </c>
      <c r="D108" s="257" t="str">
        <f>VLOOKUP(A108,'3 - PLAN. ORÇAMENTÁRIA'!$B$16:$E$721,4,FALSE)</f>
        <v>UN</v>
      </c>
      <c r="E108" s="266">
        <f>SUMIF('3 - PLAN. ORÇAMENTÁRIA'!$C$15:$C$721,C108,'3 - PLAN. ORÇAMENTÁRIA'!$F$15:$F$721)</f>
        <v>51</v>
      </c>
      <c r="F108" s="267">
        <f>VLOOKUP(A108,'3 - PLAN. ORÇAMENTÁRIA'!$B$16:$I$721,8,FALSE)</f>
        <v>236.53</v>
      </c>
      <c r="G108" s="267">
        <f>ROUND(E108*F108,2)</f>
        <v>12063.03</v>
      </c>
      <c r="H108" s="262">
        <f t="shared" si="3"/>
        <v>0.20591442698726226</v>
      </c>
      <c r="I108" s="262">
        <f t="shared" si="5"/>
        <v>81.114469846307159</v>
      </c>
      <c r="J108" s="257" t="str">
        <f t="shared" si="4"/>
        <v>B</v>
      </c>
    </row>
    <row r="109" spans="1:10" ht="14.25">
      <c r="A109" s="263" t="s">
        <v>2776</v>
      </c>
      <c r="B109" s="257" t="str">
        <f>VLOOKUP(A109,'3 - PLAN. ORÇAMENTÁRIA'!$B$16:$E$721,3,FALSE)</f>
        <v>PRÓPRIO</v>
      </c>
      <c r="C109" s="265" t="str">
        <f>VLOOKUP(A109,'3 - PLAN. ORÇAMENTÁRIA'!$B$16:$E$721,2,FALSE)</f>
        <v>UNIDADE GERENCIADORA DIGITAL VÍDEO EM REDE (NVR) DE ATÉ 32 CÂMERAS IP, ARMAZENAMENTO DE 48 TB, 2 INTERFACE DE REDE GIGABIT ETHERNET E 16 ENTRADAS DE ALARME REF. 66.08.620/SP OBRAS</v>
      </c>
      <c r="D109" s="257" t="str">
        <f>VLOOKUP(A109,'3 - PLAN. ORÇAMENTÁRIA'!$B$16:$E$721,4,FALSE)</f>
        <v>UN</v>
      </c>
      <c r="E109" s="266">
        <f>SUMIF('3 - PLAN. ORÇAMENTÁRIA'!$C$15:$C$721,C109,'3 - PLAN. ORÇAMENTÁRIA'!$F$15:$F$721)</f>
        <v>2</v>
      </c>
      <c r="F109" s="267">
        <f>VLOOKUP(A109,'3 - PLAN. ORÇAMENTÁRIA'!$B$16:$I$721,8,FALSE)</f>
        <v>5934.36</v>
      </c>
      <c r="G109" s="267">
        <f>ROUND(E109*F109,2)</f>
        <v>11868.72</v>
      </c>
      <c r="H109" s="262">
        <f t="shared" si="3"/>
        <v>0.2025975793703787</v>
      </c>
      <c r="I109" s="262">
        <f t="shared" si="5"/>
        <v>81.317067425677536</v>
      </c>
      <c r="J109" s="257" t="str">
        <f t="shared" si="4"/>
        <v>B</v>
      </c>
    </row>
    <row r="110" spans="1:10" ht="28.5">
      <c r="A110" s="263">
        <v>88489</v>
      </c>
      <c r="B110" s="257" t="str">
        <f>VLOOKUP(A110,'3 - PLAN. ORÇAMENTÁRIA'!$B$16:$E$721,3,FALSE)</f>
        <v>SINAPI</v>
      </c>
      <c r="C110" s="264" t="s">
        <v>304</v>
      </c>
      <c r="D110" s="257" t="str">
        <f>VLOOKUP(A110,'3 - PLAN. ORÇAMENTÁRIA'!$B$16:$E$721,4,FALSE)</f>
        <v>M2</v>
      </c>
      <c r="E110" s="266">
        <f>SUMIF('3 - PLAN. ORÇAMENTÁRIA'!$C$15:$C$721,C110,'3 - PLAN. ORÇAMENTÁRIA'!$F$15:$F$721)</f>
        <v>683.58</v>
      </c>
      <c r="F110" s="267">
        <f>VLOOKUP(A110,'3 - PLAN. ORÇAMENTÁRIA'!$B$16:$I$721,8,FALSE)</f>
        <v>16.920000000000002</v>
      </c>
      <c r="G110" s="267">
        <f>ROUND(E110*F110,2)</f>
        <v>11566.17</v>
      </c>
      <c r="H110" s="262">
        <f t="shared" si="3"/>
        <v>0.19743308836894738</v>
      </c>
      <c r="I110" s="262">
        <f t="shared" si="5"/>
        <v>81.514500514046489</v>
      </c>
      <c r="J110" s="257" t="str">
        <f t="shared" si="4"/>
        <v>B</v>
      </c>
    </row>
    <row r="111" spans="1:10" ht="14.25">
      <c r="A111" s="263">
        <v>94229</v>
      </c>
      <c r="B111" s="257" t="str">
        <f>VLOOKUP(A111,'3 - PLAN. ORÇAMENTÁRIA'!$B$16:$E$721,3,FALSE)</f>
        <v>SINAPI</v>
      </c>
      <c r="C111" s="264" t="s">
        <v>3994</v>
      </c>
      <c r="D111" s="257" t="str">
        <f>VLOOKUP(A111,'3 - PLAN. ORÇAMENTÁRIA'!$B$16:$E$721,4,FALSE)</f>
        <v>M</v>
      </c>
      <c r="E111" s="266">
        <f>SUMIF('3 - PLAN. ORÇAMENTÁRIA'!$C$15:$C$721,C111,'3 - PLAN. ORÇAMENTÁRIA'!$F$15:$F$721)</f>
        <v>57.52</v>
      </c>
      <c r="F111" s="267">
        <f>VLOOKUP(A111,'3 - PLAN. ORÇAMENTÁRIA'!$B$16:$I$721,8,FALSE)</f>
        <v>197.64</v>
      </c>
      <c r="G111" s="267">
        <f>ROUND(E111*F111,2)</f>
        <v>11368.25</v>
      </c>
      <c r="H111" s="262">
        <f t="shared" si="3"/>
        <v>0.19405461849949343</v>
      </c>
      <c r="I111" s="262">
        <f t="shared" si="5"/>
        <v>81.708555132545982</v>
      </c>
      <c r="J111" s="257" t="str">
        <f t="shared" si="4"/>
        <v>B</v>
      </c>
    </row>
    <row r="112" spans="1:10" ht="28.5">
      <c r="A112" s="263">
        <v>94231</v>
      </c>
      <c r="B112" s="257" t="str">
        <f>VLOOKUP(A112,'3 - PLAN. ORÇAMENTÁRIA'!$B$16:$E$721,3,FALSE)</f>
        <v>SINAPI</v>
      </c>
      <c r="C112" s="264" t="s">
        <v>1817</v>
      </c>
      <c r="D112" s="257" t="str">
        <f>VLOOKUP(A112,'3 - PLAN. ORÇAMENTÁRIA'!$B$16:$E$721,4,FALSE)</f>
        <v>M</v>
      </c>
      <c r="E112" s="266">
        <f>SUMIF('3 - PLAN. ORÇAMENTÁRIA'!$C$15:$C$721,C112,'3 - PLAN. ORÇAMENTÁRIA'!$F$15:$F$721)</f>
        <v>184.5</v>
      </c>
      <c r="F112" s="267">
        <f>VLOOKUP(A112,'3 - PLAN. ORÇAMENTÁRIA'!$B$16:$I$721,8,FALSE)</f>
        <v>61.04</v>
      </c>
      <c r="G112" s="267">
        <f>ROUND(E112*F112,2)</f>
        <v>11261.88</v>
      </c>
      <c r="H112" s="262">
        <f t="shared" si="3"/>
        <v>0.19223889578317463</v>
      </c>
      <c r="I112" s="262">
        <f t="shared" si="5"/>
        <v>81.900794028329159</v>
      </c>
      <c r="J112" s="257" t="str">
        <f t="shared" si="4"/>
        <v>B</v>
      </c>
    </row>
    <row r="113" spans="1:10" ht="28.5">
      <c r="A113" s="263" t="s">
        <v>1905</v>
      </c>
      <c r="B113" s="257" t="str">
        <f>VLOOKUP(A113,'3 - PLAN. ORÇAMENTÁRIA'!$B$16:$E$721,3,FALSE)</f>
        <v>PRÓPRIO</v>
      </c>
      <c r="C113" s="265" t="str">
        <f>VLOOKUP(A113,'3 - PLAN. ORÇAMENTÁRIA'!$B$16:$E$721,2,FALSE)</f>
        <v>PEITORIL EM GRANITO BRANCO SIENA, POLIDO, C/ LARGURA = 22 CM, ESP = 2 CM REF. 101965/SINAPI</v>
      </c>
      <c r="D113" s="257" t="str">
        <f>VLOOKUP(A113,'3 - PLAN. ORÇAMENTÁRIA'!$B$16:$E$721,4,FALSE)</f>
        <v>M</v>
      </c>
      <c r="E113" s="266">
        <f>SUMIF('3 - PLAN. ORÇAMENTÁRIA'!$C$15:$C$721,C113,'3 - PLAN. ORÇAMENTÁRIA'!$F$15:$F$721)</f>
        <v>42.2</v>
      </c>
      <c r="F113" s="267">
        <f>VLOOKUP(A113,'3 - PLAN. ORÇAMENTÁRIA'!$B$16:$I$721,8,FALSE)</f>
        <v>266.81</v>
      </c>
      <c r="G113" s="267">
        <f>ROUND(E113*F113,2)</f>
        <v>11259.38</v>
      </c>
      <c r="H113" s="262">
        <f t="shared" si="3"/>
        <v>0.19219622109302895</v>
      </c>
      <c r="I113" s="262">
        <f t="shared" si="5"/>
        <v>82.092990249422186</v>
      </c>
      <c r="J113" s="257" t="str">
        <f t="shared" si="4"/>
        <v>B</v>
      </c>
    </row>
    <row r="114" spans="1:10" ht="14.25">
      <c r="A114" s="263">
        <v>97902</v>
      </c>
      <c r="B114" s="257" t="str">
        <f>VLOOKUP(A114,'3 - PLAN. ORÇAMENTÁRIA'!$B$16:$E$721,3,FALSE)</f>
        <v>SINAPI</v>
      </c>
      <c r="C114" s="264" t="s">
        <v>2603</v>
      </c>
      <c r="D114" s="257" t="str">
        <f>VLOOKUP(A114,'3 - PLAN. ORÇAMENTÁRIA'!$B$16:$E$721,4,FALSE)</f>
        <v>UN</v>
      </c>
      <c r="E114" s="266">
        <f>SUMIF('3 - PLAN. ORÇAMENTÁRIA'!$C$15:$C$721,C114,'3 - PLAN. ORÇAMENTÁRIA'!$F$15:$F$721)</f>
        <v>15</v>
      </c>
      <c r="F114" s="267">
        <f>VLOOKUP(A114,'3 - PLAN. ORÇAMENTÁRIA'!$B$16:$I$721,8,FALSE)</f>
        <v>722.71</v>
      </c>
      <c r="G114" s="267">
        <f>ROUND(E114*F114,2)</f>
        <v>10840.65</v>
      </c>
      <c r="H114" s="262">
        <f t="shared" si="3"/>
        <v>0.18504855189114713</v>
      </c>
      <c r="I114" s="262">
        <f t="shared" si="5"/>
        <v>82.278038801313329</v>
      </c>
      <c r="J114" s="257" t="str">
        <f t="shared" si="4"/>
        <v>B</v>
      </c>
    </row>
    <row r="115" spans="1:10" ht="28.5">
      <c r="A115" s="263" t="s">
        <v>1918</v>
      </c>
      <c r="B115" s="257" t="str">
        <f>VLOOKUP(A115,'3 - PLAN. ORÇAMENTÁRIA'!$B$16:$E$721,3,FALSE)</f>
        <v>PRÓPRIO</v>
      </c>
      <c r="C115" s="265" t="str">
        <f>VLOOKUP(A115,'3 - PLAN. ORÇAMENTÁRIA'!$B$16:$E$721,2,FALSE)</f>
        <v>TORNEIRA PRESSMATIC BENEFIT DOCOL, OU SIMILAR REF. 100853/SINAPI</v>
      </c>
      <c r="D115" s="257" t="str">
        <f>VLOOKUP(A115,'3 - PLAN. ORÇAMENTÁRIA'!$B$16:$E$721,4,FALSE)</f>
        <v>UN</v>
      </c>
      <c r="E115" s="266">
        <f>SUMIF('3 - PLAN. ORÇAMENTÁRIA'!$C$15:$C$721,C115,'3 - PLAN. ORÇAMENTÁRIA'!$F$15:$F$721)</f>
        <v>6</v>
      </c>
      <c r="F115" s="267">
        <f>VLOOKUP(A115,'3 - PLAN. ORÇAMENTÁRIA'!$B$16:$I$721,8,FALSE)</f>
        <v>1793.93</v>
      </c>
      <c r="G115" s="267">
        <f>ROUND(E115*F115,2)</f>
        <v>10763.58</v>
      </c>
      <c r="H115" s="262">
        <f t="shared" si="3"/>
        <v>0.18373297654333581</v>
      </c>
      <c r="I115" s="262">
        <f t="shared" si="5"/>
        <v>82.461771777856669</v>
      </c>
      <c r="J115" s="257" t="str">
        <f t="shared" si="4"/>
        <v>B</v>
      </c>
    </row>
    <row r="116" spans="1:10" ht="14.25">
      <c r="A116" s="263" t="s">
        <v>2103</v>
      </c>
      <c r="B116" s="257" t="str">
        <f>VLOOKUP(A116,'3 - PLAN. ORÇAMENTÁRIA'!$B$16:$E$721,3,FALSE)</f>
        <v>PRÓPRIO</v>
      </c>
      <c r="C116" s="265" t="str">
        <f>VLOOKUP(A116,'3 - PLAN. ORÇAMENTÁRIA'!$B$16:$E$721,2,FALSE)</f>
        <v>PATCH PANEL 24 PORTAS CAT.6A - FORNECIMENTO E INSTALAÇÃO REF. 98302/SINAPI</v>
      </c>
      <c r="D116" s="257" t="str">
        <f>VLOOKUP(A116,'3 - PLAN. ORÇAMENTÁRIA'!$B$16:$E$721,4,FALSE)</f>
        <v>UN</v>
      </c>
      <c r="E116" s="266">
        <f>SUMIF('3 - PLAN. ORÇAMENTÁRIA'!$C$15:$C$721,C116,'3 - PLAN. ORÇAMENTÁRIA'!$F$15:$F$721)</f>
        <v>6</v>
      </c>
      <c r="F116" s="267">
        <f>VLOOKUP(A116,'3 - PLAN. ORÇAMENTÁRIA'!$B$16:$I$721,8,FALSE)</f>
        <v>1757.01</v>
      </c>
      <c r="G116" s="267">
        <f>ROUND(E116*F116,2)</f>
        <v>10542.06</v>
      </c>
      <c r="H116" s="262">
        <f t="shared" si="3"/>
        <v>0.17995165759890658</v>
      </c>
      <c r="I116" s="262">
        <f t="shared" si="5"/>
        <v>82.641723435455575</v>
      </c>
      <c r="J116" s="257" t="str">
        <f t="shared" si="4"/>
        <v>B</v>
      </c>
    </row>
    <row r="117" spans="1:10" ht="14.25">
      <c r="A117" s="263" t="s">
        <v>4147</v>
      </c>
      <c r="B117" s="257" t="str">
        <f>VLOOKUP(A117,'3 - PLAN. ORÇAMENTÁRIA'!$B$16:$E$721,3,FALSE)</f>
        <v>PRÓPRIO</v>
      </c>
      <c r="C117" s="265" t="str">
        <f>VLOOKUP(A117,'3 - PLAN. ORÇAMENTÁRIA'!$B$16:$E$721,2,FALSE)</f>
        <v>FUNDO SELADORUNIQ 200 DA TERRACOR, APLICAÇÃO MANUAL EM PAREDE, UMA DEMÃO REF. 88485/SINAPI</v>
      </c>
      <c r="D117" s="257" t="str">
        <f>VLOOKUP(A117,'3 - PLAN. ORÇAMENTÁRIA'!$B$16:$E$721,4,FALSE)</f>
        <v>M2</v>
      </c>
      <c r="E117" s="266">
        <f>SUMIF('3 - PLAN. ORÇAMENTÁRIA'!$C$15:$C$721,C117,'3 - PLAN. ORÇAMENTÁRIA'!$F$15:$F$721)</f>
        <v>520.79999999999995</v>
      </c>
      <c r="F117" s="267">
        <f>VLOOKUP(A117,'3 - PLAN. ORÇAMENTÁRIA'!$B$16:$I$721,8,FALSE)</f>
        <v>20.190000000000001</v>
      </c>
      <c r="G117" s="267">
        <f>ROUND(E117*F117,2)</f>
        <v>10514.95</v>
      </c>
      <c r="H117" s="262">
        <f t="shared" si="3"/>
        <v>0.17948889325896672</v>
      </c>
      <c r="I117" s="262">
        <f t="shared" si="5"/>
        <v>82.821212328714537</v>
      </c>
      <c r="J117" s="257" t="str">
        <f t="shared" si="4"/>
        <v>B</v>
      </c>
    </row>
    <row r="118" spans="1:10" ht="14.25">
      <c r="A118" s="263">
        <v>97329</v>
      </c>
      <c r="B118" s="257" t="str">
        <f>VLOOKUP(A118,'3 - PLAN. ORÇAMENTÁRIA'!$B$16:$E$721,3,FALSE)</f>
        <v>SINAPI</v>
      </c>
      <c r="C118" s="264" t="s">
        <v>753</v>
      </c>
      <c r="D118" s="257" t="str">
        <f>VLOOKUP(A118,'3 - PLAN. ORÇAMENTÁRIA'!$B$16:$E$721,4,FALSE)</f>
        <v>M</v>
      </c>
      <c r="E118" s="266">
        <f>SUMIF('3 - PLAN. ORÇAMENTÁRIA'!$C$15:$C$721,C118,'3 - PLAN. ORÇAMENTÁRIA'!$F$15:$F$721)</f>
        <v>102.12</v>
      </c>
      <c r="F118" s="267">
        <f>VLOOKUP(A118,'3 - PLAN. ORÇAMENTÁRIA'!$B$16:$I$721,8,FALSE)</f>
        <v>102.19</v>
      </c>
      <c r="G118" s="267">
        <f>ROUND(E118*F118,2)</f>
        <v>10435.64</v>
      </c>
      <c r="H118" s="262">
        <f t="shared" si="3"/>
        <v>0.17813508138878487</v>
      </c>
      <c r="I118" s="262">
        <f t="shared" si="5"/>
        <v>82.999347410103326</v>
      </c>
      <c r="J118" s="257" t="str">
        <f t="shared" si="4"/>
        <v>B</v>
      </c>
    </row>
    <row r="119" spans="1:10" ht="42.75">
      <c r="A119" s="263" t="s">
        <v>1914</v>
      </c>
      <c r="B119" s="257" t="str">
        <f>VLOOKUP(A119,'3 - PLAN. ORÇAMENTÁRIA'!$B$16:$E$721,3,FALSE)</f>
        <v>PRÓPRIO</v>
      </c>
      <c r="C119" s="265" t="str">
        <f>VLOOKUP(A119,'3 - PLAN. ORÇAMENTÁRIA'!$B$16:$E$721,2,FALSE)</f>
        <v>VASO SANITÁRIO COM CAIXA DE DESCARGA ACOPLADA, LINHA VOGUE PLUS REFERÊNCIA P.505.17, DECA OU SIMILAR, COM CAIXA ACOPLADA, COR BRANCA, REFERÊNCIA CD 01F 17, DECA OU SIMILAR REF. 100878/SINAPI</v>
      </c>
      <c r="D119" s="257" t="str">
        <f>VLOOKUP(A119,'3 - PLAN. ORÇAMENTÁRIA'!$B$16:$E$721,4,FALSE)</f>
        <v>UN</v>
      </c>
      <c r="E119" s="266">
        <f>SUMIF('3 - PLAN. ORÇAMENTÁRIA'!$C$15:$C$721,C119,'3 - PLAN. ORÇAMENTÁRIA'!$F$15:$F$721)</f>
        <v>4</v>
      </c>
      <c r="F119" s="267">
        <f>VLOOKUP(A119,'3 - PLAN. ORÇAMENTÁRIA'!$B$16:$I$721,8,FALSE)</f>
        <v>2569.2399999999998</v>
      </c>
      <c r="G119" s="267">
        <f>ROUND(E119*F119,2)</f>
        <v>10276.959999999999</v>
      </c>
      <c r="H119" s="262">
        <f t="shared" si="3"/>
        <v>0.17542643345585765</v>
      </c>
      <c r="I119" s="262">
        <f t="shared" si="5"/>
        <v>83.17477384355918</v>
      </c>
      <c r="J119" s="257" t="str">
        <f t="shared" si="4"/>
        <v>B</v>
      </c>
    </row>
    <row r="120" spans="1:10" ht="28.5">
      <c r="A120" s="263">
        <v>94990</v>
      </c>
      <c r="B120" s="257" t="str">
        <f>VLOOKUP(A120,'3 - PLAN. ORÇAMENTÁRIA'!$B$16:$E$721,3,FALSE)</f>
        <v>SINAPI</v>
      </c>
      <c r="C120" s="264" t="s">
        <v>3376</v>
      </c>
      <c r="D120" s="257" t="str">
        <f>VLOOKUP(A120,'3 - PLAN. ORÇAMENTÁRIA'!$B$16:$E$721,4,FALSE)</f>
        <v>M3</v>
      </c>
      <c r="E120" s="266">
        <f>SUMIF('3 - PLAN. ORÇAMENTÁRIA'!$C$15:$C$721,C120,'3 - PLAN. ORÇAMENTÁRIA'!$F$15:$F$721)</f>
        <v>10.24</v>
      </c>
      <c r="F120" s="267">
        <f>VLOOKUP(A120,'3 - PLAN. ORÇAMENTÁRIA'!$B$16:$I$721,8,FALSE)</f>
        <v>997.27</v>
      </c>
      <c r="G120" s="267">
        <f>ROUND(E120*F120,2)</f>
        <v>10212.040000000001</v>
      </c>
      <c r="H120" s="262">
        <f t="shared" si="3"/>
        <v>0.17431825710215443</v>
      </c>
      <c r="I120" s="262">
        <f t="shared" si="5"/>
        <v>83.349092100661338</v>
      </c>
      <c r="J120" s="257" t="str">
        <f t="shared" si="4"/>
        <v>B</v>
      </c>
    </row>
    <row r="121" spans="1:10" ht="14.25">
      <c r="A121" s="263" t="s">
        <v>1979</v>
      </c>
      <c r="B121" s="257" t="str">
        <f>VLOOKUP(A121,'3 - PLAN. ORÇAMENTÁRIA'!$B$16:$E$721,3,FALSE)</f>
        <v>PRÓPRIO</v>
      </c>
      <c r="C121" s="265" t="str">
        <f>VLOOKUP(A121,'3 - PLAN. ORÇAMENTÁRIA'!$B$16:$E$721,2,FALSE)</f>
        <v>DISPOSITIVO DIFERENCIAL RESIDUAL DE 125 A X 30 MA - 4 POLOS REF. 37.17.114/SP OBRAS</v>
      </c>
      <c r="D121" s="257" t="str">
        <f>VLOOKUP(A121,'3 - PLAN. ORÇAMENTÁRIA'!$B$16:$E$721,4,FALSE)</f>
        <v>UN</v>
      </c>
      <c r="E121" s="266">
        <f>SUMIF('3 - PLAN. ORÇAMENTÁRIA'!$C$15:$C$721,C121,'3 - PLAN. ORÇAMENTÁRIA'!$F$15:$F$721)</f>
        <v>4</v>
      </c>
      <c r="F121" s="267">
        <f>VLOOKUP(A121,'3 - PLAN. ORÇAMENTÁRIA'!$B$16:$I$721,8,FALSE)</f>
        <v>2543.15</v>
      </c>
      <c r="G121" s="267">
        <f>ROUND(E121*F121,2)</f>
        <v>10172.6</v>
      </c>
      <c r="H121" s="262">
        <f t="shared" si="3"/>
        <v>0.17364502119041603</v>
      </c>
      <c r="I121" s="262">
        <f t="shared" si="5"/>
        <v>83.522737121851748</v>
      </c>
      <c r="J121" s="257" t="str">
        <f t="shared" si="4"/>
        <v>B</v>
      </c>
    </row>
    <row r="122" spans="1:10" ht="14.25">
      <c r="A122" s="263" t="s">
        <v>2777</v>
      </c>
      <c r="B122" s="257" t="str">
        <f>VLOOKUP(A122,'3 - PLAN. ORÇAMENTÁRIA'!$B$16:$E$721,3,FALSE)</f>
        <v>PRÓPRIO</v>
      </c>
      <c r="C122" s="265" t="str">
        <f>VLOOKUP(A122,'3 - PLAN. ORÇAMENTÁRIA'!$B$16:$E$721,2,FALSE)</f>
        <v>CHAPA XADREX 1/4" REF. S00226/ORSE</v>
      </c>
      <c r="D122" s="257" t="str">
        <f>VLOOKUP(A122,'3 - PLAN. ORÇAMENTÁRIA'!$B$16:$E$721,4,FALSE)</f>
        <v>KG</v>
      </c>
      <c r="E122" s="266">
        <f>SUMIF('3 - PLAN. ORÇAMENTÁRIA'!$C$15:$C$721,C122,'3 - PLAN. ORÇAMENTÁRIA'!$F$15:$F$721)</f>
        <v>878.14</v>
      </c>
      <c r="F122" s="267">
        <f>VLOOKUP(A122,'3 - PLAN. ORÇAMENTÁRIA'!$B$16:$I$721,8,FALSE)</f>
        <v>11.54</v>
      </c>
      <c r="G122" s="267">
        <f>ROUND(E122*F122,2)</f>
        <v>10133.74</v>
      </c>
      <c r="H122" s="262">
        <f t="shared" si="3"/>
        <v>0.17298168580679141</v>
      </c>
      <c r="I122" s="262">
        <f t="shared" si="5"/>
        <v>83.695718807658537</v>
      </c>
      <c r="J122" s="257" t="str">
        <f t="shared" si="4"/>
        <v>B</v>
      </c>
    </row>
    <row r="123" spans="1:10" ht="14.25">
      <c r="A123" s="263" t="s">
        <v>2992</v>
      </c>
      <c r="B123" s="257" t="str">
        <f>VLOOKUP(A123,'3 - PLAN. ORÇAMENTÁRIA'!$B$16:$E$721,3,FALSE)</f>
        <v>PRÓPRIO</v>
      </c>
      <c r="C123" s="265" t="str">
        <f>VLOOKUP(A123,'3 - PLAN. ORÇAMENTÁRIA'!$B$16:$E$721,2,FALSE)</f>
        <v>VIDRO LAMINADO INCOLOR DE 8 MM (PORTAS INTERNAS) REF. 102176/SINAPI</v>
      </c>
      <c r="D123" s="257" t="str">
        <f>VLOOKUP(A123,'3 - PLAN. ORÇAMENTÁRIA'!$B$16:$E$721,4,FALSE)</f>
        <v>M2</v>
      </c>
      <c r="E123" s="266">
        <f>SUMIF('3 - PLAN. ORÇAMENTÁRIA'!$C$15:$C$721,C123,'3 - PLAN. ORÇAMENTÁRIA'!$F$15:$F$721)</f>
        <v>9.61</v>
      </c>
      <c r="F123" s="267">
        <f>VLOOKUP(A123,'3 - PLAN. ORÇAMENTÁRIA'!$B$16:$I$721,8,FALSE)</f>
        <v>1040.78</v>
      </c>
      <c r="G123" s="267">
        <f>ROUND(E123*F123,2)</f>
        <v>10001.9</v>
      </c>
      <c r="H123" s="262">
        <f t="shared" si="3"/>
        <v>0.17073119334726836</v>
      </c>
      <c r="I123" s="262">
        <f t="shared" si="5"/>
        <v>83.866450001005802</v>
      </c>
      <c r="J123" s="257" t="str">
        <f t="shared" si="4"/>
        <v>B</v>
      </c>
    </row>
    <row r="124" spans="1:10" ht="28.5">
      <c r="A124" s="263">
        <v>100324</v>
      </c>
      <c r="B124" s="257" t="str">
        <f>VLOOKUP(A124,'3 - PLAN. ORÇAMENTÁRIA'!$B$16:$E$721,3,FALSE)</f>
        <v>SINAPI</v>
      </c>
      <c r="C124" s="265" t="s">
        <v>290</v>
      </c>
      <c r="D124" s="257" t="str">
        <f>VLOOKUP(A124,'3 - PLAN. ORÇAMENTÁRIA'!$B$16:$E$721,4,FALSE)</f>
        <v>M3</v>
      </c>
      <c r="E124" s="266">
        <f>SUMIF('3 - PLAN. ORÇAMENTÁRIA'!$C$15:$C$721,C124,'3 - PLAN. ORÇAMENTÁRIA'!$F$15:$F$721)</f>
        <v>27.04</v>
      </c>
      <c r="F124" s="267">
        <f>VLOOKUP(A124,'3 - PLAN. ORÇAMENTÁRIA'!$B$16:$I$721,8,FALSE)</f>
        <v>367.13</v>
      </c>
      <c r="G124" s="267">
        <f>ROUND(E124*F124,2)</f>
        <v>9927.2000000000007</v>
      </c>
      <c r="H124" s="262">
        <f t="shared" si="3"/>
        <v>0.16945607360571516</v>
      </c>
      <c r="I124" s="262">
        <f t="shared" si="5"/>
        <v>84.035906074611518</v>
      </c>
      <c r="J124" s="257" t="str">
        <f t="shared" si="4"/>
        <v>B</v>
      </c>
    </row>
    <row r="125" spans="1:10" ht="14.25">
      <c r="A125" s="263" t="s">
        <v>1971</v>
      </c>
      <c r="B125" s="257" t="str">
        <f>VLOOKUP(A125,'3 - PLAN. ORÇAMENTÁRIA'!$B$16:$E$721,3,FALSE)</f>
        <v>PRÓPRIO</v>
      </c>
      <c r="C125" s="265" t="str">
        <f>VLOOKUP(A125,'3 - PLAN. ORÇAMENTÁRIA'!$B$16:$E$721,2,FALSE)</f>
        <v>TAMPA DE ENCAIXE PARA ELETROCALHA, GALVANIZADA A FOGO, L= 300 MM REF. 38.22.660/SP OBRAS</v>
      </c>
      <c r="D125" s="257" t="str">
        <f>VLOOKUP(A125,'3 - PLAN. ORÇAMENTÁRIA'!$B$16:$E$721,4,FALSE)</f>
        <v>M</v>
      </c>
      <c r="E125" s="266">
        <f>SUMIF('3 - PLAN. ORÇAMENTÁRIA'!$C$15:$C$721,C125,'3 - PLAN. ORÇAMENTÁRIA'!$F$15:$F$721)</f>
        <v>71.05</v>
      </c>
      <c r="F125" s="267">
        <f>VLOOKUP(A125,'3 - PLAN. ORÇAMENTÁRIA'!$B$16:$I$721,8,FALSE)</f>
        <v>139.22999999999999</v>
      </c>
      <c r="G125" s="267">
        <f>ROUND(E125*F125,2)</f>
        <v>9892.2900000000009</v>
      </c>
      <c r="H125" s="262">
        <f t="shared" si="3"/>
        <v>0.16886016423252076</v>
      </c>
      <c r="I125" s="262">
        <f t="shared" si="5"/>
        <v>84.204766238844044</v>
      </c>
      <c r="J125" s="257" t="str">
        <f t="shared" si="4"/>
        <v>B</v>
      </c>
    </row>
    <row r="126" spans="1:10" ht="14.25">
      <c r="A126" s="263">
        <v>88489</v>
      </c>
      <c r="B126" s="257" t="str">
        <f>VLOOKUP(A126,'3 - PLAN. ORÇAMENTÁRIA'!$B$16:$E$721,3,FALSE)</f>
        <v>SINAPI</v>
      </c>
      <c r="C126" s="265" t="s">
        <v>2770</v>
      </c>
      <c r="D126" s="257" t="str">
        <f>VLOOKUP(A126,'3 - PLAN. ORÇAMENTÁRIA'!$B$16:$E$721,4,FALSE)</f>
        <v>M2</v>
      </c>
      <c r="E126" s="266">
        <f>SUMIF('3 - PLAN. ORÇAMENTÁRIA'!$C$15:$C$721,C126,'3 - PLAN. ORÇAMENTÁRIA'!$F$15:$F$721)</f>
        <v>581.52</v>
      </c>
      <c r="F126" s="267">
        <f>VLOOKUP(A126,'3 - PLAN. ORÇAMENTÁRIA'!$B$16:$I$721,8,FALSE)</f>
        <v>16.920000000000002</v>
      </c>
      <c r="G126" s="267">
        <f>ROUND(E126*F126,2)</f>
        <v>9839.32</v>
      </c>
      <c r="H126" s="262">
        <f t="shared" si="3"/>
        <v>0.16795597289771386</v>
      </c>
      <c r="I126" s="262">
        <f t="shared" si="5"/>
        <v>84.37272221174176</v>
      </c>
      <c r="J126" s="257" t="str">
        <f t="shared" si="4"/>
        <v>B</v>
      </c>
    </row>
    <row r="127" spans="1:10" ht="28.5">
      <c r="A127" s="263">
        <v>96131</v>
      </c>
      <c r="B127" s="257" t="str">
        <f>VLOOKUP(A127,'3 - PLAN. ORÇAMENTÁRIA'!$B$16:$E$721,3,FALSE)</f>
        <v>SINAPI</v>
      </c>
      <c r="C127" s="264" t="s">
        <v>2149</v>
      </c>
      <c r="D127" s="257" t="str">
        <f>VLOOKUP(A127,'3 - PLAN. ORÇAMENTÁRIA'!$B$16:$E$721,4,FALSE)</f>
        <v>M2</v>
      </c>
      <c r="E127" s="266">
        <f>SUMIF('3 - PLAN. ORÇAMENTÁRIA'!$C$15:$C$721,C127,'3 - PLAN. ORÇAMENTÁRIA'!$F$15:$F$721)</f>
        <v>259.99</v>
      </c>
      <c r="F127" s="267">
        <f>VLOOKUP(A127,'3 - PLAN. ORÇAMENTÁRIA'!$B$16:$I$721,8,FALSE)</f>
        <v>37.54</v>
      </c>
      <c r="G127" s="267">
        <f>ROUND(E127*F127,2)</f>
        <v>9760.02</v>
      </c>
      <c r="H127" s="262">
        <f t="shared" si="3"/>
        <v>0.1666023317262926</v>
      </c>
      <c r="I127" s="262">
        <f t="shared" si="5"/>
        <v>84.539324543468055</v>
      </c>
      <c r="J127" s="257" t="str">
        <f t="shared" si="4"/>
        <v>B</v>
      </c>
    </row>
    <row r="128" spans="1:10" ht="28.5">
      <c r="A128" s="263" t="s">
        <v>2013</v>
      </c>
      <c r="B128" s="257" t="str">
        <f>VLOOKUP(A128,'3 - PLAN. ORÇAMENTÁRIA'!$B$16:$E$721,3,FALSE)</f>
        <v>PRÓPRIO</v>
      </c>
      <c r="C128" s="265" t="str">
        <f>VLOOKUP(A128,'3 - PLAN. ORÇAMENTÁRIA'!$B$16:$E$721,2,FALSE)</f>
        <v>CÂMERA DE VÍDEO DIGITAL, BULLET POE, FULL HD 1080P, COM INFRAVERMELHO E ALCANCE DE 30M, IP67, HIKVISION OU SIMILAR. EXCLUSIVE PONTO DE LÓGICA E PONTO DE ENERGIA REF. 97603/SINAPI</v>
      </c>
      <c r="D128" s="257" t="str">
        <f>VLOOKUP(A128,'3 - PLAN. ORÇAMENTÁRIA'!$B$16:$E$721,4,FALSE)</f>
        <v>UN</v>
      </c>
      <c r="E128" s="266">
        <f>SUMIF('3 - PLAN. ORÇAMENTÁRIA'!$C$15:$C$721,C128,'3 - PLAN. ORÇAMENTÁRIA'!$F$15:$F$721)</f>
        <v>25</v>
      </c>
      <c r="F128" s="267">
        <f>VLOOKUP(A128,'3 - PLAN. ORÇAMENTÁRIA'!$B$16:$I$721,8,FALSE)</f>
        <v>379.18</v>
      </c>
      <c r="G128" s="267">
        <f>ROUND(E128*F128,2)</f>
        <v>9479.5</v>
      </c>
      <c r="H128" s="262">
        <f t="shared" si="3"/>
        <v>0.16181389009442509</v>
      </c>
      <c r="I128" s="262">
        <f t="shared" si="5"/>
        <v>84.701138433562477</v>
      </c>
      <c r="J128" s="257" t="str">
        <f t="shared" si="4"/>
        <v>B</v>
      </c>
    </row>
    <row r="129" spans="1:10" ht="42.75">
      <c r="A129" s="263" t="s">
        <v>2764</v>
      </c>
      <c r="B129" s="257" t="str">
        <f>VLOOKUP(A129,'3 - PLAN. ORÇAMENTÁRIA'!$B$16:$E$721,3,FALSE)</f>
        <v>PRÓPRIO</v>
      </c>
      <c r="C129" s="265" t="str">
        <f>VLOOKUP(A129,'3 - PLAN. ORÇAMENTÁRIA'!$B$16:$E$721,2,FALSE)</f>
        <v>REVESTIMENTO EM PORCELANATO TÉCNICO NATURAL/ACETINADO PARA ÁREA INTERNA E AMBIENTE DE MÉDIO TRÁFEGO MENOR QUE 5 M², GRUPO DE ABSORÇÃO BIA, COEFICIENTE DE ATRITO I, ASSENTADO COM ARGAMASSA COLANTE INDUSTRIALIZADA, REJUNTADO REF. 87261/SINAPI</v>
      </c>
      <c r="D129" s="257" t="str">
        <f>VLOOKUP(A129,'3 - PLAN. ORÇAMENTÁRIA'!$B$16:$E$721,4,FALSE)</f>
        <v>M2</v>
      </c>
      <c r="E129" s="266">
        <f>SUMIF('3 - PLAN. ORÇAMENTÁRIA'!$C$15:$C$721,C129,'3 - PLAN. ORÇAMENTÁRIA'!$F$15:$F$721)</f>
        <v>38.25</v>
      </c>
      <c r="F129" s="267">
        <f>VLOOKUP(A129,'3 - PLAN. ORÇAMENTÁRIA'!$B$16:$I$721,8,FALSE)</f>
        <v>245.42</v>
      </c>
      <c r="G129" s="267">
        <f>ROUND(E129*F129,2)</f>
        <v>9387.32</v>
      </c>
      <c r="H129" s="262">
        <f t="shared" si="3"/>
        <v>0.16024038891937323</v>
      </c>
      <c r="I129" s="262">
        <f t="shared" si="5"/>
        <v>84.861378822481853</v>
      </c>
      <c r="J129" s="257" t="str">
        <f t="shared" si="4"/>
        <v>B</v>
      </c>
    </row>
    <row r="130" spans="1:10" ht="28.5">
      <c r="A130" s="263">
        <v>97083</v>
      </c>
      <c r="B130" s="257" t="str">
        <f>VLOOKUP(A130,'3 - PLAN. ORÇAMENTÁRIA'!$B$16:$E$721,3,FALSE)</f>
        <v>SINAPI</v>
      </c>
      <c r="C130" s="264" t="s">
        <v>1071</v>
      </c>
      <c r="D130" s="257" t="str">
        <f>VLOOKUP(A130,'3 - PLAN. ORÇAMENTÁRIA'!$B$16:$E$721,4,FALSE)</f>
        <v>M2</v>
      </c>
      <c r="E130" s="266">
        <f>SUMIF('3 - PLAN. ORÇAMENTÁRIA'!$C$15:$C$721,C130,'3 - PLAN. ORÇAMENTÁRIA'!$F$15:$F$721)</f>
        <v>2062.36</v>
      </c>
      <c r="F130" s="267">
        <f>VLOOKUP(A130,'3 - PLAN. ORÇAMENTÁRIA'!$B$16:$I$721,8,FALSE)</f>
        <v>4.5199999999999996</v>
      </c>
      <c r="G130" s="267">
        <f>ROUND(E130*F130,2)</f>
        <v>9321.8700000000008</v>
      </c>
      <c r="H130" s="262">
        <f t="shared" si="3"/>
        <v>0.15912316553135911</v>
      </c>
      <c r="I130" s="262">
        <f t="shared" si="5"/>
        <v>85.020501988013208</v>
      </c>
      <c r="J130" s="257" t="str">
        <f t="shared" si="4"/>
        <v>B</v>
      </c>
    </row>
    <row r="131" spans="1:10" ht="42.75">
      <c r="A131" s="263">
        <v>97330</v>
      </c>
      <c r="B131" s="257" t="str">
        <f>VLOOKUP(A131,'3 - PLAN. ORÇAMENTÁRIA'!$B$16:$E$721,3,FALSE)</f>
        <v>SINAPI</v>
      </c>
      <c r="C131" s="264" t="s">
        <v>2255</v>
      </c>
      <c r="D131" s="257" t="str">
        <f>VLOOKUP(A131,'3 - PLAN. ORÇAMENTÁRIA'!$B$16:$E$721,4,FALSE)</f>
        <v>M</v>
      </c>
      <c r="E131" s="266">
        <f>SUMIF('3 - PLAN. ORÇAMENTÁRIA'!$C$15:$C$721,C131,'3 - PLAN. ORÇAMENTÁRIA'!$F$15:$F$721)</f>
        <v>73.44</v>
      </c>
      <c r="F131" s="267">
        <f>VLOOKUP(A131,'3 - PLAN. ORÇAMENTÁRIA'!$B$16:$I$721,8,FALSE)</f>
        <v>125.71</v>
      </c>
      <c r="G131" s="267">
        <f>ROUND(E131*F131,2)</f>
        <v>9232.14</v>
      </c>
      <c r="H131" s="262">
        <f t="shared" si="3"/>
        <v>0.15759148555264998</v>
      </c>
      <c r="I131" s="262">
        <f t="shared" si="5"/>
        <v>85.178093473565852</v>
      </c>
      <c r="J131" s="257" t="str">
        <f t="shared" si="4"/>
        <v>B</v>
      </c>
    </row>
    <row r="132" spans="1:10" ht="28.5">
      <c r="A132" s="263" t="s">
        <v>2878</v>
      </c>
      <c r="B132" s="257" t="str">
        <f>VLOOKUP(A132,'3 - PLAN. ORÇAMENTÁRIA'!$B$16:$E$721,3,FALSE)</f>
        <v>PRÓPRIO</v>
      </c>
      <c r="C132" s="265" t="str">
        <f>VLOOKUP(A132,'3 - PLAN. ORÇAMENTÁRIA'!$B$16:$E$721,2,FALSE)</f>
        <v>TELA DE ACO SOLDADA GALVANIZADA/ZINCADA PARA ALVENARIA, FIO D = *1,24 MM, MALHA 25 X 25 MM (LIGAÇÃO ENTRE ALVENARIA E PILAR METÁLICO) REF. 32.20.060/SP OBRAS</v>
      </c>
      <c r="D132" s="257" t="str">
        <f>VLOOKUP(A132,'3 - PLAN. ORÇAMENTÁRIA'!$B$16:$E$721,4,FALSE)</f>
        <v>M2</v>
      </c>
      <c r="E132" s="266">
        <f>SUMIF('3 - PLAN. ORÇAMENTÁRIA'!$C$15:$C$721,C132,'3 - PLAN. ORÇAMENTÁRIA'!$F$15:$F$721)</f>
        <v>308</v>
      </c>
      <c r="F132" s="267">
        <f>VLOOKUP(A132,'3 - PLAN. ORÇAMENTÁRIA'!$B$16:$I$721,8,FALSE)</f>
        <v>29.91</v>
      </c>
      <c r="G132" s="267">
        <f>ROUND(E132*F132,2)</f>
        <v>9212.2800000000007</v>
      </c>
      <c r="H132" s="262">
        <f t="shared" si="3"/>
        <v>0.15725247781413265</v>
      </c>
      <c r="I132" s="262">
        <f t="shared" si="5"/>
        <v>85.335345951379978</v>
      </c>
      <c r="J132" s="257" t="str">
        <f t="shared" si="4"/>
        <v>B</v>
      </c>
    </row>
    <row r="133" spans="1:10" ht="14.25">
      <c r="A133" s="263">
        <v>96616</v>
      </c>
      <c r="B133" s="257" t="str">
        <f>VLOOKUP(A133,'3 - PLAN. ORÇAMENTÁRIA'!$B$16:$E$721,3,FALSE)</f>
        <v>SINAPI</v>
      </c>
      <c r="C133" s="264" t="s">
        <v>213</v>
      </c>
      <c r="D133" s="257" t="str">
        <f>VLOOKUP(A133,'3 - PLAN. ORÇAMENTÁRIA'!$B$16:$E$721,4,FALSE)</f>
        <v>M3</v>
      </c>
      <c r="E133" s="266">
        <f>SUMIF('3 - PLAN. ORÇAMENTÁRIA'!$C$15:$C$721,C133,'3 - PLAN. ORÇAMENTÁRIA'!$F$15:$F$721)</f>
        <v>8.6000000000000014</v>
      </c>
      <c r="F133" s="267">
        <f>VLOOKUP(A133,'3 - PLAN. ORÇAMENTÁRIA'!$B$16:$I$721,8,FALSE)</f>
        <v>1052.76</v>
      </c>
      <c r="G133" s="267">
        <f>ROUND(E133*F133,2)</f>
        <v>9053.74</v>
      </c>
      <c r="H133" s="262">
        <f t="shared" si="3"/>
        <v>0.1545462196638536</v>
      </c>
      <c r="I133" s="262">
        <f t="shared" si="5"/>
        <v>85.489892171043834</v>
      </c>
      <c r="J133" s="257" t="str">
        <f t="shared" si="4"/>
        <v>B</v>
      </c>
    </row>
    <row r="134" spans="1:10" ht="28.5">
      <c r="A134" s="263" t="s">
        <v>3507</v>
      </c>
      <c r="B134" s="257" t="str">
        <f>VLOOKUP(A134,'3 - PLAN. ORÇAMENTÁRIA'!$B$16:$E$721,3,FALSE)</f>
        <v>PRÓPRIO</v>
      </c>
      <c r="C134" s="265" t="str">
        <f>VLOOKUP(A134,'3 - PLAN. ORÇAMENTÁRIA'!$B$16:$E$721,2,FALSE)</f>
        <v>IMPERMEABILIZAÇÃO DE SUPERFÍCIE COM ARGAMASSA POLIMÉRICA / MEMBRANA ACRÍLICA, 3 DEMÃOS. AF_09/2023 REF. 98555/SINAPI</v>
      </c>
      <c r="D134" s="257" t="str">
        <f>VLOOKUP(A134,'3 - PLAN. ORÇAMENTÁRIA'!$B$16:$E$721,4,FALSE)</f>
        <v>M2</v>
      </c>
      <c r="E134" s="266">
        <f>SUMIF('3 - PLAN. ORÇAMENTÁRIA'!$C$15:$C$721,C134,'3 - PLAN. ORÇAMENTÁRIA'!$F$15:$F$721)</f>
        <v>180.28</v>
      </c>
      <c r="F134" s="267">
        <f>VLOOKUP(A134,'3 - PLAN. ORÇAMENTÁRIA'!$B$16:$I$721,8,FALSE)</f>
        <v>49.89</v>
      </c>
      <c r="G134" s="267">
        <f>ROUND(E134*F134,2)</f>
        <v>8994.17</v>
      </c>
      <c r="H134" s="262">
        <f t="shared" si="3"/>
        <v>0.15352936714706211</v>
      </c>
      <c r="I134" s="262">
        <f t="shared" si="5"/>
        <v>85.643421538190893</v>
      </c>
      <c r="J134" s="257" t="str">
        <f t="shared" si="4"/>
        <v>B</v>
      </c>
    </row>
    <row r="135" spans="1:10" ht="14.25">
      <c r="A135" s="263" t="s">
        <v>3262</v>
      </c>
      <c r="B135" s="257" t="str">
        <f>VLOOKUP(A135,'3 - PLAN. ORÇAMENTÁRIA'!$B$16:$E$721,3,FALSE)</f>
        <v>PRÓPRIO</v>
      </c>
      <c r="C135" s="265" t="str">
        <f>VLOOKUP(A135,'3 - PLAN. ORÇAMENTÁRIA'!$B$16:$E$721,2,FALSE)</f>
        <v>LUMINÁRIA TIPO SPOT LED PARA PISO 20W REF. 105546/SINAPI</v>
      </c>
      <c r="D135" s="257" t="str">
        <f>VLOOKUP(A135,'3 - PLAN. ORÇAMENTÁRIA'!$B$16:$E$721,4,FALSE)</f>
        <v>UN</v>
      </c>
      <c r="E135" s="266">
        <f>SUMIF('3 - PLAN. ORÇAMENTÁRIA'!$C$15:$C$721,C135,'3 - PLAN. ORÇAMENTÁRIA'!$F$15:$F$721)</f>
        <v>24</v>
      </c>
      <c r="F135" s="267">
        <f>VLOOKUP(A135,'3 - PLAN. ORÇAMENTÁRIA'!$B$16:$I$721,8,FALSE)</f>
        <v>366.8</v>
      </c>
      <c r="G135" s="267">
        <f>ROUND(E135*F135,2)</f>
        <v>8803.2000000000007</v>
      </c>
      <c r="H135" s="262">
        <f t="shared" si="3"/>
        <v>0.1502695329162132</v>
      </c>
      <c r="I135" s="262">
        <f t="shared" si="5"/>
        <v>85.793691071107105</v>
      </c>
      <c r="J135" s="257" t="str">
        <f t="shared" si="4"/>
        <v>B</v>
      </c>
    </row>
    <row r="136" spans="1:10" ht="28.5">
      <c r="A136" s="263">
        <v>104958</v>
      </c>
      <c r="B136" s="257" t="str">
        <f>VLOOKUP(A136,'3 - PLAN. ORÇAMENTÁRIA'!$B$16:$E$721,3,FALSE)</f>
        <v>SINAPI</v>
      </c>
      <c r="C136" s="264" t="s">
        <v>3975</v>
      </c>
      <c r="D136" s="257" t="str">
        <f>VLOOKUP(A136,'3 - PLAN. ORÇAMENTÁRIA'!$B$16:$E$721,4,FALSE)</f>
        <v>M2</v>
      </c>
      <c r="E136" s="266">
        <f>SUMIF('3 - PLAN. ORÇAMENTÁRIA'!$C$15:$C$721,C136,'3 - PLAN. ORÇAMENTÁRIA'!$F$15:$F$721)</f>
        <v>282.56</v>
      </c>
      <c r="F136" s="267">
        <f>VLOOKUP(A136,'3 - PLAN. ORÇAMENTÁRIA'!$B$16:$I$721,8,FALSE)</f>
        <v>30.57</v>
      </c>
      <c r="G136" s="267">
        <f>ROUND(E136*F136,2)</f>
        <v>8637.86</v>
      </c>
      <c r="H136" s="262">
        <f t="shared" si="3"/>
        <v>0.14744719960873787</v>
      </c>
      <c r="I136" s="262">
        <f t="shared" si="5"/>
        <v>85.94113827071584</v>
      </c>
      <c r="J136" s="257" t="str">
        <f t="shared" si="4"/>
        <v>B</v>
      </c>
    </row>
    <row r="137" spans="1:10" ht="28.5">
      <c r="A137" s="263">
        <v>100983</v>
      </c>
      <c r="B137" s="257" t="str">
        <f>VLOOKUP(A137,'3 - PLAN. ORÇAMENTÁRIA'!$B$16:$E$721,3,FALSE)</f>
        <v>SINAPI</v>
      </c>
      <c r="C137" s="264" t="s">
        <v>184</v>
      </c>
      <c r="D137" s="257" t="str">
        <f>VLOOKUP(A137,'3 - PLAN. ORÇAMENTÁRIA'!$B$16:$E$721,4,FALSE)</f>
        <v>M3</v>
      </c>
      <c r="E137" s="266">
        <f>SUMIF('3 - PLAN. ORÇAMENTÁRIA'!$C$15:$C$721,C137,'3 - PLAN. ORÇAMENTÁRIA'!$F$15:$F$721)</f>
        <v>770.49</v>
      </c>
      <c r="F137" s="267">
        <f>VLOOKUP(A137,'3 - PLAN. ORÇAMENTÁRIA'!$B$16:$I$721,8,FALSE)</f>
        <v>11.2</v>
      </c>
      <c r="G137" s="267">
        <f>ROUND(E137*F137,2)</f>
        <v>8629.49</v>
      </c>
      <c r="H137" s="262">
        <f t="shared" ref="H137:H200" si="6">(G137*100)/SUM($G$8:$G$519)</f>
        <v>0.14730432474613012</v>
      </c>
      <c r="I137" s="262">
        <f t="shared" si="5"/>
        <v>86.08844259546197</v>
      </c>
      <c r="J137" s="257" t="str">
        <f t="shared" ref="J137:J200" si="7">IF(I137&lt;80,"A",IF(I137&lt;95,"B","C"))</f>
        <v>B</v>
      </c>
    </row>
    <row r="138" spans="1:10" ht="14.25">
      <c r="A138" s="263" t="s">
        <v>1973</v>
      </c>
      <c r="B138" s="257" t="str">
        <f>VLOOKUP(A138,'3 - PLAN. ORÇAMENTÁRIA'!$B$16:$E$721,3,FALSE)</f>
        <v>PRÓPRIO</v>
      </c>
      <c r="C138" s="265" t="str">
        <f>VLOOKUP(A138,'3 - PLAN. ORÇAMENTÁRIA'!$B$16:$E$721,2,FALSE)</f>
        <v>ELETRODUTO GALVANIZADO A QUENTE CONFORME NBR5598 - 1´ COM ACESSÓRIOS REF. 104407/SINAPI</v>
      </c>
      <c r="D138" s="257" t="str">
        <f>VLOOKUP(A138,'3 - PLAN. ORÇAMENTÁRIA'!$B$16:$E$721,4,FALSE)</f>
        <v>M</v>
      </c>
      <c r="E138" s="266">
        <f>SUMIF('3 - PLAN. ORÇAMENTÁRIA'!$C$15:$C$721,C138,'3 - PLAN. ORÇAMENTÁRIA'!$F$15:$F$721)</f>
        <v>140.35000000000002</v>
      </c>
      <c r="F138" s="267">
        <f>VLOOKUP(A138,'3 - PLAN. ORÇAMENTÁRIA'!$B$16:$I$721,8,FALSE)</f>
        <v>60.87</v>
      </c>
      <c r="G138" s="267">
        <f>ROUND(E138*F138,2)</f>
        <v>8543.1</v>
      </c>
      <c r="H138" s="262">
        <f t="shared" si="6"/>
        <v>0.14582965815345567</v>
      </c>
      <c r="I138" s="262">
        <f t="shared" ref="I138:I201" si="8">H138+I137</f>
        <v>86.23427225361543</v>
      </c>
      <c r="J138" s="257" t="str">
        <f t="shared" si="7"/>
        <v>B</v>
      </c>
    </row>
    <row r="139" spans="1:10" ht="14.25">
      <c r="A139" s="263">
        <v>93358</v>
      </c>
      <c r="B139" s="257" t="str">
        <f>VLOOKUP(A139,'3 - PLAN. ORÇAMENTÁRIA'!$B$16:$E$721,3,FALSE)</f>
        <v>SINAPI</v>
      </c>
      <c r="C139" s="265" t="s">
        <v>2724</v>
      </c>
      <c r="D139" s="257" t="str">
        <f>VLOOKUP(A139,'3 - PLAN. ORÇAMENTÁRIA'!$B$16:$E$721,4,FALSE)</f>
        <v>M3</v>
      </c>
      <c r="E139" s="266">
        <f>SUMIF('3 - PLAN. ORÇAMENTÁRIA'!$C$15:$C$721,C139,'3 - PLAN. ORÇAMENTÁRIA'!$F$15:$F$721)</f>
        <v>73.569999999999993</v>
      </c>
      <c r="F139" s="267">
        <f>VLOOKUP(A139,'3 - PLAN. ORÇAMENTÁRIA'!$B$16:$I$721,8,FALSE)</f>
        <v>114.82</v>
      </c>
      <c r="G139" s="267">
        <f>ROUND(E139*F139,2)</f>
        <v>8447.31</v>
      </c>
      <c r="H139" s="262">
        <f t="shared" si="6"/>
        <v>0.14419453472583343</v>
      </c>
      <c r="I139" s="262">
        <f t="shared" si="8"/>
        <v>86.378466788341257</v>
      </c>
      <c r="J139" s="257" t="str">
        <f t="shared" si="7"/>
        <v>B</v>
      </c>
    </row>
    <row r="140" spans="1:10" ht="14.25">
      <c r="A140" s="263">
        <v>90447</v>
      </c>
      <c r="B140" s="257" t="str">
        <f>VLOOKUP(A140,'3 - PLAN. ORÇAMENTÁRIA'!$B$16:$E$721,3,FALSE)</f>
        <v>SINAPI</v>
      </c>
      <c r="C140" s="264" t="s">
        <v>2915</v>
      </c>
      <c r="D140" s="257" t="str">
        <f>VLOOKUP(A140,'3 - PLAN. ORÇAMENTÁRIA'!$B$16:$E$721,4,FALSE)</f>
        <v>M</v>
      </c>
      <c r="E140" s="266">
        <f>SUMIF('3 - PLAN. ORÇAMENTÁRIA'!$C$15:$C$721,C140,'3 - PLAN. ORÇAMENTÁRIA'!$F$15:$F$721)</f>
        <v>745.89</v>
      </c>
      <c r="F140" s="267">
        <f>VLOOKUP(A140,'3 - PLAN. ORÇAMENTÁRIA'!$B$16:$I$721,8,FALSE)</f>
        <v>11.11</v>
      </c>
      <c r="G140" s="267">
        <f>ROUND(E140*F140,2)</f>
        <v>8286.84</v>
      </c>
      <c r="H140" s="262">
        <f t="shared" si="6"/>
        <v>0.14145533171476191</v>
      </c>
      <c r="I140" s="262">
        <f t="shared" si="8"/>
        <v>86.519922120056023</v>
      </c>
      <c r="J140" s="257" t="str">
        <f t="shared" si="7"/>
        <v>B</v>
      </c>
    </row>
    <row r="141" spans="1:10" ht="14.25">
      <c r="A141" s="263">
        <v>96543</v>
      </c>
      <c r="B141" s="257" t="str">
        <f>VLOOKUP(A141,'3 - PLAN. ORÇAMENTÁRIA'!$B$16:$E$721,3,FALSE)</f>
        <v>SINAPI</v>
      </c>
      <c r="C141" s="264" t="s">
        <v>242</v>
      </c>
      <c r="D141" s="257" t="str">
        <f>VLOOKUP(A141,'3 - PLAN. ORÇAMENTÁRIA'!$B$16:$E$721,4,FALSE)</f>
        <v>KG</v>
      </c>
      <c r="E141" s="266">
        <f>SUMIF('3 - PLAN. ORÇAMENTÁRIA'!$C$15:$C$721,C141,'3 - PLAN. ORÇAMENTÁRIA'!$F$15:$F$721)</f>
        <v>310</v>
      </c>
      <c r="F141" s="267">
        <f>VLOOKUP(A141,'3 - PLAN. ORÇAMENTÁRIA'!$B$16:$I$721,8,FALSE)</f>
        <v>26.65</v>
      </c>
      <c r="G141" s="267">
        <f>ROUND(E141*F141,2)</f>
        <v>8261.5</v>
      </c>
      <c r="H141" s="262">
        <f t="shared" si="6"/>
        <v>0.14102278105544522</v>
      </c>
      <c r="I141" s="262">
        <f t="shared" si="8"/>
        <v>86.660944901111463</v>
      </c>
      <c r="J141" s="257" t="str">
        <f t="shared" si="7"/>
        <v>B</v>
      </c>
    </row>
    <row r="142" spans="1:10" ht="14.25">
      <c r="A142" s="263">
        <v>96543</v>
      </c>
      <c r="B142" s="257" t="str">
        <f>VLOOKUP(A142,'3 - PLAN. ORÇAMENTÁRIA'!$B$16:$E$721,3,FALSE)</f>
        <v>SINAPI</v>
      </c>
      <c r="C142" s="264" t="s">
        <v>911</v>
      </c>
      <c r="D142" s="257" t="str">
        <f>VLOOKUP(A142,'3 - PLAN. ORÇAMENTÁRIA'!$B$16:$E$721,4,FALSE)</f>
        <v>KG</v>
      </c>
      <c r="E142" s="266">
        <f>SUMIF('3 - PLAN. ORÇAMENTÁRIA'!$C$15:$C$721,C142,'3 - PLAN. ORÇAMENTÁRIA'!$F$15:$F$721)</f>
        <v>309.93</v>
      </c>
      <c r="F142" s="267">
        <f>VLOOKUP(A142,'3 - PLAN. ORÇAMENTÁRIA'!$B$16:$I$721,8,FALSE)</f>
        <v>26.65</v>
      </c>
      <c r="G142" s="267">
        <f>ROUND(E142*F142,2)</f>
        <v>8259.6299999999992</v>
      </c>
      <c r="H142" s="262">
        <f t="shared" si="6"/>
        <v>0.1409908603872162</v>
      </c>
      <c r="I142" s="262">
        <f t="shared" si="8"/>
        <v>86.801935761498683</v>
      </c>
      <c r="J142" s="257" t="str">
        <f t="shared" si="7"/>
        <v>B</v>
      </c>
    </row>
    <row r="143" spans="1:10" ht="28.5">
      <c r="A143" s="263">
        <v>98546</v>
      </c>
      <c r="B143" s="257" t="str">
        <f>VLOOKUP(A143,'3 - PLAN. ORÇAMENTÁRIA'!$B$16:$E$721,3,FALSE)</f>
        <v>SINAPI</v>
      </c>
      <c r="C143" s="264" t="s">
        <v>1055</v>
      </c>
      <c r="D143" s="257" t="str">
        <f>VLOOKUP(A143,'3 - PLAN. ORÇAMENTÁRIA'!$B$16:$E$721,4,FALSE)</f>
        <v>M2</v>
      </c>
      <c r="E143" s="266">
        <f>SUMIF('3 - PLAN. ORÇAMENTÁRIA'!$C$15:$C$721,C143,'3 - PLAN. ORÇAMENTÁRIA'!$F$15:$F$721)</f>
        <v>55.87</v>
      </c>
      <c r="F143" s="267">
        <f>VLOOKUP(A143,'3 - PLAN. ORÇAMENTÁRIA'!$B$16:$I$721,8,FALSE)</f>
        <v>146.34</v>
      </c>
      <c r="G143" s="267">
        <f>ROUND(E143*F143,2)</f>
        <v>8176.02</v>
      </c>
      <c r="H143" s="262">
        <f t="shared" si="6"/>
        <v>0.13956364804998381</v>
      </c>
      <c r="I143" s="262">
        <f t="shared" si="8"/>
        <v>86.941499409548669</v>
      </c>
      <c r="J143" s="257" t="str">
        <f t="shared" si="7"/>
        <v>B</v>
      </c>
    </row>
    <row r="144" spans="1:10" ht="42.75">
      <c r="A144" s="263" t="s">
        <v>1909</v>
      </c>
      <c r="B144" s="257" t="str">
        <f>VLOOKUP(A144,'3 - PLAN. ORÇAMENTÁRIA'!$B$16:$E$721,3,FALSE)</f>
        <v>PRÓPRIO</v>
      </c>
      <c r="C144" s="265" t="str">
        <f>VLOOKUP(A144,'3 - PLAN. ORÇAMENTÁRIA'!$B$16:$E$721,2,FALSE)</f>
        <v>RODAPÉ EM PORCELANATO TÉCNICO NATURAL/ACETINADO PARA ÁREA INTERNA E AMBIENTE DE MÉDIO TRÁFEGO, GRUPO DE ABSORÇÃO BIA, ASSENTADO COM ARGAMASSA COLANTE INDUSTRIALIZADA, REJUNTADO REF. 18.08.180/SP OBRAS</v>
      </c>
      <c r="D144" s="257" t="str">
        <f>VLOOKUP(A144,'3 - PLAN. ORÇAMENTÁRIA'!$B$16:$E$721,4,FALSE)</f>
        <v>M</v>
      </c>
      <c r="E144" s="266">
        <f>SUMIF('3 - PLAN. ORÇAMENTÁRIA'!$C$15:$C$721,C144,'3 - PLAN. ORÇAMENTÁRIA'!$F$15:$F$721)</f>
        <v>161.24</v>
      </c>
      <c r="F144" s="267">
        <f>VLOOKUP(A144,'3 - PLAN. ORÇAMENTÁRIA'!$B$16:$I$721,8,FALSE)</f>
        <v>50.52</v>
      </c>
      <c r="G144" s="267">
        <f>ROUND(E144*F144,2)</f>
        <v>8145.84</v>
      </c>
      <c r="H144" s="262">
        <f t="shared" si="6"/>
        <v>0.13904847919054503</v>
      </c>
      <c r="I144" s="262">
        <f t="shared" si="8"/>
        <v>87.080547888739218</v>
      </c>
      <c r="J144" s="257" t="str">
        <f t="shared" si="7"/>
        <v>B</v>
      </c>
    </row>
    <row r="145" spans="1:10" ht="28.5">
      <c r="A145" s="263">
        <v>90698</v>
      </c>
      <c r="B145" s="257" t="str">
        <f>VLOOKUP(A145,'3 - PLAN. ORÇAMENTÁRIA'!$B$16:$E$721,3,FALSE)</f>
        <v>SINAPI</v>
      </c>
      <c r="C145" s="264" t="s">
        <v>2968</v>
      </c>
      <c r="D145" s="257" t="str">
        <f>VLOOKUP(A145,'3 - PLAN. ORÇAMENTÁRIA'!$B$16:$E$721,4,FALSE)</f>
        <v>M</v>
      </c>
      <c r="E145" s="266">
        <f>SUMIF('3 - PLAN. ORÇAMENTÁRIA'!$C$15:$C$721,C145,'3 - PLAN. ORÇAMENTÁRIA'!$F$15:$F$721)</f>
        <v>18.04</v>
      </c>
      <c r="F145" s="267">
        <f>VLOOKUP(A145,'3 - PLAN. ORÇAMENTÁRIA'!$B$16:$I$721,8,FALSE)</f>
        <v>448.36</v>
      </c>
      <c r="G145" s="267">
        <f>ROUND(E145*F145,2)</f>
        <v>8088.41</v>
      </c>
      <c r="H145" s="262">
        <f t="shared" si="6"/>
        <v>0.13806815620851826</v>
      </c>
      <c r="I145" s="262">
        <f t="shared" si="8"/>
        <v>87.218616044947737</v>
      </c>
      <c r="J145" s="257" t="str">
        <f t="shared" si="7"/>
        <v>B</v>
      </c>
    </row>
    <row r="146" spans="1:10" ht="28.5">
      <c r="A146" s="263">
        <v>96132</v>
      </c>
      <c r="B146" s="257" t="str">
        <f>VLOOKUP(A146,'3 - PLAN. ORÇAMENTÁRIA'!$B$16:$E$721,3,FALSE)</f>
        <v>SINAPI</v>
      </c>
      <c r="C146" s="264" t="s">
        <v>3982</v>
      </c>
      <c r="D146" s="257" t="str">
        <f>VLOOKUP(A146,'3 - PLAN. ORÇAMENTÁRIA'!$B$16:$E$721,4,FALSE)</f>
        <v>M2</v>
      </c>
      <c r="E146" s="266">
        <f>SUMIF('3 - PLAN. ORÇAMENTÁRIA'!$C$15:$C$721,C146,'3 - PLAN. ORÇAMENTÁRIA'!$F$15:$F$721)</f>
        <v>321.52999999999997</v>
      </c>
      <c r="F146" s="267">
        <f>VLOOKUP(A146,'3 - PLAN. ORÇAMENTÁRIA'!$B$16:$I$721,8,FALSE)</f>
        <v>24.78</v>
      </c>
      <c r="G146" s="267">
        <f>ROUND(E146*F146,2)</f>
        <v>7967.51</v>
      </c>
      <c r="H146" s="262">
        <f t="shared" si="6"/>
        <v>0.13600440819307272</v>
      </c>
      <c r="I146" s="262">
        <f t="shared" si="8"/>
        <v>87.354620453140811</v>
      </c>
      <c r="J146" s="257" t="str">
        <f t="shared" si="7"/>
        <v>B</v>
      </c>
    </row>
    <row r="147" spans="1:10" ht="28.5">
      <c r="A147" s="263">
        <v>92008</v>
      </c>
      <c r="B147" s="257" t="str">
        <f>VLOOKUP(A147,'3 - PLAN. ORÇAMENTÁRIA'!$B$16:$E$721,3,FALSE)</f>
        <v>SINAPI</v>
      </c>
      <c r="C147" s="264" t="s">
        <v>549</v>
      </c>
      <c r="D147" s="257" t="str">
        <f>VLOOKUP(A147,'3 - PLAN. ORÇAMENTÁRIA'!$B$16:$E$721,4,FALSE)</f>
        <v>UN</v>
      </c>
      <c r="E147" s="266">
        <f>SUMIF('3 - PLAN. ORÇAMENTÁRIA'!$C$15:$C$721,C147,'3 - PLAN. ORÇAMENTÁRIA'!$F$15:$F$721)</f>
        <v>112</v>
      </c>
      <c r="F147" s="267">
        <f>VLOOKUP(A147,'3 - PLAN. ORÇAMENTÁRIA'!$B$16:$I$721,8,FALSE)</f>
        <v>71.040000000000006</v>
      </c>
      <c r="G147" s="267">
        <f>ROUND(E147*F147,2)</f>
        <v>7956.48</v>
      </c>
      <c r="H147" s="262">
        <f t="shared" si="6"/>
        <v>0.13581612746014993</v>
      </c>
      <c r="I147" s="262">
        <f t="shared" si="8"/>
        <v>87.490436580600957</v>
      </c>
      <c r="J147" s="257" t="str">
        <f t="shared" si="7"/>
        <v>B</v>
      </c>
    </row>
    <row r="148" spans="1:10" ht="14.25">
      <c r="A148" s="263">
        <v>98520</v>
      </c>
      <c r="B148" s="257" t="str">
        <f>VLOOKUP(A148,'3 - PLAN. ORÇAMENTÁRIA'!$B$16:$E$721,3,FALSE)</f>
        <v>SINAPI</v>
      </c>
      <c r="C148" s="264" t="s">
        <v>1175</v>
      </c>
      <c r="D148" s="257" t="str">
        <f>VLOOKUP(A148,'3 - PLAN. ORÇAMENTÁRIA'!$B$16:$E$721,4,FALSE)</f>
        <v>M2</v>
      </c>
      <c r="E148" s="266">
        <f>SUMIF('3 - PLAN. ORÇAMENTÁRIA'!$C$15:$C$721,C148,'3 - PLAN. ORÇAMENTÁRIA'!$F$15:$F$721)</f>
        <v>1192.93</v>
      </c>
      <c r="F148" s="267">
        <f>VLOOKUP(A148,'3 - PLAN. ORÇAMENTÁRIA'!$B$16:$I$721,8,FALSE)</f>
        <v>6.6</v>
      </c>
      <c r="G148" s="267">
        <f>ROUND(E148*F148,2)</f>
        <v>7873.34</v>
      </c>
      <c r="H148" s="262">
        <f t="shared" si="6"/>
        <v>0.1343969379646649</v>
      </c>
      <c r="I148" s="262">
        <f t="shared" si="8"/>
        <v>87.624833518565623</v>
      </c>
      <c r="J148" s="257" t="str">
        <f t="shared" si="7"/>
        <v>B</v>
      </c>
    </row>
    <row r="149" spans="1:10" ht="28.5">
      <c r="A149" s="263">
        <v>105034</v>
      </c>
      <c r="B149" s="257" t="str">
        <f>VLOOKUP(A149,'3 - PLAN. ORÇAMENTÁRIA'!$B$16:$E$721,3,FALSE)</f>
        <v>SINAPI</v>
      </c>
      <c r="C149" s="264" t="s">
        <v>2907</v>
      </c>
      <c r="D149" s="257" t="str">
        <f>VLOOKUP(A149,'3 - PLAN. ORÇAMENTÁRIA'!$B$16:$E$721,4,FALSE)</f>
        <v>M</v>
      </c>
      <c r="E149" s="266">
        <f>SUMIF('3 - PLAN. ORÇAMENTÁRIA'!$C$15:$C$721,C149,'3 - PLAN. ORÇAMENTÁRIA'!$F$15:$F$721)</f>
        <v>140.71</v>
      </c>
      <c r="F149" s="267">
        <f>VLOOKUP(A149,'3 - PLAN. ORÇAMENTÁRIA'!$B$16:$I$721,8,FALSE)</f>
        <v>55.92</v>
      </c>
      <c r="G149" s="267">
        <f>ROUND(E149*F149,2)</f>
        <v>7868.5</v>
      </c>
      <c r="H149" s="262">
        <f t="shared" si="6"/>
        <v>0.13431431976454283</v>
      </c>
      <c r="I149" s="262">
        <f t="shared" si="8"/>
        <v>87.759147838330165</v>
      </c>
      <c r="J149" s="257" t="str">
        <f t="shared" si="7"/>
        <v>B</v>
      </c>
    </row>
    <row r="150" spans="1:10" ht="28.5">
      <c r="A150" s="263">
        <v>87749</v>
      </c>
      <c r="B150" s="257" t="str">
        <f>VLOOKUP(A150,'3 - PLAN. ORÇAMENTÁRIA'!$B$16:$E$721,3,FALSE)</f>
        <v>SINAPI</v>
      </c>
      <c r="C150" s="264" t="s">
        <v>1088</v>
      </c>
      <c r="D150" s="257" t="str">
        <f>VLOOKUP(A150,'3 - PLAN. ORÇAMENTÁRIA'!$B$16:$E$721,4,FALSE)</f>
        <v>M2</v>
      </c>
      <c r="E150" s="266">
        <f>SUMIF('3 - PLAN. ORÇAMENTÁRIA'!$C$15:$C$721,C150,'3 - PLAN. ORÇAMENTÁRIA'!$F$15:$F$721)</f>
        <v>57.6</v>
      </c>
      <c r="F150" s="267">
        <f>VLOOKUP(A150,'3 - PLAN. ORÇAMENTÁRIA'!$B$16:$I$721,8,FALSE)</f>
        <v>135.94999999999999</v>
      </c>
      <c r="G150" s="267">
        <f>ROUND(E150*F150,2)</f>
        <v>7830.72</v>
      </c>
      <c r="H150" s="262">
        <f t="shared" si="6"/>
        <v>0.13366941984706118</v>
      </c>
      <c r="I150" s="262">
        <f t="shared" si="8"/>
        <v>87.892817258177232</v>
      </c>
      <c r="J150" s="257" t="str">
        <f t="shared" si="7"/>
        <v>B</v>
      </c>
    </row>
    <row r="151" spans="1:10" ht="14.25">
      <c r="A151" s="263" t="s">
        <v>2009</v>
      </c>
      <c r="B151" s="257" t="str">
        <f>VLOOKUP(A151,'3 - PLAN. ORÇAMENTÁRIA'!$B$16:$E$721,3,FALSE)</f>
        <v>PRÓPRIO</v>
      </c>
      <c r="C151" s="265" t="str">
        <f>VLOOKUP(A151,'3 - PLAN. ORÇAMENTÁRIA'!$B$16:$E$721,2,FALSE)</f>
        <v>BANCO DE CONCRETO PRE-MOLDADO COM PINTURA VERNIZ REF. 103293/SINAPI</v>
      </c>
      <c r="D151" s="257" t="str">
        <f>VLOOKUP(A151,'3 - PLAN. ORÇAMENTÁRIA'!$B$16:$E$721,4,FALSE)</f>
        <v>UN</v>
      </c>
      <c r="E151" s="266">
        <f>SUMIF('3 - PLAN. ORÇAMENTÁRIA'!$C$15:$C$721,C151,'3 - PLAN. ORÇAMENTÁRIA'!$F$15:$F$721)</f>
        <v>10</v>
      </c>
      <c r="F151" s="267">
        <f>VLOOKUP(A151,'3 - PLAN. ORÇAMENTÁRIA'!$B$16:$I$721,8,FALSE)</f>
        <v>770.67</v>
      </c>
      <c r="G151" s="267">
        <f>ROUND(E151*F151,2)</f>
        <v>7706.7</v>
      </c>
      <c r="H151" s="262">
        <f t="shared" si="6"/>
        <v>0.13155241381831381</v>
      </c>
      <c r="I151" s="262">
        <f t="shared" si="8"/>
        <v>88.024369671995544</v>
      </c>
      <c r="J151" s="257" t="str">
        <f t="shared" si="7"/>
        <v>B</v>
      </c>
    </row>
    <row r="152" spans="1:10" ht="14.25">
      <c r="A152" s="263" t="s">
        <v>2017</v>
      </c>
      <c r="B152" s="257" t="str">
        <f>VLOOKUP(A152,'3 - PLAN. ORÇAMENTÁRIA'!$B$16:$E$721,3,FALSE)</f>
        <v>PRÓPRIO</v>
      </c>
      <c r="C152" s="265" t="str">
        <f>VLOOKUP(A152,'3 - PLAN. ORÇAMENTÁRIA'!$B$16:$E$721,2,FALSE)</f>
        <v>CABO DE COBRE PP CORDPLAST 4 X 2,5 MM2 - FORNECIMENTO E INSTALAÇÃO REF. S11412/ORSE</v>
      </c>
      <c r="D152" s="257" t="str">
        <f>VLOOKUP(A152,'3 - PLAN. ORÇAMENTÁRIA'!$B$16:$E$721,4,FALSE)</f>
        <v>M</v>
      </c>
      <c r="E152" s="266">
        <f>SUMIF('3 - PLAN. ORÇAMENTÁRIA'!$C$15:$C$721,C152,'3 - PLAN. ORÇAMENTÁRIA'!$F$15:$F$721)</f>
        <v>361.41</v>
      </c>
      <c r="F152" s="267">
        <f>VLOOKUP(A152,'3 - PLAN. ORÇAMENTÁRIA'!$B$16:$I$721,8,FALSE)</f>
        <v>21.17</v>
      </c>
      <c r="G152" s="267">
        <f>ROUND(E152*F152,2)</f>
        <v>7651.05</v>
      </c>
      <c r="H152" s="262">
        <f t="shared" si="6"/>
        <v>0.13060247521567075</v>
      </c>
      <c r="I152" s="262">
        <f t="shared" si="8"/>
        <v>88.154972147211211</v>
      </c>
      <c r="J152" s="257" t="str">
        <f t="shared" si="7"/>
        <v>B</v>
      </c>
    </row>
    <row r="153" spans="1:10" ht="28.5">
      <c r="A153" s="263" t="s">
        <v>2748</v>
      </c>
      <c r="B153" s="257" t="str">
        <f>VLOOKUP(A153,'3 - PLAN. ORÇAMENTÁRIA'!$B$16:$E$721,3,FALSE)</f>
        <v>PRÓPRIO</v>
      </c>
      <c r="C153" s="265" t="str">
        <f>VLOOKUP(A153,'3 - PLAN. ORÇAMENTÁRIA'!$B$16:$E$721,2,FALSE)</f>
        <v>MAPA TÁTIL EM ACRÍLICO MEDINDO 70 X 50CM, COM SUPORTE EM CHAPA GALVANIZADA REVESTIDA COM ALUCOBOND H=1,00M REF. S09691</v>
      </c>
      <c r="D153" s="257" t="str">
        <f>VLOOKUP(A153,'3 - PLAN. ORÇAMENTÁRIA'!$B$16:$E$721,4,FALSE)</f>
        <v>UN</v>
      </c>
      <c r="E153" s="266">
        <f>SUMIF('3 - PLAN. ORÇAMENTÁRIA'!$C$15:$C$721,C153,'3 - PLAN. ORÇAMENTÁRIA'!$F$15:$F$721)</f>
        <v>1</v>
      </c>
      <c r="F153" s="267">
        <f>VLOOKUP(A153,'3 - PLAN. ORÇAMENTÁRIA'!$B$16:$I$721,8,FALSE)</f>
        <v>7595.23</v>
      </c>
      <c r="G153" s="267">
        <f>ROUND(E153*F153,2)</f>
        <v>7595.23</v>
      </c>
      <c r="H153" s="262">
        <f t="shared" si="6"/>
        <v>0.12964963473409782</v>
      </c>
      <c r="I153" s="262">
        <f t="shared" si="8"/>
        <v>88.284621781945305</v>
      </c>
      <c r="J153" s="257" t="str">
        <f t="shared" si="7"/>
        <v>B</v>
      </c>
    </row>
    <row r="154" spans="1:10" ht="14.25">
      <c r="A154" s="263" t="s">
        <v>2022</v>
      </c>
      <c r="B154" s="257" t="str">
        <f>VLOOKUP(A154,'3 - PLAN. ORÇAMENTÁRIA'!$B$16:$E$721,3,FALSE)</f>
        <v>PRÓPRIO</v>
      </c>
      <c r="C154" s="265" t="str">
        <f>VLOOKUP(A154,'3 - PLAN. ORÇAMENTÁRIA'!$B$16:$E$721,2,FALSE)</f>
        <v>EXAUSTOR TUBULAR COM FILTRO REF. 3.91.11/SP EDUCAÇÃO</v>
      </c>
      <c r="D154" s="257" t="str">
        <f>VLOOKUP(A154,'3 - PLAN. ORÇAMENTÁRIA'!$B$16:$E$721,4,FALSE)</f>
        <v>UN</v>
      </c>
      <c r="E154" s="266">
        <f>SUMIF('3 - PLAN. ORÇAMENTÁRIA'!$C$15:$C$721,C154,'3 - PLAN. ORÇAMENTÁRIA'!$F$15:$F$721)</f>
        <v>4</v>
      </c>
      <c r="F154" s="267">
        <f>VLOOKUP(A154,'3 - PLAN. ORÇAMENTÁRIA'!$B$16:$I$721,8,FALSE)</f>
        <v>1891.43</v>
      </c>
      <c r="G154" s="267">
        <f>ROUND(E154*F154,2)</f>
        <v>7565.72</v>
      </c>
      <c r="H154" s="262">
        <f t="shared" si="6"/>
        <v>0.1291459026916181</v>
      </c>
      <c r="I154" s="262">
        <f t="shared" si="8"/>
        <v>88.413767684636923</v>
      </c>
      <c r="J154" s="257" t="str">
        <f t="shared" si="7"/>
        <v>B</v>
      </c>
    </row>
    <row r="155" spans="1:10" ht="14.25">
      <c r="A155" s="263">
        <v>89512</v>
      </c>
      <c r="B155" s="257" t="str">
        <f>VLOOKUP(A155,'3 - PLAN. ORÇAMENTÁRIA'!$B$16:$E$721,3,FALSE)</f>
        <v>SINAPI</v>
      </c>
      <c r="C155" s="265" t="s">
        <v>2848</v>
      </c>
      <c r="D155" s="257" t="str">
        <f>VLOOKUP(A155,'3 - PLAN. ORÇAMENTÁRIA'!$B$16:$E$721,4,FALSE)</f>
        <v>M</v>
      </c>
      <c r="E155" s="266">
        <f>SUMIF('3 - PLAN. ORÇAMENTÁRIA'!$C$15:$C$721,C155,'3 - PLAN. ORÇAMENTÁRIA'!$F$15:$F$721)</f>
        <v>115.56</v>
      </c>
      <c r="F155" s="267">
        <f>VLOOKUP(A155,'3 - PLAN. ORÇAMENTÁRIA'!$B$16:$I$721,8,FALSE)</f>
        <v>64.67</v>
      </c>
      <c r="G155" s="267">
        <f>ROUND(E155*F155,2)</f>
        <v>7473.27</v>
      </c>
      <c r="H155" s="262">
        <f t="shared" si="6"/>
        <v>0.12756779265003051</v>
      </c>
      <c r="I155" s="262">
        <f t="shared" si="8"/>
        <v>88.54133547728695</v>
      </c>
      <c r="J155" s="257" t="str">
        <f t="shared" si="7"/>
        <v>B</v>
      </c>
    </row>
    <row r="156" spans="1:10" ht="28.5">
      <c r="A156" s="263" t="s">
        <v>1967</v>
      </c>
      <c r="B156" s="257" t="str">
        <f>VLOOKUP(A156,'3 - PLAN. ORÇAMENTÁRIA'!$B$16:$E$721,3,FALSE)</f>
        <v>PRÓPRIO</v>
      </c>
      <c r="C156" s="265" t="str">
        <f>VLOOKUP(A156,'3 - PLAN. ORÇAMENTÁRIA'!$B$16:$E$721,2,FALSE)</f>
        <v>SUPORTE PARA APOIO DE BICICLETAS EM AÇO INOX, MODELO U INVERTIDO SEM EMENDAS, COM ACABAMENTO COMPLETO REF. 103308/SINAPI</v>
      </c>
      <c r="D156" s="257" t="str">
        <f>VLOOKUP(A156,'3 - PLAN. ORÇAMENTÁRIA'!$B$16:$E$721,4,FALSE)</f>
        <v>UN</v>
      </c>
      <c r="E156" s="266">
        <f>SUMIF('3 - PLAN. ORÇAMENTÁRIA'!$C$15:$C$721,C156,'3 - PLAN. ORÇAMENTÁRIA'!$F$15:$F$721)</f>
        <v>7</v>
      </c>
      <c r="F156" s="267">
        <f>VLOOKUP(A156,'3 - PLAN. ORÇAMENTÁRIA'!$B$16:$I$721,8,FALSE)</f>
        <v>1045.4000000000001</v>
      </c>
      <c r="G156" s="267">
        <f>ROUND(E156*F156,2)</f>
        <v>7317.8</v>
      </c>
      <c r="H156" s="262">
        <f t="shared" si="6"/>
        <v>0.12491393901925037</v>
      </c>
      <c r="I156" s="262">
        <f t="shared" si="8"/>
        <v>88.666249416306201</v>
      </c>
      <c r="J156" s="257" t="str">
        <f t="shared" si="7"/>
        <v>B</v>
      </c>
    </row>
    <row r="157" spans="1:10" ht="14.25">
      <c r="A157" s="263" t="s">
        <v>3653</v>
      </c>
      <c r="B157" s="257" t="str">
        <f>VLOOKUP(A157,'3 - PLAN. ORÇAMENTÁRIA'!$B$16:$E$721,3,FALSE)</f>
        <v>PRÓPRIO</v>
      </c>
      <c r="C157" s="265" t="str">
        <f>VLOOKUP(A157,'3 - PLAN. ORÇAMENTÁRIA'!$B$16:$E$721,2,FALSE)</f>
        <v>VIDRO LISO LAMINADO REFLETIVO DE 8 MM REF. 102176/SINAPI</v>
      </c>
      <c r="D157" s="257" t="str">
        <f>VLOOKUP(A157,'3 - PLAN. ORÇAMENTÁRIA'!$B$16:$E$721,4,FALSE)</f>
        <v>M2</v>
      </c>
      <c r="E157" s="266">
        <f>SUMIF('3 - PLAN. ORÇAMENTÁRIA'!$C$15:$C$721,C157,'3 - PLAN. ORÇAMENTÁRIA'!$F$15:$F$721)</f>
        <v>13.18</v>
      </c>
      <c r="F157" s="267">
        <f>VLOOKUP(A157,'3 - PLAN. ORÇAMENTÁRIA'!$B$16:$I$721,8,FALSE)</f>
        <v>543.14</v>
      </c>
      <c r="G157" s="267">
        <f>ROUND(E157*F157,2)</f>
        <v>7158.59</v>
      </c>
      <c r="H157" s="262">
        <f t="shared" si="6"/>
        <v>0.12219624405201229</v>
      </c>
      <c r="I157" s="262">
        <f t="shared" si="8"/>
        <v>88.788445660358207</v>
      </c>
      <c r="J157" s="257" t="str">
        <f t="shared" si="7"/>
        <v>B</v>
      </c>
    </row>
    <row r="158" spans="1:10" ht="28.5">
      <c r="A158" s="263" t="s">
        <v>1887</v>
      </c>
      <c r="B158" s="257" t="str">
        <f>VLOOKUP(A158,'3 - PLAN. ORÇAMENTÁRIA'!$B$16:$E$721,3,FALSE)</f>
        <v>PRÓPRIO</v>
      </c>
      <c r="C158" s="265" t="str">
        <f>VLOOKUP(A158,'3 - PLAN. ORÇAMENTÁRIA'!$B$16:$E$721,2,FALSE)</f>
        <v>REMOÇÃO DE ENTULHO DE OBRA COM CAÇAMBA METÁLICA - MATERIAL VOLUMOSO E MISTURADO POR ALVENARIA, TERRA, MADEIRA, PAPEL, PLÁSTICO E METAL REF. 05.07.050/SP OBRAS</v>
      </c>
      <c r="D158" s="257" t="str">
        <f>VLOOKUP(A158,'3 - PLAN. ORÇAMENTÁRIA'!$B$16:$E$721,4,FALSE)</f>
        <v>M3</v>
      </c>
      <c r="E158" s="266">
        <f>SUMIF('3 - PLAN. ORÇAMENTÁRIA'!$C$15:$C$721,C158,'3 - PLAN. ORÇAMENTÁRIA'!$F$15:$F$721)</f>
        <v>46.81</v>
      </c>
      <c r="F158" s="267">
        <f>VLOOKUP(A158,'3 - PLAN. ORÇAMENTÁRIA'!$B$16:$I$721,8,FALSE)</f>
        <v>152.19999999999999</v>
      </c>
      <c r="G158" s="267">
        <f>ROUND(E158*F158,2)</f>
        <v>7124.48</v>
      </c>
      <c r="H158" s="262">
        <f t="shared" si="6"/>
        <v>0.1216139905796645</v>
      </c>
      <c r="I158" s="262">
        <f t="shared" si="8"/>
        <v>88.910059650937868</v>
      </c>
      <c r="J158" s="257" t="str">
        <f t="shared" si="7"/>
        <v>B</v>
      </c>
    </row>
    <row r="159" spans="1:10" ht="14.25">
      <c r="A159" s="263" t="s">
        <v>1994</v>
      </c>
      <c r="B159" s="257" t="str">
        <f>VLOOKUP(A159,'3 - PLAN. ORÇAMENTÁRIA'!$B$16:$E$721,3,FALSE)</f>
        <v>PRÓPRIO</v>
      </c>
      <c r="C159" s="265" t="str">
        <f>VLOOKUP(A159,'3 - PLAN. ORÇAMENTÁRIA'!$B$16:$E$721,2,FALSE)</f>
        <v>ELETROCALHA LISA OU PERFURADA EM AÇO GALVANIZADO, LARGURA 200MM E ALTURA 50MM, INCLUSIVE EMENDA E FIXAÇÃO - FORNECIMENTO E INSTALAÇÃO. AF_04/2023 REF. 97243/SINAPI</v>
      </c>
      <c r="D159" s="257" t="str">
        <f>VLOOKUP(A159,'3 - PLAN. ORÇAMENTÁRIA'!$B$16:$E$721,4,FALSE)</f>
        <v>M</v>
      </c>
      <c r="E159" s="266">
        <f>SUMIF('3 - PLAN. ORÇAMENTÁRIA'!$C$15:$C$721,C159,'3 - PLAN. ORÇAMENTÁRIA'!$F$15:$F$721)</f>
        <v>37.950000000000003</v>
      </c>
      <c r="F159" s="267">
        <f>VLOOKUP(A159,'3 - PLAN. ORÇAMENTÁRIA'!$B$16:$I$721,8,FALSE)</f>
        <v>185.53</v>
      </c>
      <c r="G159" s="267">
        <f>ROUND(E159*F159,2)</f>
        <v>7040.86</v>
      </c>
      <c r="H159" s="262">
        <f t="shared" si="6"/>
        <v>0.12018660754367148</v>
      </c>
      <c r="I159" s="262">
        <f t="shared" si="8"/>
        <v>89.03024625848154</v>
      </c>
      <c r="J159" s="257" t="str">
        <f t="shared" si="7"/>
        <v>B</v>
      </c>
    </row>
    <row r="160" spans="1:10" ht="28.5">
      <c r="A160" s="263">
        <v>103946</v>
      </c>
      <c r="B160" s="257" t="str">
        <f>VLOOKUP(A160,'3 - PLAN. ORÇAMENTÁRIA'!$B$16:$E$721,3,FALSE)</f>
        <v>SINAPI</v>
      </c>
      <c r="C160" s="265" t="s">
        <v>3814</v>
      </c>
      <c r="D160" s="257" t="str">
        <f>VLOOKUP(A160,'3 - PLAN. ORÇAMENTÁRIA'!$B$16:$E$721,4,FALSE)</f>
        <v>M2</v>
      </c>
      <c r="E160" s="266">
        <f>SUMIF('3 - PLAN. ORÇAMENTÁRIA'!$C$15:$C$721,C160,'3 - PLAN. ORÇAMENTÁRIA'!$F$15:$F$721)</f>
        <v>254.53</v>
      </c>
      <c r="F160" s="267">
        <f>VLOOKUP(A160,'3 - PLAN. ORÇAMENTÁRIA'!$B$16:$I$721,8,FALSE)</f>
        <v>26.96</v>
      </c>
      <c r="G160" s="267">
        <f>ROUND(E160*F160,2)</f>
        <v>6862.13</v>
      </c>
      <c r="H160" s="262">
        <f t="shared" si="6"/>
        <v>0.11713570859577585</v>
      </c>
      <c r="I160" s="262">
        <f t="shared" si="8"/>
        <v>89.147381967077322</v>
      </c>
      <c r="J160" s="257" t="str">
        <f t="shared" si="7"/>
        <v>B</v>
      </c>
    </row>
    <row r="161" spans="1:10" ht="14.25">
      <c r="A161" s="263">
        <v>89714</v>
      </c>
      <c r="B161" s="257" t="str">
        <f>VLOOKUP(A161,'3 - PLAN. ORÇAMENTÁRIA'!$B$16:$E$721,3,FALSE)</f>
        <v>SINAPI</v>
      </c>
      <c r="C161" s="264" t="s">
        <v>503</v>
      </c>
      <c r="D161" s="257" t="str">
        <f>VLOOKUP(A161,'3 - PLAN. ORÇAMENTÁRIA'!$B$16:$E$721,4,FALSE)</f>
        <v>M</v>
      </c>
      <c r="E161" s="266">
        <f>SUMIF('3 - PLAN. ORÇAMENTÁRIA'!$C$15:$C$721,C161,'3 - PLAN. ORÇAMENTÁRIA'!$F$15:$F$721)</f>
        <v>135.94999999999999</v>
      </c>
      <c r="F161" s="267">
        <f>VLOOKUP(A161,'3 - PLAN. ORÇAMENTÁRIA'!$B$16:$I$721,8,FALSE)</f>
        <v>50.15</v>
      </c>
      <c r="G161" s="267">
        <f>ROUND(E161*F161,2)</f>
        <v>6817.89</v>
      </c>
      <c r="H161" s="262">
        <f t="shared" si="6"/>
        <v>0.11638053727895774</v>
      </c>
      <c r="I161" s="262">
        <f t="shared" si="8"/>
        <v>89.263762504356279</v>
      </c>
      <c r="J161" s="257" t="str">
        <f t="shared" si="7"/>
        <v>B</v>
      </c>
    </row>
    <row r="162" spans="1:10" ht="14.25">
      <c r="A162" s="263">
        <v>90466</v>
      </c>
      <c r="B162" s="257" t="str">
        <f>VLOOKUP(A162,'3 - PLAN. ORÇAMENTÁRIA'!$B$16:$E$721,3,FALSE)</f>
        <v>SINAPI</v>
      </c>
      <c r="C162" s="265" t="s">
        <v>2884</v>
      </c>
      <c r="D162" s="257" t="str">
        <f>VLOOKUP(A162,'3 - PLAN. ORÇAMENTÁRIA'!$B$16:$E$721,4,FALSE)</f>
        <v>M</v>
      </c>
      <c r="E162" s="266">
        <f>SUMIF('3 - PLAN. ORÇAMENTÁRIA'!$C$15:$C$721,C162,'3 - PLAN. ORÇAMENTÁRIA'!$F$15:$F$721)</f>
        <v>339.81</v>
      </c>
      <c r="F162" s="267">
        <f>VLOOKUP(A162,'3 - PLAN. ORÇAMENTÁRIA'!$B$16:$I$721,8,FALSE)</f>
        <v>20.010000000000002</v>
      </c>
      <c r="G162" s="267">
        <f>ROUND(E162*F162,2)</f>
        <v>6799.6</v>
      </c>
      <c r="H162" s="262">
        <f t="shared" si="6"/>
        <v>0.11606832924585186</v>
      </c>
      <c r="I162" s="262">
        <f t="shared" si="8"/>
        <v>89.379830833602128</v>
      </c>
      <c r="J162" s="257" t="str">
        <f t="shared" si="7"/>
        <v>B</v>
      </c>
    </row>
    <row r="163" spans="1:10" ht="28.5">
      <c r="A163" s="263">
        <v>103689</v>
      </c>
      <c r="B163" s="257" t="str">
        <f>VLOOKUP(A163,'3 - PLAN. ORÇAMENTÁRIA'!$B$16:$E$721,3,FALSE)</f>
        <v>SINAPI</v>
      </c>
      <c r="C163" s="264" t="s">
        <v>1221</v>
      </c>
      <c r="D163" s="257" t="str">
        <f>VLOOKUP(A163,'3 - PLAN. ORÇAMENTÁRIA'!$B$16:$E$721,4,FALSE)</f>
        <v>M2</v>
      </c>
      <c r="E163" s="266">
        <f>SUMIF('3 - PLAN. ORÇAMENTÁRIA'!$C$15:$C$721,C163,'3 - PLAN. ORÇAMENTÁRIA'!$F$15:$F$721)</f>
        <v>12</v>
      </c>
      <c r="F163" s="267">
        <f>VLOOKUP(A163,'3 - PLAN. ORÇAMENTÁRIA'!$B$16:$I$721,8,FALSE)</f>
        <v>566.38</v>
      </c>
      <c r="G163" s="267">
        <f>ROUND(E163*F163,2)</f>
        <v>6796.56</v>
      </c>
      <c r="H163" s="262">
        <f t="shared" si="6"/>
        <v>0.11601643682263471</v>
      </c>
      <c r="I163" s="262">
        <f t="shared" si="8"/>
        <v>89.495847270424761</v>
      </c>
      <c r="J163" s="257" t="str">
        <f t="shared" si="7"/>
        <v>B</v>
      </c>
    </row>
    <row r="164" spans="1:10" ht="28.5">
      <c r="A164" s="263">
        <v>89993</v>
      </c>
      <c r="B164" s="257" t="str">
        <f>VLOOKUP(A164,'3 - PLAN. ORÇAMENTÁRIA'!$B$16:$E$721,3,FALSE)</f>
        <v>SINAPI</v>
      </c>
      <c r="C164" s="265" t="s">
        <v>2919</v>
      </c>
      <c r="D164" s="257" t="str">
        <f>VLOOKUP(A164,'3 - PLAN. ORÇAMENTÁRIA'!$B$16:$E$721,4,FALSE)</f>
        <v>M3</v>
      </c>
      <c r="E164" s="266">
        <f>SUMIF('3 - PLAN. ORÇAMENTÁRIA'!$C$15:$C$721,C164,'3 - PLAN. ORÇAMENTÁRIA'!$F$15:$F$721)</f>
        <v>4.55</v>
      </c>
      <c r="F164" s="267">
        <f>VLOOKUP(A164,'3 - PLAN. ORÇAMENTÁRIA'!$B$16:$I$721,8,FALSE)</f>
        <v>1456.19</v>
      </c>
      <c r="G164" s="267">
        <f>ROUND(E164*F164,2)</f>
        <v>6625.66</v>
      </c>
      <c r="H164" s="262">
        <f t="shared" si="6"/>
        <v>0.11309919500427539</v>
      </c>
      <c r="I164" s="262">
        <f t="shared" si="8"/>
        <v>89.608946465429042</v>
      </c>
      <c r="J164" s="257" t="str">
        <f t="shared" si="7"/>
        <v>B</v>
      </c>
    </row>
    <row r="165" spans="1:10" ht="14.25">
      <c r="A165" s="263">
        <v>93199</v>
      </c>
      <c r="B165" s="257" t="str">
        <f>VLOOKUP(A165,'3 - PLAN. ORÇAMENTÁRIA'!$B$16:$E$721,3,FALSE)</f>
        <v>SINAPI</v>
      </c>
      <c r="C165" s="264" t="s">
        <v>259</v>
      </c>
      <c r="D165" s="257" t="str">
        <f>VLOOKUP(A165,'3 - PLAN. ORÇAMENTÁRIA'!$B$16:$E$721,4,FALSE)</f>
        <v>M</v>
      </c>
      <c r="E165" s="266">
        <f>SUMIF('3 - PLAN. ORÇAMENTÁRIA'!$C$15:$C$721,C165,'3 - PLAN. ORÇAMENTÁRIA'!$F$15:$F$721)</f>
        <v>95.36</v>
      </c>
      <c r="F165" s="267">
        <f>VLOOKUP(A165,'3 - PLAN. ORÇAMENTÁRIA'!$B$16:$I$721,8,FALSE)</f>
        <v>68.84</v>
      </c>
      <c r="G165" s="267">
        <f>ROUND(E165*F165,2)</f>
        <v>6564.58</v>
      </c>
      <c r="H165" s="262">
        <f t="shared" si="6"/>
        <v>0.1120565669746359</v>
      </c>
      <c r="I165" s="262">
        <f t="shared" si="8"/>
        <v>89.721003032403672</v>
      </c>
      <c r="J165" s="257" t="str">
        <f t="shared" si="7"/>
        <v>B</v>
      </c>
    </row>
    <row r="166" spans="1:10" ht="14.25">
      <c r="A166" s="263" t="s">
        <v>2812</v>
      </c>
      <c r="B166" s="257" t="str">
        <f>VLOOKUP(A166,'3 - PLAN. ORÇAMENTÁRIA'!$B$16:$E$721,3,FALSE)</f>
        <v>PRÓPRIO</v>
      </c>
      <c r="C166" s="265" t="str">
        <f>VLOOKUP(A166,'3 - PLAN. ORÇAMENTÁRIA'!$B$16:$E$721,2,FALSE)</f>
        <v>ESCADA TIPO MARINHEIRO EM TUBO ACO GALVANIZADO 1 1/2", SEM GUARDA-CORPO, FIXADA COM CHUMBADOR MECÂNICO. AF_11/2020</v>
      </c>
      <c r="D166" s="257" t="str">
        <f>VLOOKUP(A166,'3 - PLAN. ORÇAMENTÁRIA'!$B$16:$E$721,4,FALSE)</f>
        <v>M</v>
      </c>
      <c r="E166" s="266">
        <f>SUMIF('3 - PLAN. ORÇAMENTÁRIA'!$C$15:$C$721,C166,'3 - PLAN. ORÇAMENTÁRIA'!$F$15:$F$721)</f>
        <v>5.32</v>
      </c>
      <c r="F166" s="267">
        <f>VLOOKUP(A166,'3 - PLAN. ORÇAMENTÁRIA'!$B$16:$I$721,8,FALSE)</f>
        <v>1193.99</v>
      </c>
      <c r="G166" s="267">
        <f>ROUND(E166*F166,2)</f>
        <v>6352.03</v>
      </c>
      <c r="H166" s="262">
        <f t="shared" si="6"/>
        <v>0.10842836481844939</v>
      </c>
      <c r="I166" s="262">
        <f t="shared" si="8"/>
        <v>89.829431397222123</v>
      </c>
      <c r="J166" s="257" t="str">
        <f t="shared" si="7"/>
        <v>B</v>
      </c>
    </row>
    <row r="167" spans="1:10" ht="28.5">
      <c r="A167" s="263" t="s">
        <v>3641</v>
      </c>
      <c r="B167" s="257" t="str">
        <f>VLOOKUP(A167,'3 - PLAN. ORÇAMENTÁRIA'!$B$16:$E$721,3,FALSE)</f>
        <v>PRÓPRIO</v>
      </c>
      <c r="C167" s="265" t="str">
        <f>VLOOKUP(A167,'3 - PLAN. ORÇAMENTÁRIA'!$B$16:$E$721,2,FALSE)</f>
        <v>TC-09 TAMPA DE CONCRETO PRE-MOLDADA PERF. P/ CANALETA L=20CM REF. 16.05.046/SP EDUCAÇÃO</v>
      </c>
      <c r="D167" s="257" t="str">
        <f>VLOOKUP(A167,'3 - PLAN. ORÇAMENTÁRIA'!$B$16:$E$721,4,FALSE)</f>
        <v>M</v>
      </c>
      <c r="E167" s="266">
        <f>SUMIF('3 - PLAN. ORÇAMENTÁRIA'!$C$15:$C$721,C167,'3 - PLAN. ORÇAMENTÁRIA'!$F$15:$F$721)</f>
        <v>54.53</v>
      </c>
      <c r="F167" s="267">
        <f>VLOOKUP(A167,'3 - PLAN. ORÇAMENTÁRIA'!$B$16:$I$721,8,FALSE)</f>
        <v>114.88</v>
      </c>
      <c r="G167" s="267">
        <f>ROUND(E167*F167,2)</f>
        <v>6264.41</v>
      </c>
      <c r="H167" s="262">
        <f t="shared" si="6"/>
        <v>0.10693270227822327</v>
      </c>
      <c r="I167" s="262">
        <f t="shared" si="8"/>
        <v>89.936364099500352</v>
      </c>
      <c r="J167" s="257" t="str">
        <f t="shared" si="7"/>
        <v>B</v>
      </c>
    </row>
    <row r="168" spans="1:10" ht="14.25">
      <c r="A168" s="263">
        <v>103316</v>
      </c>
      <c r="B168" s="257" t="str">
        <f>VLOOKUP(A168,'3 - PLAN. ORÇAMENTÁRIA'!$B$16:$E$721,3,FALSE)</f>
        <v>SINAPI</v>
      </c>
      <c r="C168" s="264" t="s">
        <v>2277</v>
      </c>
      <c r="D168" s="257" t="str">
        <f>VLOOKUP(A168,'3 - PLAN. ORÇAMENTÁRIA'!$B$16:$E$721,4,FALSE)</f>
        <v>M2</v>
      </c>
      <c r="E168" s="266">
        <f>SUMIF('3 - PLAN. ORÇAMENTÁRIA'!$C$15:$C$721,C168,'3 - PLAN. ORÇAMENTÁRIA'!$F$15:$F$721)</f>
        <v>58.74</v>
      </c>
      <c r="F168" s="267">
        <f>VLOOKUP(A168,'3 - PLAN. ORÇAMENTÁRIA'!$B$16:$I$721,8,FALSE)</f>
        <v>106.43</v>
      </c>
      <c r="G168" s="267">
        <f>ROUND(E168*F168,2)</f>
        <v>6251.7</v>
      </c>
      <c r="H168" s="262">
        <f t="shared" si="6"/>
        <v>0.10671574415352258</v>
      </c>
      <c r="I168" s="262">
        <f t="shared" si="8"/>
        <v>90.043079843653871</v>
      </c>
      <c r="J168" s="257" t="str">
        <f t="shared" si="7"/>
        <v>B</v>
      </c>
    </row>
    <row r="169" spans="1:10" ht="28.5">
      <c r="A169" s="263" t="s">
        <v>1980</v>
      </c>
      <c r="B169" s="257" t="str">
        <f>VLOOKUP(A169,'3 - PLAN. ORÇAMENTÁRIA'!$B$16:$E$721,3,FALSE)</f>
        <v>PRÓPRIO</v>
      </c>
      <c r="C169" s="265" t="str">
        <f>VLOOKUP(A169,'3 - PLAN. ORÇAMENTÁRIA'!$B$16:$E$721,2,FALSE)</f>
        <v>BARRAMENTO DE COBRE NU REF. 37.10.010/SP OBRAS</v>
      </c>
      <c r="D169" s="257" t="str">
        <f>VLOOKUP(A169,'3 - PLAN. ORÇAMENTÁRIA'!$B$16:$E$721,4,FALSE)</f>
        <v>KG</v>
      </c>
      <c r="E169" s="266">
        <f>SUMIF('3 - PLAN. ORÇAMENTÁRIA'!$C$15:$C$721,C169,'3 - PLAN. ORÇAMENTÁRIA'!$F$15:$F$721)</f>
        <v>40</v>
      </c>
      <c r="F169" s="267">
        <f>VLOOKUP(A169,'3 - PLAN. ORÇAMENTÁRIA'!$B$16:$I$721,8,FALSE)</f>
        <v>155.94</v>
      </c>
      <c r="G169" s="267">
        <f>ROUND(E169*F169,2)</f>
        <v>6237.6</v>
      </c>
      <c r="H169" s="262">
        <f t="shared" si="6"/>
        <v>0.10647505890110089</v>
      </c>
      <c r="I169" s="262">
        <f t="shared" si="8"/>
        <v>90.149554902554968</v>
      </c>
      <c r="J169" s="257" t="str">
        <f t="shared" si="7"/>
        <v>B</v>
      </c>
    </row>
    <row r="170" spans="1:10" ht="14.25">
      <c r="A170" s="263">
        <v>97328</v>
      </c>
      <c r="B170" s="257" t="str">
        <f>VLOOKUP(A170,'3 - PLAN. ORÇAMENTÁRIA'!$B$16:$E$721,3,FALSE)</f>
        <v>SINAPI</v>
      </c>
      <c r="C170" s="264" t="s">
        <v>752</v>
      </c>
      <c r="D170" s="257" t="str">
        <f>VLOOKUP(A170,'3 - PLAN. ORÇAMENTÁRIA'!$B$16:$E$721,4,FALSE)</f>
        <v>M</v>
      </c>
      <c r="E170" s="266">
        <f>SUMIF('3 - PLAN. ORÇAMENTÁRIA'!$C$15:$C$721,C170,'3 - PLAN. ORÇAMENTÁRIA'!$F$15:$F$721)</f>
        <v>78.77</v>
      </c>
      <c r="F170" s="267">
        <f>VLOOKUP(A170,'3 - PLAN. ORÇAMENTÁRIA'!$B$16:$I$721,8,FALSE)</f>
        <v>78.31</v>
      </c>
      <c r="G170" s="267">
        <f>ROUND(E170*F170,2)</f>
        <v>6168.48</v>
      </c>
      <c r="H170" s="262">
        <f t="shared" si="6"/>
        <v>0.10529518906795288</v>
      </c>
      <c r="I170" s="262">
        <f t="shared" si="8"/>
        <v>90.254850091622927</v>
      </c>
      <c r="J170" s="257" t="str">
        <f t="shared" si="7"/>
        <v>B</v>
      </c>
    </row>
    <row r="171" spans="1:10" ht="42.75">
      <c r="A171" s="263" t="s">
        <v>1897</v>
      </c>
      <c r="B171" s="257" t="str">
        <f>VLOOKUP(A171,'3 - PLAN. ORÇAMENTÁRIA'!$B$16:$E$721,3,FALSE)</f>
        <v>PRÓPRIO</v>
      </c>
      <c r="C171" s="265" t="str">
        <f>VLOOKUP(A171,'3 - PLAN. ORÇAMENTÁRIA'!$B$16:$E$721,2,FALSE)</f>
        <v>REVESTIMENTO EM CHAPA DE AÇO INOXIDÁVEL PARA PROTEÇÃO DE PORTAS, ALTURA DE 40 CM REF. 30.04.060/SP OBRAS</v>
      </c>
      <c r="D171" s="257" t="str">
        <f>VLOOKUP(A171,'3 - PLAN. ORÇAMENTÁRIA'!$B$16:$E$721,4,FALSE)</f>
        <v>M</v>
      </c>
      <c r="E171" s="266">
        <f>SUMIF('3 - PLAN. ORÇAMENTÁRIA'!$C$15:$C$721,C171,'3 - PLAN. ORÇAMENTÁRIA'!$F$15:$F$721)</f>
        <v>10.8</v>
      </c>
      <c r="F171" s="267">
        <f>VLOOKUP(A171,'3 - PLAN. ORÇAMENTÁRIA'!$B$16:$I$721,8,FALSE)</f>
        <v>567.52</v>
      </c>
      <c r="G171" s="267">
        <f>ROUND(E171*F171,2)</f>
        <v>6129.22</v>
      </c>
      <c r="H171" s="262">
        <f t="shared" si="6"/>
        <v>0.10462502573390496</v>
      </c>
      <c r="I171" s="262">
        <f t="shared" si="8"/>
        <v>90.359475117356837</v>
      </c>
      <c r="J171" s="257" t="str">
        <f t="shared" si="7"/>
        <v>B</v>
      </c>
    </row>
    <row r="172" spans="1:10" ht="28.5">
      <c r="A172" s="263">
        <v>91850</v>
      </c>
      <c r="B172" s="257" t="str">
        <f>VLOOKUP(A172,'3 - PLAN. ORÇAMENTÁRIA'!$B$16:$E$721,3,FALSE)</f>
        <v>SINAPI</v>
      </c>
      <c r="C172" s="264" t="s">
        <v>368</v>
      </c>
      <c r="D172" s="257" t="str">
        <f>VLOOKUP(A172,'3 - PLAN. ORÇAMENTÁRIA'!$B$16:$E$721,4,FALSE)</f>
        <v>M</v>
      </c>
      <c r="E172" s="266">
        <f>SUMIF('3 - PLAN. ORÇAMENTÁRIA'!$C$15:$C$721,C172,'3 - PLAN. ORÇAMENTÁRIA'!$F$15:$F$721)</f>
        <v>489.93</v>
      </c>
      <c r="F172" s="267">
        <f>VLOOKUP(A172,'3 - PLAN. ORÇAMENTÁRIA'!$B$16:$I$721,8,FALSE)</f>
        <v>12.47</v>
      </c>
      <c r="G172" s="267">
        <f>ROUND(E172*F172,2)</f>
        <v>6109.43</v>
      </c>
      <c r="H172" s="262">
        <f t="shared" si="6"/>
        <v>0.10428721288671169</v>
      </c>
      <c r="I172" s="262">
        <f t="shared" si="8"/>
        <v>90.463762330243554</v>
      </c>
      <c r="J172" s="257" t="str">
        <f t="shared" si="7"/>
        <v>B</v>
      </c>
    </row>
    <row r="173" spans="1:10" ht="14.25">
      <c r="A173" s="263">
        <v>90467</v>
      </c>
      <c r="B173" s="257" t="str">
        <f>VLOOKUP(A173,'3 - PLAN. ORÇAMENTÁRIA'!$B$16:$E$721,3,FALSE)</f>
        <v>SINAPI</v>
      </c>
      <c r="C173" s="265" t="s">
        <v>2883</v>
      </c>
      <c r="D173" s="257" t="str">
        <f>VLOOKUP(A173,'3 - PLAN. ORÇAMENTÁRIA'!$B$16:$E$721,4,FALSE)</f>
        <v>M</v>
      </c>
      <c r="E173" s="266">
        <f>SUMIF('3 - PLAN. ORÇAMENTÁRIA'!$C$15:$C$721,C173,'3 - PLAN. ORÇAMENTÁRIA'!$F$15:$F$721)</f>
        <v>201.92</v>
      </c>
      <c r="F173" s="267">
        <f>VLOOKUP(A173,'3 - PLAN. ORÇAMENTÁRIA'!$B$16:$I$721,8,FALSE)</f>
        <v>30.03</v>
      </c>
      <c r="G173" s="267">
        <f>ROUND(E173*F173,2)</f>
        <v>6063.66</v>
      </c>
      <c r="H173" s="262">
        <f t="shared" si="6"/>
        <v>0.10350592465952441</v>
      </c>
      <c r="I173" s="262">
        <f t="shared" si="8"/>
        <v>90.567268254903084</v>
      </c>
      <c r="J173" s="257" t="str">
        <f t="shared" si="7"/>
        <v>B</v>
      </c>
    </row>
    <row r="174" spans="1:10" ht="28.5">
      <c r="A174" s="263" t="s">
        <v>2229</v>
      </c>
      <c r="B174" s="257" t="str">
        <f>VLOOKUP(A174,'3 - PLAN. ORÇAMENTÁRIA'!$B$16:$E$721,3,FALSE)</f>
        <v>PRÓPRIO</v>
      </c>
      <c r="C174" s="265" t="str">
        <f>VLOOKUP(A174,'3 - PLAN. ORÇAMENTÁRIA'!$B$16:$E$721,2,FALSE)</f>
        <v>CESTO COLETOR RESÍDUO (LIXEIRA) METÁLICO DUPLO QUADRADO PADRÃO SLU MQD REF. 18.76.04/SUDECAP</v>
      </c>
      <c r="D174" s="257" t="str">
        <f>VLOOKUP(A174,'3 - PLAN. ORÇAMENTÁRIA'!$B$16:$E$721,4,FALSE)</f>
        <v>UN</v>
      </c>
      <c r="E174" s="266">
        <f>SUMIF('3 - PLAN. ORÇAMENTÁRIA'!$C$15:$C$721,C174,'3 - PLAN. ORÇAMENTÁRIA'!$F$15:$F$721)</f>
        <v>5</v>
      </c>
      <c r="F174" s="267">
        <f>VLOOKUP(A174,'3 - PLAN. ORÇAMENTÁRIA'!$B$16:$I$721,8,FALSE)</f>
        <v>1207.8800000000001</v>
      </c>
      <c r="G174" s="267">
        <f>ROUND(E174*F174,2)</f>
        <v>6039.4</v>
      </c>
      <c r="H174" s="262">
        <f t="shared" si="6"/>
        <v>0.10309180946635063</v>
      </c>
      <c r="I174" s="262">
        <f t="shared" si="8"/>
        <v>90.670360064369433</v>
      </c>
      <c r="J174" s="257" t="str">
        <f t="shared" si="7"/>
        <v>B</v>
      </c>
    </row>
    <row r="175" spans="1:10" ht="14.25">
      <c r="A175" s="263">
        <v>89403</v>
      </c>
      <c r="B175" s="257" t="str">
        <f>VLOOKUP(A175,'3 - PLAN. ORÇAMENTÁRIA'!$B$16:$E$721,3,FALSE)</f>
        <v>SINAPI</v>
      </c>
      <c r="C175" s="264" t="s">
        <v>499</v>
      </c>
      <c r="D175" s="257" t="str">
        <f>VLOOKUP(A175,'3 - PLAN. ORÇAMENTÁRIA'!$B$16:$E$721,4,FALSE)</f>
        <v>M</v>
      </c>
      <c r="E175" s="266">
        <f>SUMIF('3 - PLAN. ORÇAMENTÁRIA'!$C$15:$C$721,C175,'3 - PLAN. ORÇAMENTÁRIA'!$F$15:$F$721)</f>
        <v>239.14</v>
      </c>
      <c r="F175" s="267">
        <f>VLOOKUP(A175,'3 - PLAN. ORÇAMENTÁRIA'!$B$16:$I$721,8,FALSE)</f>
        <v>25.09</v>
      </c>
      <c r="G175" s="267">
        <f>ROUND(E175*F175,2)</f>
        <v>6000.02</v>
      </c>
      <c r="H175" s="262">
        <f t="shared" si="6"/>
        <v>0.10241959774717574</v>
      </c>
      <c r="I175" s="262">
        <f t="shared" si="8"/>
        <v>90.772779662116605</v>
      </c>
      <c r="J175" s="257" t="str">
        <f t="shared" si="7"/>
        <v>B</v>
      </c>
    </row>
    <row r="176" spans="1:10" ht="14.25">
      <c r="A176" s="263" t="s">
        <v>1963</v>
      </c>
      <c r="B176" s="257" t="str">
        <f>VLOOKUP(A176,'3 - PLAN. ORÇAMENTÁRIA'!$B$16:$E$721,3,FALSE)</f>
        <v>PRÓPRIO</v>
      </c>
      <c r="C176" s="265" t="str">
        <f>VLOOKUP(A176,'3 - PLAN. ORÇAMENTÁRIA'!$B$16:$E$721,2,FALSE)</f>
        <v>ESPELHO COMUM DE 3 MM COM MOLDURA EM ALUMÍNIO REF. 102148/SINAPI</v>
      </c>
      <c r="D176" s="257" t="str">
        <f>VLOOKUP(A176,'3 - PLAN. ORÇAMENTÁRIA'!$B$16:$E$721,4,FALSE)</f>
        <v>M2</v>
      </c>
      <c r="E176" s="266">
        <f>SUMIF('3 - PLAN. ORÇAMENTÁRIA'!$C$15:$C$721,C176,'3 - PLAN. ORÇAMENTÁRIA'!$F$15:$F$721)</f>
        <v>5.5</v>
      </c>
      <c r="F176" s="267">
        <f>VLOOKUP(A176,'3 - PLAN. ORÇAMENTÁRIA'!$B$16:$I$721,8,FALSE)</f>
        <v>1089.3</v>
      </c>
      <c r="G176" s="267">
        <f>ROUND(E176*F176,2)</f>
        <v>5991.15</v>
      </c>
      <c r="H176" s="262">
        <f t="shared" si="6"/>
        <v>0.10226818794653883</v>
      </c>
      <c r="I176" s="262">
        <f t="shared" si="8"/>
        <v>90.87504785006314</v>
      </c>
      <c r="J176" s="257" t="str">
        <f t="shared" si="7"/>
        <v>B</v>
      </c>
    </row>
    <row r="177" spans="1:10" ht="14.25">
      <c r="A177" s="263">
        <v>91854</v>
      </c>
      <c r="B177" s="257" t="str">
        <f>VLOOKUP(A177,'3 - PLAN. ORÇAMENTÁRIA'!$B$16:$E$721,3,FALSE)</f>
        <v>SINAPI</v>
      </c>
      <c r="C177" s="264" t="s">
        <v>420</v>
      </c>
      <c r="D177" s="257" t="str">
        <f>VLOOKUP(A177,'3 - PLAN. ORÇAMENTÁRIA'!$B$16:$E$721,4,FALSE)</f>
        <v>M</v>
      </c>
      <c r="E177" s="266">
        <f>SUMIF('3 - PLAN. ORÇAMENTÁRIA'!$C$15:$C$721,C177,'3 - PLAN. ORÇAMENTÁRIA'!$F$15:$F$721)</f>
        <v>443.34999999999997</v>
      </c>
      <c r="F177" s="267">
        <f>VLOOKUP(A177,'3 - PLAN. ORÇAMENTÁRIA'!$B$16:$I$721,8,FALSE)</f>
        <v>13.25</v>
      </c>
      <c r="G177" s="267">
        <f>ROUND(E177*F177,2)</f>
        <v>5874.39</v>
      </c>
      <c r="H177" s="262">
        <f t="shared" si="6"/>
        <v>0.10027510921797456</v>
      </c>
      <c r="I177" s="262">
        <f t="shared" si="8"/>
        <v>90.975322959281115</v>
      </c>
      <c r="J177" s="257" t="str">
        <f t="shared" si="7"/>
        <v>B</v>
      </c>
    </row>
    <row r="178" spans="1:10" ht="14.25">
      <c r="A178" s="263" t="s">
        <v>1926</v>
      </c>
      <c r="B178" s="257" t="str">
        <f>VLOOKUP(A178,'3 - PLAN. ORÇAMENTÁRIA'!$B$16:$E$721,3,FALSE)</f>
        <v>PRÓPRIO</v>
      </c>
      <c r="C178" s="265" t="str">
        <f>VLOOKUP(A178,'3 - PLAN. ORÇAMENTÁRIA'!$B$16:$E$721,2,FALSE)</f>
        <v>AQUECEDOR DE PASSAGEM ELÉTRICO INDIVIDUAL, BAIXA PRESSÃO - 5.000 W / 6.400 W REF. 43.03.212/SP OBRAS</v>
      </c>
      <c r="D178" s="257" t="str">
        <f>VLOOKUP(A178,'3 - PLAN. ORÇAMENTÁRIA'!$B$16:$E$721,4,FALSE)</f>
        <v>UN</v>
      </c>
      <c r="E178" s="266">
        <f>SUMIF('3 - PLAN. ORÇAMENTÁRIA'!$C$15:$C$721,C178,'3 - PLAN. ORÇAMENTÁRIA'!$F$15:$F$721)</f>
        <v>2</v>
      </c>
      <c r="F178" s="267">
        <f>VLOOKUP(A178,'3 - PLAN. ORÇAMENTÁRIA'!$B$16:$I$721,8,FALSE)</f>
        <v>2923.38</v>
      </c>
      <c r="G178" s="267">
        <f>ROUND(E178*F178,2)</f>
        <v>5846.76</v>
      </c>
      <c r="H178" s="262">
        <f t="shared" si="6"/>
        <v>9.9803468542484397E-2</v>
      </c>
      <c r="I178" s="262">
        <f t="shared" si="8"/>
        <v>91.075126427823605</v>
      </c>
      <c r="J178" s="257" t="str">
        <f t="shared" si="7"/>
        <v>B</v>
      </c>
    </row>
    <row r="179" spans="1:10" ht="28.5">
      <c r="A179" s="263" t="s">
        <v>1964</v>
      </c>
      <c r="B179" s="257" t="str">
        <f>VLOOKUP(A179,'3 - PLAN. ORÇAMENTÁRIA'!$B$16:$E$721,3,FALSE)</f>
        <v>PRÓPRIO</v>
      </c>
      <c r="C179" s="265" t="str">
        <f>VLOOKUP(A179,'3 - PLAN. ORÇAMENTÁRIA'!$B$16:$E$721,2,FALSE)</f>
        <v>KIT DE ALARME PARA WC PNE, COMPOSTO POR BOTOEIRA E SIRENE AUDIOVISUAL - FORNECIMENTO E INSTALAÇÃO REF. S12514/ORSE</v>
      </c>
      <c r="D179" s="257" t="str">
        <f>VLOOKUP(A179,'3 - PLAN. ORÇAMENTÁRIA'!$B$16:$E$721,4,FALSE)</f>
        <v>CJ</v>
      </c>
      <c r="E179" s="266">
        <f>SUMIF('3 - PLAN. ORÇAMENTÁRIA'!$C$15:$C$721,C179,'3 - PLAN. ORÇAMENTÁRIA'!$F$15:$F$721)</f>
        <v>6</v>
      </c>
      <c r="F179" s="267">
        <f>VLOOKUP(A179,'3 - PLAN. ORÇAMENTÁRIA'!$B$16:$I$721,8,FALSE)</f>
        <v>970.59</v>
      </c>
      <c r="G179" s="267">
        <f>ROUND(E179*F179,2)</f>
        <v>5823.54</v>
      </c>
      <c r="H179" s="262">
        <f t="shared" si="6"/>
        <v>9.9407106020411237E-2</v>
      </c>
      <c r="I179" s="262">
        <f t="shared" si="8"/>
        <v>91.174533533844013</v>
      </c>
      <c r="J179" s="257" t="str">
        <f t="shared" si="7"/>
        <v>B</v>
      </c>
    </row>
    <row r="180" spans="1:10" ht="14.25">
      <c r="A180" s="263" t="s">
        <v>2486</v>
      </c>
      <c r="B180" s="257" t="str">
        <f>VLOOKUP(A180,'3 - PLAN. ORÇAMENTÁRIA'!$B$16:$E$721,3,FALSE)</f>
        <v>PRÓPRIO</v>
      </c>
      <c r="C180" s="265" t="str">
        <f>VLOOKUP(A180,'3 - PLAN. ORÇAMENTÁRIA'!$B$16:$E$721,2,FALSE)</f>
        <v>PRATELEIRA METÁLICA REF LINHA POLO 2031.C33, DECA OU EQUIVALENTE REF. S09494/ORSE</v>
      </c>
      <c r="D180" s="257" t="str">
        <f>VLOOKUP(A180,'3 - PLAN. ORÇAMENTÁRIA'!$B$16:$E$721,4,FALSE)</f>
        <v>UN</v>
      </c>
      <c r="E180" s="266">
        <f>SUMIF('3 - PLAN. ORÇAMENTÁRIA'!$C$15:$C$721,C180,'3 - PLAN. ORÇAMENTÁRIA'!$F$15:$F$721)</f>
        <v>5</v>
      </c>
      <c r="F180" s="267">
        <f>VLOOKUP(A180,'3 - PLAN. ORÇAMENTÁRIA'!$B$16:$I$721,8,FALSE)</f>
        <v>1159.74</v>
      </c>
      <c r="G180" s="267">
        <f>ROUND(E180*F180,2)</f>
        <v>5798.7</v>
      </c>
      <c r="H180" s="262">
        <f t="shared" si="6"/>
        <v>9.8983090299123666E-2</v>
      </c>
      <c r="I180" s="262">
        <f t="shared" si="8"/>
        <v>91.273516624143141</v>
      </c>
      <c r="J180" s="257" t="str">
        <f t="shared" si="7"/>
        <v>B</v>
      </c>
    </row>
    <row r="181" spans="1:10" ht="28.5">
      <c r="A181" s="263" t="s">
        <v>2248</v>
      </c>
      <c r="B181" s="257" t="str">
        <f>VLOOKUP(A181,'3 - PLAN. ORÇAMENTÁRIA'!$B$16:$E$721,3,FALSE)</f>
        <v>PRÓPRIO</v>
      </c>
      <c r="C181" s="265" t="str">
        <f>VLOOKUP(A181,'3 - PLAN. ORÇAMENTÁRIA'!$B$16:$E$721,2,FALSE)</f>
        <v>KIT DE AUTOMATIZAÇÃO DE PORTÃO, INCLUSO: FERRAGENS (VIGA U, ROLDANAS COM PINO, CABO DE AÇO, CHAPA E MONTANTE, ETC.) E MOTOR PPA 1/4 CV - 220V REF. I01276/ORSE</v>
      </c>
      <c r="D181" s="257" t="str">
        <f>VLOOKUP(A181,'3 - PLAN. ORÇAMENTÁRIA'!$B$16:$E$721,4,FALSE)</f>
        <v>UN</v>
      </c>
      <c r="E181" s="266">
        <f>SUMIF('3 - PLAN. ORÇAMENTÁRIA'!$C$15:$C$721,C181,'3 - PLAN. ORÇAMENTÁRIA'!$F$15:$F$721)</f>
        <v>3</v>
      </c>
      <c r="F181" s="267">
        <f>VLOOKUP(A181,'3 - PLAN. ORÇAMENTÁRIA'!$B$16:$I$721,8,FALSE)</f>
        <v>1888.54</v>
      </c>
      <c r="G181" s="267">
        <f>ROUND(E181*F181,2)</f>
        <v>5665.62</v>
      </c>
      <c r="H181" s="262">
        <f t="shared" si="6"/>
        <v>9.6711431193288316E-2</v>
      </c>
      <c r="I181" s="262">
        <f t="shared" si="8"/>
        <v>91.370228055336426</v>
      </c>
      <c r="J181" s="257" t="str">
        <f t="shared" si="7"/>
        <v>B</v>
      </c>
    </row>
    <row r="182" spans="1:10" ht="28.5">
      <c r="A182" s="263">
        <v>87549</v>
      </c>
      <c r="B182" s="257" t="str">
        <f>VLOOKUP(A182,'3 - PLAN. ORÇAMENTÁRIA'!$B$16:$E$721,3,FALSE)</f>
        <v>SINAPI</v>
      </c>
      <c r="C182" s="264" t="s">
        <v>3977</v>
      </c>
      <c r="D182" s="257" t="str">
        <f>VLOOKUP(A182,'3 - PLAN. ORÇAMENTÁRIA'!$B$16:$E$721,4,FALSE)</f>
        <v>M2</v>
      </c>
      <c r="E182" s="266">
        <f>SUMIF('3 - PLAN. ORÇAMENTÁRIA'!$C$15:$C$721,C182,'3 - PLAN. ORÇAMENTÁRIA'!$F$15:$F$721)</f>
        <v>168.73</v>
      </c>
      <c r="F182" s="267">
        <f>VLOOKUP(A182,'3 - PLAN. ORÇAMENTÁRIA'!$B$16:$I$721,8,FALSE)</f>
        <v>33.200000000000003</v>
      </c>
      <c r="G182" s="267">
        <f>ROUND(E182*F182,2)</f>
        <v>5601.84</v>
      </c>
      <c r="H182" s="262">
        <f t="shared" si="6"/>
        <v>9.5622714498291489E-2</v>
      </c>
      <c r="I182" s="262">
        <f t="shared" si="8"/>
        <v>91.465850769834717</v>
      </c>
      <c r="J182" s="257" t="str">
        <f t="shared" si="7"/>
        <v>B</v>
      </c>
    </row>
    <row r="183" spans="1:10" ht="14.25">
      <c r="A183" s="263">
        <v>98519</v>
      </c>
      <c r="B183" s="257" t="str">
        <f>VLOOKUP(A183,'3 - PLAN. ORÇAMENTÁRIA'!$B$16:$E$721,3,FALSE)</f>
        <v>SINAPI</v>
      </c>
      <c r="C183" s="264" t="s">
        <v>1214</v>
      </c>
      <c r="D183" s="257" t="str">
        <f>VLOOKUP(A183,'3 - PLAN. ORÇAMENTÁRIA'!$B$16:$E$721,4,FALSE)</f>
        <v>M2</v>
      </c>
      <c r="E183" s="266">
        <f>SUMIF('3 - PLAN. ORÇAMENTÁRIA'!$C$15:$C$721,C183,'3 - PLAN. ORÇAMENTÁRIA'!$F$15:$F$721)</f>
        <v>1103.0899999999999</v>
      </c>
      <c r="F183" s="267">
        <f>VLOOKUP(A183,'3 - PLAN. ORÇAMENTÁRIA'!$B$16:$I$721,8,FALSE)</f>
        <v>5.01</v>
      </c>
      <c r="G183" s="267">
        <f>ROUND(E183*F183,2)</f>
        <v>5526.48</v>
      </c>
      <c r="H183" s="262">
        <f t="shared" si="6"/>
        <v>9.4336328638539829E-2</v>
      </c>
      <c r="I183" s="262">
        <f t="shared" si="8"/>
        <v>91.56018709847325</v>
      </c>
      <c r="J183" s="257" t="str">
        <f t="shared" si="7"/>
        <v>B</v>
      </c>
    </row>
    <row r="184" spans="1:10" ht="28.5">
      <c r="A184" s="263" t="s">
        <v>2841</v>
      </c>
      <c r="B184" s="257" t="str">
        <f>VLOOKUP(A184,'3 - PLAN. ORÇAMENTÁRIA'!$B$16:$E$721,3,FALSE)</f>
        <v>PRÓPRIO</v>
      </c>
      <c r="C184" s="265" t="str">
        <f>VLOOKUP(A184,'3 - PLAN. ORÇAMENTÁRIA'!$B$16:$E$721,2,FALSE)</f>
        <v>TROCADOR DE FRALDAS ARTICULADO CI-100 SMART AIR OU EQUIVALENTE - FORNECIMENTO E INSTALAÇÃO REF. 100875/SINAPI</v>
      </c>
      <c r="D184" s="257" t="str">
        <f>VLOOKUP(A184,'3 - PLAN. ORÇAMENTÁRIA'!$B$16:$E$721,4,FALSE)</f>
        <v>UN</v>
      </c>
      <c r="E184" s="266">
        <f>SUMIF('3 - PLAN. ORÇAMENTÁRIA'!$C$15:$C$721,C184,'3 - PLAN. ORÇAMENTÁRIA'!$F$15:$F$721)</f>
        <v>3</v>
      </c>
      <c r="F184" s="267">
        <f>VLOOKUP(A184,'3 - PLAN. ORÇAMENTÁRIA'!$B$16:$I$721,8,FALSE)</f>
        <v>1834.94</v>
      </c>
      <c r="G184" s="267">
        <f>ROUND(E184*F184,2)</f>
        <v>5504.82</v>
      </c>
      <c r="H184" s="262">
        <f t="shared" si="6"/>
        <v>9.3966595123117586E-2</v>
      </c>
      <c r="I184" s="262">
        <f t="shared" si="8"/>
        <v>91.654153693596371</v>
      </c>
      <c r="J184" s="257" t="str">
        <f t="shared" si="7"/>
        <v>B</v>
      </c>
    </row>
    <row r="185" spans="1:10" ht="14.25">
      <c r="A185" s="263">
        <v>93382</v>
      </c>
      <c r="B185" s="257" t="str">
        <f>VLOOKUP(A185,'3 - PLAN. ORÇAMENTÁRIA'!$B$16:$E$721,3,FALSE)</f>
        <v>SINAPI</v>
      </c>
      <c r="C185" s="264" t="s">
        <v>220</v>
      </c>
      <c r="D185" s="257" t="str">
        <f>VLOOKUP(A185,'3 - PLAN. ORÇAMENTÁRIA'!$B$16:$E$721,4,FALSE)</f>
        <v>M3</v>
      </c>
      <c r="E185" s="266">
        <f>SUMIF('3 - PLAN. ORÇAMENTÁRIA'!$C$15:$C$721,C185,'3 - PLAN. ORÇAMENTÁRIA'!$F$15:$F$721)</f>
        <v>165.8</v>
      </c>
      <c r="F185" s="267">
        <f>VLOOKUP(A185,'3 - PLAN. ORÇAMENTÁRIA'!$B$16:$I$721,8,FALSE)</f>
        <v>33.18</v>
      </c>
      <c r="G185" s="267">
        <f>ROUND(E185*F185,2)</f>
        <v>5501.24</v>
      </c>
      <c r="H185" s="262">
        <f t="shared" si="6"/>
        <v>9.3905484966828948E-2</v>
      </c>
      <c r="I185" s="262">
        <f t="shared" si="8"/>
        <v>91.748059178563196</v>
      </c>
      <c r="J185" s="257" t="str">
        <f t="shared" si="7"/>
        <v>B</v>
      </c>
    </row>
    <row r="186" spans="1:10" ht="14.25">
      <c r="A186" s="263">
        <v>95592</v>
      </c>
      <c r="B186" s="257" t="str">
        <f>VLOOKUP(A186,'3 - PLAN. ORÇAMENTÁRIA'!$B$16:$E$721,3,FALSE)</f>
        <v>SINAPI</v>
      </c>
      <c r="C186" s="264" t="s">
        <v>2866</v>
      </c>
      <c r="D186" s="257" t="str">
        <f>VLOOKUP(A186,'3 - PLAN. ORÇAMENTÁRIA'!$B$16:$E$721,4,FALSE)</f>
        <v>KG</v>
      </c>
      <c r="E186" s="266">
        <f>SUMIF('3 - PLAN. ORÇAMENTÁRIA'!$C$15:$C$721,C186,'3 - PLAN. ORÇAMENTÁRIA'!$F$15:$F$721)</f>
        <v>255</v>
      </c>
      <c r="F186" s="267">
        <f>VLOOKUP(A186,'3 - PLAN. ORÇAMENTÁRIA'!$B$16:$I$721,8,FALSE)</f>
        <v>21.32</v>
      </c>
      <c r="G186" s="267">
        <f>ROUND(E186*F186,2)</f>
        <v>5436.6</v>
      </c>
      <c r="H186" s="262">
        <f t="shared" si="6"/>
        <v>9.2802088178422004E-2</v>
      </c>
      <c r="I186" s="262">
        <f t="shared" si="8"/>
        <v>91.840861266741612</v>
      </c>
      <c r="J186" s="257" t="str">
        <f t="shared" si="7"/>
        <v>B</v>
      </c>
    </row>
    <row r="187" spans="1:10" ht="28.5">
      <c r="A187" s="263">
        <v>98547</v>
      </c>
      <c r="B187" s="257" t="str">
        <f>VLOOKUP(A187,'3 - PLAN. ORÇAMENTÁRIA'!$B$16:$E$721,3,FALSE)</f>
        <v>SINAPI</v>
      </c>
      <c r="C187" s="264" t="s">
        <v>3822</v>
      </c>
      <c r="D187" s="257" t="str">
        <f>VLOOKUP(A187,'3 - PLAN. ORÇAMENTÁRIA'!$B$16:$E$721,4,FALSE)</f>
        <v>M2</v>
      </c>
      <c r="E187" s="266">
        <f>SUMIF('3 - PLAN. ORÇAMENTÁRIA'!$C$15:$C$721,C187,'3 - PLAN. ORÇAMENTÁRIA'!$F$15:$F$721)</f>
        <v>21.47</v>
      </c>
      <c r="F187" s="267">
        <f>VLOOKUP(A187,'3 - PLAN. ORÇAMENTÁRIA'!$B$16:$I$721,8,FALSE)</f>
        <v>245.2</v>
      </c>
      <c r="G187" s="267">
        <f>ROUND(E187*F187,2)</f>
        <v>5264.44</v>
      </c>
      <c r="H187" s="262">
        <f t="shared" si="6"/>
        <v>8.9863338316229252E-2</v>
      </c>
      <c r="I187" s="262">
        <f t="shared" si="8"/>
        <v>91.930724605057847</v>
      </c>
      <c r="J187" s="257" t="str">
        <f t="shared" si="7"/>
        <v>B</v>
      </c>
    </row>
    <row r="188" spans="1:10" ht="28.5">
      <c r="A188" s="263">
        <v>97327</v>
      </c>
      <c r="B188" s="257" t="str">
        <f>VLOOKUP(A188,'3 - PLAN. ORÇAMENTÁRIA'!$B$16:$E$721,3,FALSE)</f>
        <v>SINAPI</v>
      </c>
      <c r="C188" s="264" t="s">
        <v>751</v>
      </c>
      <c r="D188" s="257" t="str">
        <f>VLOOKUP(A188,'3 - PLAN. ORÇAMENTÁRIA'!$B$16:$E$721,4,FALSE)</f>
        <v>M</v>
      </c>
      <c r="E188" s="266">
        <f>SUMIF('3 - PLAN. ORÇAMENTÁRIA'!$C$15:$C$721,C188,'3 - PLAN. ORÇAMENTÁRIA'!$F$15:$F$721)</f>
        <v>107.08</v>
      </c>
      <c r="F188" s="267">
        <f>VLOOKUP(A188,'3 - PLAN. ORÇAMENTÁRIA'!$B$16:$I$721,8,FALSE)</f>
        <v>49.01</v>
      </c>
      <c r="G188" s="267">
        <f>ROUND(E188*F188,2)</f>
        <v>5247.99</v>
      </c>
      <c r="H188" s="262">
        <f t="shared" si="6"/>
        <v>8.9582538855070615E-2</v>
      </c>
      <c r="I188" s="262">
        <f t="shared" si="8"/>
        <v>92.020307143912916</v>
      </c>
      <c r="J188" s="257" t="str">
        <f t="shared" si="7"/>
        <v>B</v>
      </c>
    </row>
    <row r="189" spans="1:10" ht="28.5">
      <c r="A189" s="263" t="s">
        <v>2951</v>
      </c>
      <c r="B189" s="257" t="str">
        <f>VLOOKUP(A189,'3 - PLAN. ORÇAMENTÁRIA'!$B$16:$E$721,3,FALSE)</f>
        <v>PRÓPRIO</v>
      </c>
      <c r="C189" s="265" t="str">
        <f>VLOOKUP(A189,'3 - PLAN. ORÇAMENTÁRIA'!$B$16:$E$721,2,FALSE)</f>
        <v>QUADRO DE DISTRIBUIÇÃO DE ENERGIA EM CHAPA DE AÇO GALVANIZADO, DE EMBUTIR, COM BARRAMENTO TRIFÁSICO, PARA ATÉ 70 DISJUNTORES DIN 100A - FORNECIMENTO E INSTALAÇÃO. AF_10/2020 REF. 101881/SINAPI</v>
      </c>
      <c r="D189" s="257" t="str">
        <f>VLOOKUP(A189,'3 - PLAN. ORÇAMENTÁRIA'!$B$16:$E$721,4,FALSE)</f>
        <v>UN</v>
      </c>
      <c r="E189" s="266">
        <f>SUMIF('3 - PLAN. ORÇAMENTÁRIA'!$C$15:$C$721,C189,'3 - PLAN. ORÇAMENTÁRIA'!$F$15:$F$721)</f>
        <v>2</v>
      </c>
      <c r="F189" s="267">
        <f>VLOOKUP(A189,'3 - PLAN. ORÇAMENTÁRIA'!$B$16:$I$721,8,FALSE)</f>
        <v>2623.88</v>
      </c>
      <c r="G189" s="267">
        <f>ROUND(E189*F189,2)</f>
        <v>5247.76</v>
      </c>
      <c r="H189" s="262">
        <f t="shared" si="6"/>
        <v>8.9578612783577219E-2</v>
      </c>
      <c r="I189" s="262">
        <f t="shared" si="8"/>
        <v>92.109885756696499</v>
      </c>
      <c r="J189" s="257" t="str">
        <f t="shared" si="7"/>
        <v>B</v>
      </c>
    </row>
    <row r="190" spans="1:10" ht="28.5">
      <c r="A190" s="263">
        <v>98565</v>
      </c>
      <c r="B190" s="257" t="str">
        <f>VLOOKUP(A190,'3 - PLAN. ORÇAMENTÁRIA'!$B$16:$E$721,3,FALSE)</f>
        <v>SINAPI</v>
      </c>
      <c r="C190" s="264" t="s">
        <v>1056</v>
      </c>
      <c r="D190" s="257" t="str">
        <f>VLOOKUP(A190,'3 - PLAN. ORÇAMENTÁRIA'!$B$16:$E$721,4,FALSE)</f>
        <v>M2</v>
      </c>
      <c r="E190" s="266">
        <f>SUMIF('3 - PLAN. ORÇAMENTÁRIA'!$C$15:$C$721,C190,'3 - PLAN. ORÇAMENTÁRIA'!$F$15:$F$721)</f>
        <v>77.34</v>
      </c>
      <c r="F190" s="267">
        <f>VLOOKUP(A190,'3 - PLAN. ORÇAMENTÁRIA'!$B$16:$I$721,8,FALSE)</f>
        <v>66.53</v>
      </c>
      <c r="G190" s="267">
        <f>ROUND(E190*F190,2)</f>
        <v>5145.43</v>
      </c>
      <c r="H190" s="262">
        <f t="shared" si="6"/>
        <v>8.7831852366533847E-2</v>
      </c>
      <c r="I190" s="262">
        <f t="shared" si="8"/>
        <v>92.197717609063034</v>
      </c>
      <c r="J190" s="257" t="str">
        <f t="shared" si="7"/>
        <v>B</v>
      </c>
    </row>
    <row r="191" spans="1:10" ht="14.25">
      <c r="A191" s="263">
        <v>95601</v>
      </c>
      <c r="B191" s="257" t="str">
        <f>VLOOKUP(A191,'3 - PLAN. ORÇAMENTÁRIA'!$B$16:$E$721,3,FALSE)</f>
        <v>SINAPI</v>
      </c>
      <c r="C191" s="264" t="s">
        <v>204</v>
      </c>
      <c r="D191" s="257" t="str">
        <f>VLOOKUP(A191,'3 - PLAN. ORÇAMENTÁRIA'!$B$16:$E$721,4,FALSE)</f>
        <v>UN</v>
      </c>
      <c r="E191" s="266">
        <f>SUMIF('3 - PLAN. ORÇAMENTÁRIA'!$C$15:$C$721,C191,'3 - PLAN. ORÇAMENTÁRIA'!$F$15:$F$721)</f>
        <v>222</v>
      </c>
      <c r="F191" s="267">
        <f>VLOOKUP(A191,'3 - PLAN. ORÇAMENTÁRIA'!$B$16:$I$721,8,FALSE)</f>
        <v>22.84</v>
      </c>
      <c r="G191" s="267">
        <f>ROUND(E191*F191,2)</f>
        <v>5070.4799999999996</v>
      </c>
      <c r="H191" s="262">
        <f t="shared" si="6"/>
        <v>8.6552465155966068E-2</v>
      </c>
      <c r="I191" s="262">
        <f t="shared" si="8"/>
        <v>92.284270074218995</v>
      </c>
      <c r="J191" s="257" t="str">
        <f t="shared" si="7"/>
        <v>B</v>
      </c>
    </row>
    <row r="192" spans="1:10" ht="14.25">
      <c r="A192" s="263">
        <v>104166</v>
      </c>
      <c r="B192" s="257" t="str">
        <f>VLOOKUP(A192,'3 - PLAN. ORÇAMENTÁRIA'!$B$16:$E$721,3,FALSE)</f>
        <v>SINAPI</v>
      </c>
      <c r="C192" s="264" t="s">
        <v>2205</v>
      </c>
      <c r="D192" s="257" t="str">
        <f>VLOOKUP(A192,'3 - PLAN. ORÇAMENTÁRIA'!$B$16:$E$721,4,FALSE)</f>
        <v>M</v>
      </c>
      <c r="E192" s="266">
        <f>SUMIF('3 - PLAN. ORÇAMENTÁRIA'!$C$15:$C$721,C192,'3 - PLAN. ORÇAMENTÁRIA'!$F$15:$F$721)</f>
        <v>52.04</v>
      </c>
      <c r="F192" s="267">
        <f>VLOOKUP(A192,'3 - PLAN. ORÇAMENTÁRIA'!$B$16:$I$721,8,FALSE)</f>
        <v>96.67</v>
      </c>
      <c r="G192" s="267">
        <f>ROUND(E192*F192,2)</f>
        <v>5030.71</v>
      </c>
      <c r="H192" s="262">
        <f t="shared" si="6"/>
        <v>8.5873596185128465E-2</v>
      </c>
      <c r="I192" s="262">
        <f t="shared" si="8"/>
        <v>92.370143670404119</v>
      </c>
      <c r="J192" s="257" t="str">
        <f t="shared" si="7"/>
        <v>B</v>
      </c>
    </row>
    <row r="193" spans="1:10" ht="28.5">
      <c r="A193" s="263">
        <v>98565</v>
      </c>
      <c r="B193" s="257" t="str">
        <f>VLOOKUP(A193,'3 - PLAN. ORÇAMENTÁRIA'!$B$16:$E$721,3,FALSE)</f>
        <v>SINAPI</v>
      </c>
      <c r="C193" s="264" t="s">
        <v>1176</v>
      </c>
      <c r="D193" s="257" t="str">
        <f>VLOOKUP(A193,'3 - PLAN. ORÇAMENTÁRIA'!$B$16:$E$721,4,FALSE)</f>
        <v>M2</v>
      </c>
      <c r="E193" s="266">
        <f>SUMIF('3 - PLAN. ORÇAMENTÁRIA'!$C$15:$C$721,C193,'3 - PLAN. ORÇAMENTÁRIA'!$F$15:$F$721)</f>
        <v>75.53</v>
      </c>
      <c r="F193" s="267">
        <f>VLOOKUP(A193,'3 - PLAN. ORÇAMENTÁRIA'!$B$16:$I$721,8,FALSE)</f>
        <v>66.53</v>
      </c>
      <c r="G193" s="267">
        <f>ROUND(E193*F193,2)</f>
        <v>5025.01</v>
      </c>
      <c r="H193" s="262">
        <f t="shared" si="6"/>
        <v>8.5776297891596284E-2</v>
      </c>
      <c r="I193" s="262">
        <f t="shared" si="8"/>
        <v>92.455919968295717</v>
      </c>
      <c r="J193" s="257" t="str">
        <f t="shared" si="7"/>
        <v>B</v>
      </c>
    </row>
    <row r="194" spans="1:10" ht="14.25">
      <c r="A194" s="263">
        <v>89402</v>
      </c>
      <c r="B194" s="257" t="str">
        <f>VLOOKUP(A194,'3 - PLAN. ORÇAMENTÁRIA'!$B$16:$E$721,3,FALSE)</f>
        <v>SINAPI</v>
      </c>
      <c r="C194" s="264" t="s">
        <v>498</v>
      </c>
      <c r="D194" s="257" t="str">
        <f>VLOOKUP(A194,'3 - PLAN. ORÇAMENTÁRIA'!$B$16:$E$721,4,FALSE)</f>
        <v>M</v>
      </c>
      <c r="E194" s="266">
        <f>SUMIF('3 - PLAN. ORÇAMENTÁRIA'!$C$15:$C$721,C194,'3 - PLAN. ORÇAMENTÁRIA'!$F$15:$F$721)</f>
        <v>305.68</v>
      </c>
      <c r="F194" s="267">
        <f>VLOOKUP(A194,'3 - PLAN. ORÇAMENTÁRIA'!$B$16:$I$721,8,FALSE)</f>
        <v>16.39</v>
      </c>
      <c r="G194" s="267">
        <f>ROUND(E194*F194,2)</f>
        <v>5010.1000000000004</v>
      </c>
      <c r="H194" s="262">
        <f t="shared" si="6"/>
        <v>8.5521786039567407E-2</v>
      </c>
      <c r="I194" s="262">
        <f t="shared" si="8"/>
        <v>92.541441754335281</v>
      </c>
      <c r="J194" s="257" t="str">
        <f t="shared" si="7"/>
        <v>B</v>
      </c>
    </row>
    <row r="195" spans="1:10" ht="28.5">
      <c r="A195" s="263">
        <v>90467</v>
      </c>
      <c r="B195" s="257" t="str">
        <f>VLOOKUP(A195,'3 - PLAN. ORÇAMENTÁRIA'!$B$16:$E$721,3,FALSE)</f>
        <v>SINAPI</v>
      </c>
      <c r="C195" s="264" t="s">
        <v>2916</v>
      </c>
      <c r="D195" s="257" t="str">
        <f>VLOOKUP(A195,'3 - PLAN. ORÇAMENTÁRIA'!$B$16:$E$721,4,FALSE)</f>
        <v>M</v>
      </c>
      <c r="E195" s="266">
        <f>SUMIF('3 - PLAN. ORÇAMENTÁRIA'!$C$15:$C$721,C195,'3 - PLAN. ORÇAMENTÁRIA'!$F$15:$F$721)</f>
        <v>166.35</v>
      </c>
      <c r="F195" s="267">
        <f>VLOOKUP(A195,'3 - PLAN. ORÇAMENTÁRIA'!$B$16:$I$721,8,FALSE)</f>
        <v>30.03</v>
      </c>
      <c r="G195" s="267">
        <f>ROUND(E195*F195,2)</f>
        <v>4995.49</v>
      </c>
      <c r="H195" s="262">
        <f t="shared" si="6"/>
        <v>8.5272395150355992E-2</v>
      </c>
      <c r="I195" s="262">
        <f t="shared" si="8"/>
        <v>92.626714149485636</v>
      </c>
      <c r="J195" s="257" t="str">
        <f t="shared" si="7"/>
        <v>B</v>
      </c>
    </row>
    <row r="196" spans="1:10" ht="28.5">
      <c r="A196" s="263">
        <v>89987</v>
      </c>
      <c r="B196" s="257" t="str">
        <f>VLOOKUP(A196,'3 - PLAN. ORÇAMENTÁRIA'!$B$16:$E$721,3,FALSE)</f>
        <v>SINAPI</v>
      </c>
      <c r="C196" s="264" t="s">
        <v>2291</v>
      </c>
      <c r="D196" s="257" t="str">
        <f>VLOOKUP(A196,'3 - PLAN. ORÇAMENTÁRIA'!$B$16:$E$721,4,FALSE)</f>
        <v>UN</v>
      </c>
      <c r="E196" s="266">
        <f>SUMIF('3 - PLAN. ORÇAMENTÁRIA'!$C$15:$C$721,C196,'3 - PLAN. ORÇAMENTÁRIA'!$F$15:$F$721)</f>
        <v>38</v>
      </c>
      <c r="F196" s="267">
        <f>VLOOKUP(A196,'3 - PLAN. ORÇAMENTÁRIA'!$B$16:$I$721,8,FALSE)</f>
        <v>129.6</v>
      </c>
      <c r="G196" s="267">
        <f>ROUND(E196*F196,2)</f>
        <v>4924.8</v>
      </c>
      <c r="H196" s="262">
        <f t="shared" si="6"/>
        <v>8.4065725611796469E-2</v>
      </c>
      <c r="I196" s="262">
        <f t="shared" si="8"/>
        <v>92.71077987509743</v>
      </c>
      <c r="J196" s="257" t="str">
        <f t="shared" si="7"/>
        <v>B</v>
      </c>
    </row>
    <row r="197" spans="1:10" ht="28.5">
      <c r="A197" s="263">
        <v>100868</v>
      </c>
      <c r="B197" s="257" t="str">
        <f>VLOOKUP(A197,'3 - PLAN. ORÇAMENTÁRIA'!$B$16:$E$721,3,FALSE)</f>
        <v>SINAPI</v>
      </c>
      <c r="C197" s="264" t="s">
        <v>1133</v>
      </c>
      <c r="D197" s="257" t="str">
        <f>VLOOKUP(A197,'3 - PLAN. ORÇAMENTÁRIA'!$B$16:$E$721,4,FALSE)</f>
        <v>UN</v>
      </c>
      <c r="E197" s="266">
        <f>SUMIF('3 - PLAN. ORÇAMENTÁRIA'!$C$15:$C$721,C197,'3 - PLAN. ORÇAMENTÁRIA'!$F$15:$F$721)</f>
        <v>12</v>
      </c>
      <c r="F197" s="267">
        <f>VLOOKUP(A197,'3 - PLAN. ORÇAMENTÁRIA'!$B$16:$I$721,8,FALSE)</f>
        <v>408.74</v>
      </c>
      <c r="G197" s="267">
        <f>ROUND(E197*F197,2)</f>
        <v>4904.88</v>
      </c>
      <c r="H197" s="262">
        <f t="shared" si="6"/>
        <v>8.3725693680715613E-2</v>
      </c>
      <c r="I197" s="262">
        <f t="shared" si="8"/>
        <v>92.794505568778149</v>
      </c>
      <c r="J197" s="257" t="str">
        <f t="shared" si="7"/>
        <v>B</v>
      </c>
    </row>
    <row r="198" spans="1:10" ht="14.25">
      <c r="A198" s="263">
        <v>99814</v>
      </c>
      <c r="B198" s="257" t="str">
        <f>VLOOKUP(A198,'3 - PLAN. ORÇAMENTÁRIA'!$B$16:$E$721,3,FALSE)</f>
        <v>SINAPI</v>
      </c>
      <c r="C198" s="264" t="s">
        <v>2636</v>
      </c>
      <c r="D198" s="257" t="str">
        <f>VLOOKUP(A198,'3 - PLAN. ORÇAMENTÁRIA'!$B$16:$E$721,4,FALSE)</f>
        <v>M2</v>
      </c>
      <c r="E198" s="266">
        <f>SUMIF('3 - PLAN. ORÇAMENTÁRIA'!$C$15:$C$721,C198,'3 - PLAN. ORÇAMENTÁRIA'!$F$15:$F$721)</f>
        <v>1813.91</v>
      </c>
      <c r="F198" s="267">
        <f>VLOOKUP(A198,'3 - PLAN. ORÇAMENTÁRIA'!$B$16:$I$721,8,FALSE)</f>
        <v>2.64</v>
      </c>
      <c r="G198" s="267">
        <f>ROUND(E198*F198,2)</f>
        <v>4788.72</v>
      </c>
      <c r="H198" s="262">
        <f t="shared" si="6"/>
        <v>8.1742856877786305E-2</v>
      </c>
      <c r="I198" s="262">
        <f t="shared" si="8"/>
        <v>92.87624842565593</v>
      </c>
      <c r="J198" s="257" t="str">
        <f t="shared" si="7"/>
        <v>B</v>
      </c>
    </row>
    <row r="199" spans="1:10" ht="28.5">
      <c r="A199" s="263">
        <v>100867</v>
      </c>
      <c r="B199" s="257" t="str">
        <f>VLOOKUP(A199,'3 - PLAN. ORÇAMENTÁRIA'!$B$16:$E$721,3,FALSE)</f>
        <v>SINAPI</v>
      </c>
      <c r="C199" s="264" t="s">
        <v>1132</v>
      </c>
      <c r="D199" s="257" t="str">
        <f>VLOOKUP(A199,'3 - PLAN. ORÇAMENTÁRIA'!$B$16:$E$721,4,FALSE)</f>
        <v>UN</v>
      </c>
      <c r="E199" s="266">
        <f>SUMIF('3 - PLAN. ORÇAMENTÁRIA'!$C$15:$C$721,C199,'3 - PLAN. ORÇAMENTÁRIA'!$F$15:$F$721)</f>
        <v>12</v>
      </c>
      <c r="F199" s="267">
        <f>VLOOKUP(A199,'3 - PLAN. ORÇAMENTÁRIA'!$B$16:$I$721,8,FALSE)</f>
        <v>394.85</v>
      </c>
      <c r="G199" s="267">
        <f>ROUND(E199*F199,2)</f>
        <v>4738.2</v>
      </c>
      <c r="H199" s="262">
        <f t="shared" si="6"/>
        <v>8.0880486739322216E-2</v>
      </c>
      <c r="I199" s="262">
        <f t="shared" si="8"/>
        <v>92.957128912395248</v>
      </c>
      <c r="J199" s="257" t="str">
        <f t="shared" si="7"/>
        <v>B</v>
      </c>
    </row>
    <row r="200" spans="1:10" ht="28.5">
      <c r="A200" s="263">
        <v>87879</v>
      </c>
      <c r="B200" s="257" t="str">
        <f>VLOOKUP(A200,'3 - PLAN. ORÇAMENTÁRIA'!$B$16:$E$721,3,FALSE)</f>
        <v>SINAPI</v>
      </c>
      <c r="C200" s="264" t="s">
        <v>3973</v>
      </c>
      <c r="D200" s="257" t="str">
        <f>VLOOKUP(A200,'3 - PLAN. ORÇAMENTÁRIA'!$B$16:$E$721,4,FALSE)</f>
        <v>M2</v>
      </c>
      <c r="E200" s="266">
        <f>SUMIF('3 - PLAN. ORÇAMENTÁRIA'!$C$15:$C$721,C200,'3 - PLAN. ORÇAMENTÁRIA'!$F$15:$F$721)</f>
        <v>787.64</v>
      </c>
      <c r="F200" s="267">
        <f>VLOOKUP(A200,'3 - PLAN. ORÇAMENTÁRIA'!$B$16:$I$721,8,FALSE)</f>
        <v>6</v>
      </c>
      <c r="G200" s="267">
        <f>ROUND(E200*F200,2)</f>
        <v>4725.84</v>
      </c>
      <c r="H200" s="262">
        <f t="shared" si="6"/>
        <v>8.0669503071241933E-2</v>
      </c>
      <c r="I200" s="262">
        <f t="shared" si="8"/>
        <v>93.037798415466497</v>
      </c>
      <c r="J200" s="257" t="str">
        <f t="shared" si="7"/>
        <v>B</v>
      </c>
    </row>
    <row r="201" spans="1:10" ht="14.25">
      <c r="A201" s="263" t="s">
        <v>1969</v>
      </c>
      <c r="B201" s="257" t="str">
        <f>VLOOKUP(A201,'3 - PLAN. ORÇAMENTÁRIA'!$B$16:$E$721,3,FALSE)</f>
        <v>PRÓPRIO</v>
      </c>
      <c r="C201" s="265" t="str">
        <f>VLOOKUP(A201,'3 - PLAN. ORÇAMENTÁRIA'!$B$16:$E$721,2,FALSE)</f>
        <v>PERFILADO PERFURADO 38 X 38 MM EM CHAPA 14 PRÉ-ZINCADA, COM ACESSÓRIOS REF. 38.07.300/SP OBRAS</v>
      </c>
      <c r="D201" s="257" t="str">
        <f>VLOOKUP(A201,'3 - PLAN. ORÇAMENTÁRIA'!$B$16:$E$721,4,FALSE)</f>
        <v>M</v>
      </c>
      <c r="E201" s="266">
        <f>SUMIF('3 - PLAN. ORÇAMENTÁRIA'!$C$15:$C$721,C201,'3 - PLAN. ORÇAMENTÁRIA'!$F$15:$F$721)</f>
        <v>162.74</v>
      </c>
      <c r="F201" s="267">
        <f>VLOOKUP(A201,'3 - PLAN. ORÇAMENTÁRIA'!$B$16:$I$721,8,FALSE)</f>
        <v>28.88</v>
      </c>
      <c r="G201" s="267">
        <f>ROUND(E201*F201,2)</f>
        <v>4699.93</v>
      </c>
      <c r="H201" s="262">
        <f t="shared" ref="H201:H264" si="9">(G201*100)/SUM($G$8:$G$519)</f>
        <v>8.0227222582572005E-2</v>
      </c>
      <c r="I201" s="262">
        <f t="shared" si="8"/>
        <v>93.118025638049076</v>
      </c>
      <c r="J201" s="257" t="str">
        <f t="shared" ref="J201:J264" si="10">IF(I201&lt;80,"A",IF(I201&lt;95,"B","C"))</f>
        <v>B</v>
      </c>
    </row>
    <row r="202" spans="1:10" ht="14.25">
      <c r="A202" s="263" t="s">
        <v>4066</v>
      </c>
      <c r="B202" s="257" t="str">
        <f>VLOOKUP(A202,'3 - PLAN. ORÇAMENTÁRIA'!$B$16:$E$721,3,FALSE)</f>
        <v>PRÓPRIO</v>
      </c>
      <c r="C202" s="265" t="str">
        <f>VLOOKUP(A202,'3 - PLAN. ORÇAMENTÁRIA'!$B$16:$E$721,2,FALSE)</f>
        <v>AS BUILT ELÉTRICA REF. I07325/ORSE</v>
      </c>
      <c r="D202" s="257" t="str">
        <f>VLOOKUP(A202,'3 - PLAN. ORÇAMENTÁRIA'!$B$16:$E$721,4,FALSE)</f>
        <v>M2</v>
      </c>
      <c r="E202" s="266">
        <f>SUMIF('3 - PLAN. ORÇAMENTÁRIA'!$C$15:$C$721,C202,'3 - PLAN. ORÇAMENTÁRIA'!$F$15:$F$721)</f>
        <v>3530.83</v>
      </c>
      <c r="F202" s="267">
        <f>VLOOKUP(A202,'3 - PLAN. ORÇAMENTÁRIA'!$B$16:$I$721,8,FALSE)</f>
        <v>1.22</v>
      </c>
      <c r="G202" s="267">
        <f>ROUND(E202*F202,2)</f>
        <v>4307.6099999999997</v>
      </c>
      <c r="H202" s="262">
        <f t="shared" si="9"/>
        <v>7.3530368807389251E-2</v>
      </c>
      <c r="I202" s="262">
        <f t="shared" ref="I202:I265" si="11">H202+I201</f>
        <v>93.191556006856459</v>
      </c>
      <c r="J202" s="257" t="str">
        <f t="shared" si="10"/>
        <v>B</v>
      </c>
    </row>
    <row r="203" spans="1:10" ht="14.25">
      <c r="A203" s="263" t="s">
        <v>4068</v>
      </c>
      <c r="B203" s="257" t="str">
        <f>VLOOKUP(A203,'3 - PLAN. ORÇAMENTÁRIA'!$B$16:$E$721,3,FALSE)</f>
        <v>PRÓPRIO</v>
      </c>
      <c r="C203" s="265" t="str">
        <f>VLOOKUP(A203,'3 - PLAN. ORÇAMENTÁRIA'!$B$16:$E$721,2,FALSE)</f>
        <v>AS BUILT HIDROSSANITÁRIO REF. I07325/ORSE</v>
      </c>
      <c r="D203" s="257" t="str">
        <f>VLOOKUP(A203,'3 - PLAN. ORÇAMENTÁRIA'!$B$16:$E$721,4,FALSE)</f>
        <v>M2</v>
      </c>
      <c r="E203" s="266">
        <f>SUMIF('3 - PLAN. ORÇAMENTÁRIA'!$C$15:$C$721,C203,'3 - PLAN. ORÇAMENTÁRIA'!$F$15:$F$721)</f>
        <v>3530.83</v>
      </c>
      <c r="F203" s="267">
        <f>VLOOKUP(A203,'3 - PLAN. ORÇAMENTÁRIA'!$B$16:$I$721,8,FALSE)</f>
        <v>1.22</v>
      </c>
      <c r="G203" s="267">
        <f>ROUND(E203*F203,2)</f>
        <v>4307.6099999999997</v>
      </c>
      <c r="H203" s="262">
        <f t="shared" si="9"/>
        <v>7.3530368807389251E-2</v>
      </c>
      <c r="I203" s="262">
        <f t="shared" si="11"/>
        <v>93.265086375663842</v>
      </c>
      <c r="J203" s="257" t="str">
        <f t="shared" si="10"/>
        <v>B</v>
      </c>
    </row>
    <row r="204" spans="1:10" ht="14.25">
      <c r="A204" s="263" t="s">
        <v>2019</v>
      </c>
      <c r="B204" s="257" t="str">
        <f>VLOOKUP(A204,'3 - PLAN. ORÇAMENTÁRIA'!$B$16:$E$721,3,FALSE)</f>
        <v>PRÓPRIO</v>
      </c>
      <c r="C204" s="265" t="str">
        <f>VLOOKUP(A204,'3 - PLAN. ORÇAMENTÁRIA'!$B$16:$E$721,2,FALSE)</f>
        <v>AS BUILT ARQUITETURA REF. I07325/ORSE</v>
      </c>
      <c r="D204" s="257" t="str">
        <f>VLOOKUP(A204,'3 - PLAN. ORÇAMENTÁRIA'!$B$16:$E$721,4,FALSE)</f>
        <v>M2</v>
      </c>
      <c r="E204" s="266">
        <f>SUMIF('3 - PLAN. ORÇAMENTÁRIA'!$C$15:$C$721,C204,'3 - PLAN. ORÇAMENTÁRIA'!$F$15:$F$721)</f>
        <v>3530.83</v>
      </c>
      <c r="F204" s="267">
        <f>VLOOKUP(A204,'3 - PLAN. ORÇAMENTÁRIA'!$B$16:$I$721,8,FALSE)</f>
        <v>1.22</v>
      </c>
      <c r="G204" s="267">
        <f>ROUND(E204*F204,2)</f>
        <v>4307.6099999999997</v>
      </c>
      <c r="H204" s="262">
        <f t="shared" si="9"/>
        <v>7.3530368807389251E-2</v>
      </c>
      <c r="I204" s="262">
        <f t="shared" si="11"/>
        <v>93.338616744471224</v>
      </c>
      <c r="J204" s="257" t="str">
        <f t="shared" si="10"/>
        <v>B</v>
      </c>
    </row>
    <row r="205" spans="1:10" ht="28.5">
      <c r="A205" s="263">
        <v>96368</v>
      </c>
      <c r="B205" s="257" t="str">
        <f>VLOOKUP(A205,'3 - PLAN. ORÇAMENTÁRIA'!$B$16:$E$721,3,FALSE)</f>
        <v>SINAPI</v>
      </c>
      <c r="C205" s="264" t="s">
        <v>2493</v>
      </c>
      <c r="D205" s="257" t="str">
        <f>VLOOKUP(A205,'3 - PLAN. ORÇAMENTÁRIA'!$B$16:$E$721,4,FALSE)</f>
        <v>M2</v>
      </c>
      <c r="E205" s="266">
        <f>SUMIF('3 - PLAN. ORÇAMENTÁRIA'!$C$15:$C$721,C205,'3 - PLAN. ORÇAMENTÁRIA'!$F$15:$F$721)</f>
        <v>22.18</v>
      </c>
      <c r="F205" s="267">
        <f>VLOOKUP(A205,'3 - PLAN. ORÇAMENTÁRIA'!$B$16:$I$721,8,FALSE)</f>
        <v>190.58</v>
      </c>
      <c r="G205" s="267">
        <f>ROUND(E205*F205,2)</f>
        <v>4227.0600000000004</v>
      </c>
      <c r="H205" s="262">
        <f t="shared" si="9"/>
        <v>7.2155390290895155E-2</v>
      </c>
      <c r="I205" s="262">
        <f t="shared" si="11"/>
        <v>93.410772134762126</v>
      </c>
      <c r="J205" s="257" t="str">
        <f t="shared" si="10"/>
        <v>B</v>
      </c>
    </row>
    <row r="206" spans="1:10" ht="14.25">
      <c r="A206" s="263" t="s">
        <v>1901</v>
      </c>
      <c r="B206" s="257" t="str">
        <f>VLOOKUP(A206,'3 - PLAN. ORÇAMENTÁRIA'!$B$16:$E$721,3,FALSE)</f>
        <v>PRÓPRIO</v>
      </c>
      <c r="C206" s="265" t="str">
        <f>VLOOKUP(A206,'3 - PLAN. ORÇAMENTÁRIA'!$B$16:$E$721,2,FALSE)</f>
        <v>PORTINHOLA EM ALUMÍNIO ANODIZADO, TIPO VENEZIANA, SOB MEDIDA - BRONZE/PRETO REF. 25.02.260/SP OBRAS</v>
      </c>
      <c r="D206" s="257" t="str">
        <f>VLOOKUP(A206,'3 - PLAN. ORÇAMENTÁRIA'!$B$16:$E$721,4,FALSE)</f>
        <v>M2</v>
      </c>
      <c r="E206" s="266">
        <f>SUMIF('3 - PLAN. ORÇAMENTÁRIA'!$C$15:$C$721,C206,'3 - PLAN. ORÇAMENTÁRIA'!$F$15:$F$721)</f>
        <v>2.59</v>
      </c>
      <c r="F206" s="267">
        <f>VLOOKUP(A206,'3 - PLAN. ORÇAMENTÁRIA'!$B$16:$I$721,8,FALSE)</f>
        <v>1631.84</v>
      </c>
      <c r="G206" s="267">
        <f>ROUND(E206*F206,2)</f>
        <v>4226.47</v>
      </c>
      <c r="H206" s="262">
        <f t="shared" si="9"/>
        <v>7.214531906402076E-2</v>
      </c>
      <c r="I206" s="262">
        <f t="shared" si="11"/>
        <v>93.482917453826147</v>
      </c>
      <c r="J206" s="257" t="str">
        <f t="shared" si="10"/>
        <v>B</v>
      </c>
    </row>
    <row r="207" spans="1:10" ht="28.5">
      <c r="A207" s="263">
        <v>96523</v>
      </c>
      <c r="B207" s="257" t="str">
        <f>VLOOKUP(A207,'3 - PLAN. ORÇAMENTÁRIA'!$B$16:$E$721,3,FALSE)</f>
        <v>SINAPI</v>
      </c>
      <c r="C207" s="264" t="s">
        <v>208</v>
      </c>
      <c r="D207" s="257" t="str">
        <f>VLOOKUP(A207,'3 - PLAN. ORÇAMENTÁRIA'!$B$16:$E$721,4,FALSE)</f>
        <v>M3</v>
      </c>
      <c r="E207" s="266">
        <f>SUMIF('3 - PLAN. ORÇAMENTÁRIA'!$C$15:$C$721,C207,'3 - PLAN. ORÇAMENTÁRIA'!$F$15:$F$721)</f>
        <v>33</v>
      </c>
      <c r="F207" s="267">
        <f>VLOOKUP(A207,'3 - PLAN. ORÇAMENTÁRIA'!$B$16:$I$721,8,FALSE)</f>
        <v>127.74</v>
      </c>
      <c r="G207" s="267">
        <f>ROUND(E207*F207,2)</f>
        <v>4215.42</v>
      </c>
      <c r="H207" s="262">
        <f t="shared" si="9"/>
        <v>7.1956696933576814E-2</v>
      </c>
      <c r="I207" s="262">
        <f t="shared" si="11"/>
        <v>93.55487415075973</v>
      </c>
      <c r="J207" s="257" t="str">
        <f t="shared" si="10"/>
        <v>B</v>
      </c>
    </row>
    <row r="208" spans="1:10" ht="28.5">
      <c r="A208" s="263" t="s">
        <v>4040</v>
      </c>
      <c r="B208" s="257" t="str">
        <f>VLOOKUP(A208,'3 - PLAN. ORÇAMENTÁRIA'!$B$16:$E$721,3,FALSE)</f>
        <v>PRÓPRIO</v>
      </c>
      <c r="C208" s="265" t="str">
        <f>VLOOKUP(A208,'3 - PLAN. ORÇAMENTÁRIA'!$B$16:$E$721,2,FALSE)</f>
        <v>ASSENTO SANITÁRIO LINHA VOGUE PLUS AP51, DA DECA (OU SIMILAR0 - FORNECIMENTO E INTALAÇÃO.AF_01/2020 REF. 100849/SINAPI</v>
      </c>
      <c r="D208" s="257" t="str">
        <f>VLOOKUP(A208,'3 - PLAN. ORÇAMENTÁRIA'!$B$16:$E$721,4,FALSE)</f>
        <v>UN</v>
      </c>
      <c r="E208" s="266">
        <f>SUMIF('3 - PLAN. ORÇAMENTÁRIA'!$C$15:$C$721,C208,'3 - PLAN. ORÇAMENTÁRIA'!$F$15:$F$721)</f>
        <v>10</v>
      </c>
      <c r="F208" s="267">
        <f>VLOOKUP(A208,'3 - PLAN. ORÇAMENTÁRIA'!$B$16:$I$721,8,FALSE)</f>
        <v>421.31</v>
      </c>
      <c r="G208" s="267">
        <f>ROUND(E208*F208,2)</f>
        <v>4213.1000000000004</v>
      </c>
      <c r="H208" s="262">
        <f t="shared" si="9"/>
        <v>7.1917094821121616E-2</v>
      </c>
      <c r="I208" s="262">
        <f t="shared" si="11"/>
        <v>93.626791245580847</v>
      </c>
      <c r="J208" s="257" t="str">
        <f t="shared" si="10"/>
        <v>B</v>
      </c>
    </row>
    <row r="209" spans="1:10" ht="14.25">
      <c r="A209" s="263" t="s">
        <v>1906</v>
      </c>
      <c r="B209" s="257" t="str">
        <f>VLOOKUP(A209,'3 - PLAN. ORÇAMENTÁRIA'!$B$16:$E$721,3,FALSE)</f>
        <v>PRÓPRIO</v>
      </c>
      <c r="C209" s="265" t="str">
        <f>VLOOKUP(A209,'3 - PLAN. ORÇAMENTÁRIA'!$B$16:$E$721,2,FALSE)</f>
        <v>REFLETOR RGB LED 400W COM MEMÓRIA - FORNECIMENTO E INSTALAÇÃO REF. S12808/ORSE</v>
      </c>
      <c r="D209" s="257" t="str">
        <f>VLOOKUP(A209,'3 - PLAN. ORÇAMENTÁRIA'!$B$16:$E$721,4,FALSE)</f>
        <v>UN</v>
      </c>
      <c r="E209" s="266">
        <f>SUMIF('3 - PLAN. ORÇAMENTÁRIA'!$C$15:$C$721,C209,'3 - PLAN. ORÇAMENTÁRIA'!$F$15:$F$721)</f>
        <v>14</v>
      </c>
      <c r="F209" s="267">
        <f>VLOOKUP(A209,'3 - PLAN. ORÇAMENTÁRIA'!$B$16:$I$721,8,FALSE)</f>
        <v>296.68</v>
      </c>
      <c r="G209" s="267">
        <f>ROUND(E209*F209,2)</f>
        <v>4153.5200000000004</v>
      </c>
      <c r="H209" s="262">
        <f t="shared" si="9"/>
        <v>7.0900071605569548E-2</v>
      </c>
      <c r="I209" s="262">
        <f t="shared" si="11"/>
        <v>93.697691317186411</v>
      </c>
      <c r="J209" s="257" t="str">
        <f t="shared" si="10"/>
        <v>B</v>
      </c>
    </row>
    <row r="210" spans="1:10" ht="28.5">
      <c r="A210" s="263">
        <v>96114</v>
      </c>
      <c r="B210" s="257" t="str">
        <f>VLOOKUP(A210,'3 - PLAN. ORÇAMENTÁRIA'!$B$16:$E$721,3,FALSE)</f>
        <v>SINAPI</v>
      </c>
      <c r="C210" s="264" t="s">
        <v>1202</v>
      </c>
      <c r="D210" s="257" t="str">
        <f>VLOOKUP(A210,'3 - PLAN. ORÇAMENTÁRIA'!$B$16:$E$721,4,FALSE)</f>
        <v>M2</v>
      </c>
      <c r="E210" s="266">
        <f>SUMIF('3 - PLAN. ORÇAMENTÁRIA'!$C$15:$C$721,C210,'3 - PLAN. ORÇAMENTÁRIA'!$F$15:$F$721)</f>
        <v>48.7</v>
      </c>
      <c r="F210" s="267">
        <f>VLOOKUP(A210,'3 - PLAN. ORÇAMENTÁRIA'!$B$16:$I$721,8,FALSE)</f>
        <v>84.46</v>
      </c>
      <c r="G210" s="267">
        <f>ROUND(E210*F210,2)</f>
        <v>4113.2</v>
      </c>
      <c r="H210" s="262">
        <f t="shared" si="9"/>
        <v>7.0211814202899861E-2</v>
      </c>
      <c r="I210" s="262">
        <f t="shared" si="11"/>
        <v>93.767903131389318</v>
      </c>
      <c r="J210" s="257" t="str">
        <f t="shared" si="10"/>
        <v>B</v>
      </c>
    </row>
    <row r="211" spans="1:10" ht="28.5">
      <c r="A211" s="263">
        <v>87879</v>
      </c>
      <c r="B211" s="257" t="str">
        <f>VLOOKUP(A211,'3 - PLAN. ORÇAMENTÁRIA'!$B$16:$E$721,3,FALSE)</f>
        <v>SINAPI</v>
      </c>
      <c r="C211" s="264" t="s">
        <v>4032</v>
      </c>
      <c r="D211" s="257" t="str">
        <f>VLOOKUP(A211,'3 - PLAN. ORÇAMENTÁRIA'!$B$16:$E$721,4,FALSE)</f>
        <v>M2</v>
      </c>
      <c r="E211" s="266">
        <f>SUMIF('3 - PLAN. ORÇAMENTÁRIA'!$C$15:$C$721,C211,'3 - PLAN. ORÇAMENTÁRIA'!$F$15:$F$721)</f>
        <v>683.58</v>
      </c>
      <c r="F211" s="267">
        <f>VLOOKUP(A211,'3 - PLAN. ORÇAMENTÁRIA'!$B$16:$I$721,8,FALSE)</f>
        <v>6</v>
      </c>
      <c r="G211" s="267">
        <f>ROUND(E211*F211,2)</f>
        <v>4101.4799999999996</v>
      </c>
      <c r="H211" s="262">
        <f t="shared" si="9"/>
        <v>7.0011755255496869E-2</v>
      </c>
      <c r="I211" s="262">
        <f t="shared" si="11"/>
        <v>93.837914886644811</v>
      </c>
      <c r="J211" s="257" t="str">
        <f t="shared" si="10"/>
        <v>B</v>
      </c>
    </row>
    <row r="212" spans="1:10" ht="28.5">
      <c r="A212" s="263" t="s">
        <v>1999</v>
      </c>
      <c r="B212" s="257" t="str">
        <f>VLOOKUP(A212,'3 - PLAN. ORÇAMENTÁRIA'!$B$16:$E$721,3,FALSE)</f>
        <v>PRÓPRIO</v>
      </c>
      <c r="C212" s="265" t="str">
        <f>VLOOKUP(A212,'3 - PLAN. ORÇAMENTÁRIA'!$B$16:$E$721,2,FALSE)</f>
        <v>DUTOS EM CHAPA DE AÇO GALVANIZADO - DIMENSÕES E EXECUÇÕES CONFORME O PROJETO REF. 61.20.450/SP OBRAS</v>
      </c>
      <c r="D212" s="257" t="str">
        <f>VLOOKUP(A212,'3 - PLAN. ORÇAMENTÁRIA'!$B$16:$E$721,4,FALSE)</f>
        <v>KG</v>
      </c>
      <c r="E212" s="266">
        <f>SUMIF('3 - PLAN. ORÇAMENTÁRIA'!$C$15:$C$721,C212,'3 - PLAN. ORÇAMENTÁRIA'!$F$15:$F$721)</f>
        <v>64.03</v>
      </c>
      <c r="F212" s="267">
        <f>VLOOKUP(A212,'3 - PLAN. ORÇAMENTÁRIA'!$B$16:$I$721,8,FALSE)</f>
        <v>62.82</v>
      </c>
      <c r="G212" s="267">
        <f>ROUND(E212*F212,2)</f>
        <v>4022.36</v>
      </c>
      <c r="H212" s="262">
        <f t="shared" si="9"/>
        <v>6.8661186661766099E-2</v>
      </c>
      <c r="I212" s="262">
        <f t="shared" si="11"/>
        <v>93.906576073306582</v>
      </c>
      <c r="J212" s="257" t="str">
        <f t="shared" si="10"/>
        <v>B</v>
      </c>
    </row>
    <row r="213" spans="1:10" ht="14.25">
      <c r="A213" s="263" t="s">
        <v>2703</v>
      </c>
      <c r="B213" s="257" t="str">
        <f>VLOOKUP(A213,'3 - PLAN. ORÇAMENTÁRIA'!$B$16:$E$721,3,FALSE)</f>
        <v>PRÓPRIO</v>
      </c>
      <c r="C213" s="265" t="str">
        <f>VLOOKUP(A213,'3 - PLAN. ORÇAMENTÁRIA'!$B$16:$E$721,2,FALSE)</f>
        <v>CUBA DE SEMI-ENCAIXE DECA REF L-830 OU SIMILAR, QUADRADA, 40x40 CM, EXCLUSIVE TORNEIRA REF. 100852/SINAPI</v>
      </c>
      <c r="D213" s="257" t="str">
        <f>VLOOKUP(A213,'3 - PLAN. ORÇAMENTÁRIA'!$B$16:$E$721,4,FALSE)</f>
        <v>UN</v>
      </c>
      <c r="E213" s="266">
        <f>SUMIF('3 - PLAN. ORÇAMENTÁRIA'!$C$15:$C$721,C213,'3 - PLAN. ORÇAMENTÁRIA'!$F$15:$F$721)</f>
        <v>4</v>
      </c>
      <c r="F213" s="267">
        <f>VLOOKUP(A213,'3 - PLAN. ORÇAMENTÁRIA'!$B$16:$I$721,8,FALSE)</f>
        <v>998.36</v>
      </c>
      <c r="G213" s="267">
        <f>ROUND(E213*F213,2)</f>
        <v>3993.44</v>
      </c>
      <c r="H213" s="262">
        <f t="shared" si="9"/>
        <v>6.8167525846160759E-2</v>
      </c>
      <c r="I213" s="262">
        <f t="shared" si="11"/>
        <v>93.974743599152745</v>
      </c>
      <c r="J213" s="257" t="str">
        <f t="shared" si="10"/>
        <v>B</v>
      </c>
    </row>
    <row r="214" spans="1:10" ht="14.25">
      <c r="A214" s="263">
        <v>88485</v>
      </c>
      <c r="B214" s="257" t="str">
        <f>VLOOKUP(A214,'3 - PLAN. ORÇAMENTÁRIA'!$B$16:$E$721,3,FALSE)</f>
        <v>SINAPI</v>
      </c>
      <c r="C214" s="264" t="s">
        <v>303</v>
      </c>
      <c r="D214" s="257" t="str">
        <f>VLOOKUP(A214,'3 - PLAN. ORÇAMENTÁRIA'!$B$16:$E$721,4,FALSE)</f>
        <v>M2</v>
      </c>
      <c r="E214" s="266">
        <f>SUMIF('3 - PLAN. ORÇAMENTÁRIA'!$C$15:$C$721,C214,'3 - PLAN. ORÇAMENTÁRIA'!$F$15:$F$721)</f>
        <v>683.58</v>
      </c>
      <c r="F214" s="267">
        <f>VLOOKUP(A214,'3 - PLAN. ORÇAMENTÁRIA'!$B$16:$I$721,8,FALSE)</f>
        <v>5.84</v>
      </c>
      <c r="G214" s="267">
        <f>ROUND(E214*F214,2)</f>
        <v>3992.11</v>
      </c>
      <c r="H214" s="262">
        <f t="shared" si="9"/>
        <v>6.8144822911003253E-2</v>
      </c>
      <c r="I214" s="262">
        <f t="shared" si="11"/>
        <v>94.042888422063754</v>
      </c>
      <c r="J214" s="257" t="str">
        <f t="shared" si="10"/>
        <v>B</v>
      </c>
    </row>
    <row r="215" spans="1:10" ht="14.25">
      <c r="A215" s="263" t="s">
        <v>2247</v>
      </c>
      <c r="B215" s="257" t="str">
        <f>VLOOKUP(A215,'3 - PLAN. ORÇAMENTÁRIA'!$B$16:$E$721,3,FALSE)</f>
        <v>PRÓPRIO</v>
      </c>
      <c r="C215" s="265" t="str">
        <f>VLOOKUP(A215,'3 - PLAN. ORÇAMENTÁRIA'!$B$16:$E$721,2,FALSE)</f>
        <v>VÍDEO PORTEIRO ELETRÔNICO COLORIDO, COM UM INTERFONE REF. 66.02.460/SP OBRAS</v>
      </c>
      <c r="D215" s="257" t="str">
        <f>VLOOKUP(A215,'3 - PLAN. ORÇAMENTÁRIA'!$B$16:$E$721,4,FALSE)</f>
        <v>CJ</v>
      </c>
      <c r="E215" s="266">
        <f>SUMIF('3 - PLAN. ORÇAMENTÁRIA'!$C$15:$C$721,C215,'3 - PLAN. ORÇAMENTÁRIA'!$F$15:$F$721)</f>
        <v>2</v>
      </c>
      <c r="F215" s="267">
        <f>VLOOKUP(A215,'3 - PLAN. ORÇAMENTÁRIA'!$B$16:$I$721,8,FALSE)</f>
        <v>1906.19</v>
      </c>
      <c r="G215" s="267">
        <f>ROUND(E215*F215,2)</f>
        <v>3812.38</v>
      </c>
      <c r="H215" s="262">
        <f t="shared" si="9"/>
        <v>6.5076854087049343E-2</v>
      </c>
      <c r="I215" s="262">
        <f t="shared" si="11"/>
        <v>94.107965276150807</v>
      </c>
      <c r="J215" s="257" t="str">
        <f t="shared" si="10"/>
        <v>B</v>
      </c>
    </row>
    <row r="216" spans="1:10" ht="14.25">
      <c r="A216" s="263" t="s">
        <v>1995</v>
      </c>
      <c r="B216" s="257" t="str">
        <f>VLOOKUP(A216,'3 - PLAN. ORÇAMENTÁRIA'!$B$16:$E$721,3,FALSE)</f>
        <v>PRÓPRIO</v>
      </c>
      <c r="C216" s="265" t="str">
        <f>VLOOKUP(A216,'3 - PLAN. ORÇAMENTÁRIA'!$B$16:$E$721,2,FALSE)</f>
        <v>TAMPA DE ENCAIXE PARA ELETROCALHA, GALVANIZADA A FOGO, L= 200 MM REF. 38.22.640/SP OBRAS</v>
      </c>
      <c r="D216" s="257" t="str">
        <f>VLOOKUP(A216,'3 - PLAN. ORÇAMENTÁRIA'!$B$16:$E$721,4,FALSE)</f>
        <v>M</v>
      </c>
      <c r="E216" s="266">
        <f>SUMIF('3 - PLAN. ORÇAMENTÁRIA'!$C$15:$C$721,C216,'3 - PLAN. ORÇAMENTÁRIA'!$F$15:$F$721)</f>
        <v>37.950000000000003</v>
      </c>
      <c r="F216" s="267">
        <f>VLOOKUP(A216,'3 - PLAN. ORÇAMENTÁRIA'!$B$16:$I$721,8,FALSE)</f>
        <v>97.16</v>
      </c>
      <c r="G216" s="267">
        <f>ROUND(E216*F216,2)</f>
        <v>3687.22</v>
      </c>
      <c r="H216" s="262">
        <f t="shared" si="9"/>
        <v>6.2940388399595551E-2</v>
      </c>
      <c r="I216" s="262">
        <f t="shared" si="11"/>
        <v>94.170905664550403</v>
      </c>
      <c r="J216" s="257" t="str">
        <f t="shared" si="10"/>
        <v>B</v>
      </c>
    </row>
    <row r="217" spans="1:10" ht="28.5">
      <c r="A217" s="263">
        <v>103247</v>
      </c>
      <c r="B217" s="257" t="str">
        <f>VLOOKUP(A217,'3 - PLAN. ORÇAMENTÁRIA'!$B$16:$E$721,3,FALSE)</f>
        <v>SINAPI</v>
      </c>
      <c r="C217" s="264" t="s">
        <v>443</v>
      </c>
      <c r="D217" s="257" t="str">
        <f>VLOOKUP(A217,'3 - PLAN. ORÇAMENTÁRIA'!$B$16:$E$721,4,FALSE)</f>
        <v>UN</v>
      </c>
      <c r="E217" s="266">
        <f>SUMIF('3 - PLAN. ORÇAMENTÁRIA'!$C$15:$C$721,C217,'3 - PLAN. ORÇAMENTÁRIA'!$F$15:$F$721)</f>
        <v>1</v>
      </c>
      <c r="F217" s="267">
        <f>VLOOKUP(A217,'3 - PLAN. ORÇAMENTÁRIA'!$B$16:$I$721,8,FALSE)</f>
        <v>3671.48</v>
      </c>
      <c r="G217" s="267">
        <f>ROUND(E217*F217,2)</f>
        <v>3671.48</v>
      </c>
      <c r="H217" s="262">
        <f t="shared" si="9"/>
        <v>6.2671708550438299E-2</v>
      </c>
      <c r="I217" s="262">
        <f t="shared" si="11"/>
        <v>94.233577373100843</v>
      </c>
      <c r="J217" s="257" t="str">
        <f t="shared" si="10"/>
        <v>B</v>
      </c>
    </row>
    <row r="218" spans="1:10" ht="14.25">
      <c r="A218" s="263" t="s">
        <v>3597</v>
      </c>
      <c r="B218" s="257" t="str">
        <f>VLOOKUP(A218,'3 - PLAN. ORÇAMENTÁRIA'!$B$16:$E$721,3,FALSE)</f>
        <v>PRÓPRIO</v>
      </c>
      <c r="C218" s="265" t="str">
        <f>VLOOKUP(A218,'3 - PLAN. ORÇAMENTÁRIA'!$B$16:$E$721,2,FALSE)</f>
        <v>TUTORAMENTO E AMARRIO PARA ARVORES REF. 21.34.05/SUDECAP</v>
      </c>
      <c r="D218" s="257" t="str">
        <f>VLOOKUP(A218,'3 - PLAN. ORÇAMENTÁRIA'!$B$16:$E$721,4,FALSE)</f>
        <v>UN</v>
      </c>
      <c r="E218" s="266">
        <f>SUMIF('3 - PLAN. ORÇAMENTÁRIA'!$C$15:$C$721,C218,'3 - PLAN. ORÇAMENTÁRIA'!$F$15:$F$721)</f>
        <v>65</v>
      </c>
      <c r="F218" s="267">
        <f>VLOOKUP(A218,'3 - PLAN. ORÇAMENTÁRIA'!$B$16:$I$721,8,FALSE)</f>
        <v>56.42</v>
      </c>
      <c r="G218" s="267">
        <f>ROUND(E218*F218,2)</f>
        <v>3667.3</v>
      </c>
      <c r="H218" s="262">
        <f t="shared" si="9"/>
        <v>6.2600356468514695E-2</v>
      </c>
      <c r="I218" s="262">
        <f t="shared" si="11"/>
        <v>94.296177729569351</v>
      </c>
      <c r="J218" s="257" t="str">
        <f t="shared" si="10"/>
        <v>B</v>
      </c>
    </row>
    <row r="219" spans="1:10" ht="14.25">
      <c r="A219" s="263" t="s">
        <v>2855</v>
      </c>
      <c r="B219" s="257" t="str">
        <f>VLOOKUP(A219,'3 - PLAN. ORÇAMENTÁRIA'!$B$16:$E$721,3,FALSE)</f>
        <v>PRÓPRIO</v>
      </c>
      <c r="C219" s="265" t="str">
        <f>VLOOKUP(A219,'3 - PLAN. ORÇAMENTÁRIA'!$B$16:$E$721,2,FALSE)</f>
        <v>AMPLIFICADOR DE SOM 500W - SLIM 4700 HDMI OPTICAL REF. S12396/ORSE</v>
      </c>
      <c r="D219" s="257" t="str">
        <f>VLOOKUP(A219,'3 - PLAN. ORÇAMENTÁRIA'!$B$16:$E$721,4,FALSE)</f>
        <v>UN</v>
      </c>
      <c r="E219" s="266">
        <f>SUMIF('3 - PLAN. ORÇAMENTÁRIA'!$C$15:$C$721,C219,'3 - PLAN. ORÇAMENTÁRIA'!$F$15:$F$721)</f>
        <v>1</v>
      </c>
      <c r="F219" s="267">
        <f>VLOOKUP(A219,'3 - PLAN. ORÇAMENTÁRIA'!$B$16:$I$721,8,FALSE)</f>
        <v>3657.03</v>
      </c>
      <c r="G219" s="267">
        <f>ROUND(E219*F219,2)</f>
        <v>3657.03</v>
      </c>
      <c r="H219" s="262">
        <f t="shared" si="9"/>
        <v>6.2425048841396207E-2</v>
      </c>
      <c r="I219" s="262">
        <f t="shared" si="11"/>
        <v>94.358602778410742</v>
      </c>
      <c r="J219" s="257" t="str">
        <f t="shared" si="10"/>
        <v>B</v>
      </c>
    </row>
    <row r="220" spans="1:10" ht="28.5">
      <c r="A220" s="263">
        <v>92762</v>
      </c>
      <c r="B220" s="257" t="str">
        <f>VLOOKUP(A220,'3 - PLAN. ORÇAMENTÁRIA'!$B$16:$E$721,3,FALSE)</f>
        <v>SINAPI</v>
      </c>
      <c r="C220" s="264" t="s">
        <v>248</v>
      </c>
      <c r="D220" s="257" t="str">
        <f>VLOOKUP(A220,'3 - PLAN. ORÇAMENTÁRIA'!$B$16:$E$721,4,FALSE)</f>
        <v>KG</v>
      </c>
      <c r="E220" s="266">
        <f>SUMIF('3 - PLAN. ORÇAMENTÁRIA'!$C$15:$C$721,C220,'3 - PLAN. ORÇAMENTÁRIA'!$F$15:$F$721)</f>
        <v>250</v>
      </c>
      <c r="F220" s="267">
        <f>VLOOKUP(A220,'3 - PLAN. ORÇAMENTÁRIA'!$B$16:$I$721,8,FALSE)</f>
        <v>14.57</v>
      </c>
      <c r="G220" s="267">
        <f>ROUND(E220*F220,2)</f>
        <v>3642.5</v>
      </c>
      <c r="H220" s="262">
        <f t="shared" si="9"/>
        <v>6.2177023542269463E-2</v>
      </c>
      <c r="I220" s="262">
        <f t="shared" si="11"/>
        <v>94.420779801953017</v>
      </c>
      <c r="J220" s="257" t="str">
        <f t="shared" si="10"/>
        <v>B</v>
      </c>
    </row>
    <row r="221" spans="1:10" ht="28.5">
      <c r="A221" s="263">
        <v>90443</v>
      </c>
      <c r="B221" s="257" t="str">
        <f>VLOOKUP(A221,'3 - PLAN. ORÇAMENTÁRIA'!$B$16:$E$721,3,FALSE)</f>
        <v>SINAPI</v>
      </c>
      <c r="C221" s="265" t="s">
        <v>2882</v>
      </c>
      <c r="D221" s="257" t="str">
        <f>VLOOKUP(A221,'3 - PLAN. ORÇAMENTÁRIA'!$B$16:$E$721,4,FALSE)</f>
        <v>M</v>
      </c>
      <c r="E221" s="266">
        <f>SUMIF('3 - PLAN. ORÇAMENTÁRIA'!$C$15:$C$721,C221,'3 - PLAN. ORÇAMENTÁRIA'!$F$15:$F$721)</f>
        <v>339.81</v>
      </c>
      <c r="F221" s="267">
        <f>VLOOKUP(A221,'3 - PLAN. ORÇAMENTÁRIA'!$B$16:$I$721,8,FALSE)</f>
        <v>10.71</v>
      </c>
      <c r="G221" s="267">
        <f>ROUND(E221*F221,2)</f>
        <v>3639.37</v>
      </c>
      <c r="H221" s="262">
        <f t="shared" si="9"/>
        <v>6.212359483020706E-2</v>
      </c>
      <c r="I221" s="262">
        <f t="shared" si="11"/>
        <v>94.482903396783229</v>
      </c>
      <c r="J221" s="257" t="str">
        <f t="shared" si="10"/>
        <v>B</v>
      </c>
    </row>
    <row r="222" spans="1:10" ht="14.25">
      <c r="A222" s="263">
        <v>98516</v>
      </c>
      <c r="B222" s="257" t="str">
        <f>VLOOKUP(A222,'3 - PLAN. ORÇAMENTÁRIA'!$B$16:$E$721,3,FALSE)</f>
        <v>SINAPI</v>
      </c>
      <c r="C222" s="264" t="s">
        <v>1213</v>
      </c>
      <c r="D222" s="257" t="str">
        <f>VLOOKUP(A222,'3 - PLAN. ORÇAMENTÁRIA'!$B$16:$E$721,4,FALSE)</f>
        <v>UN</v>
      </c>
      <c r="E222" s="266">
        <f>SUMIF('3 - PLAN. ORÇAMENTÁRIA'!$C$15:$C$721,C222,'3 - PLAN. ORÇAMENTÁRIA'!$F$15:$F$721)</f>
        <v>9</v>
      </c>
      <c r="F222" s="267">
        <f>VLOOKUP(A222,'3 - PLAN. ORÇAMENTÁRIA'!$B$16:$I$721,8,FALSE)</f>
        <v>397.05</v>
      </c>
      <c r="G222" s="267">
        <f>ROUND(E222*F222,2)</f>
        <v>3573.45</v>
      </c>
      <c r="H222" s="262">
        <f t="shared" si="9"/>
        <v>6.0998348600445521E-2</v>
      </c>
      <c r="I222" s="262">
        <f t="shared" si="11"/>
        <v>94.543901745383678</v>
      </c>
      <c r="J222" s="257" t="str">
        <f t="shared" si="10"/>
        <v>B</v>
      </c>
    </row>
    <row r="223" spans="1:10" ht="42.75">
      <c r="A223" s="263" t="s">
        <v>1908</v>
      </c>
      <c r="B223" s="257" t="str">
        <f>VLOOKUP(A223,'3 - PLAN. ORÇAMENTÁRIA'!$B$16:$E$721,3,FALSE)</f>
        <v>PRÓPRIO</v>
      </c>
      <c r="C223" s="265" t="str">
        <f>VLOOKUP(A223,'3 - PLAN. ORÇAMENTÁRIA'!$B$16:$E$721,2,FALSE)</f>
        <v>REVESTIMENTO EM PORCELANATO TÉCNICO NATURAL/ACETINADO PARA ÁREA INTERNA E AMBIENTE DE MÉDIO TRÁFEGO ENTRE 5 M² E 10 M², GRUPO DE ABSORÇÃO BIA, COEFICIENTE DE ATRITO I, ASSENTADO COM ARGAMASSA COLANTE INDUSTRIALIZADA, REJUNTADO REF. 87262/SINAPI</v>
      </c>
      <c r="D223" s="257" t="str">
        <f>VLOOKUP(A223,'3 - PLAN. ORÇAMENTÁRIA'!$B$16:$E$721,4,FALSE)</f>
        <v>M2</v>
      </c>
      <c r="E223" s="266">
        <f>SUMIF('3 - PLAN. ORÇAMENTÁRIA'!$C$15:$C$721,C223,'3 - PLAN. ORÇAMENTÁRIA'!$F$15:$F$721)</f>
        <v>15.78</v>
      </c>
      <c r="F223" s="267">
        <f>VLOOKUP(A223,'3 - PLAN. ORÇAMENTÁRIA'!$B$16:$I$721,8,FALSE)</f>
        <v>225.37</v>
      </c>
      <c r="G223" s="267">
        <f>ROUND(E223*F223,2)</f>
        <v>3556.34</v>
      </c>
      <c r="H223" s="262">
        <f t="shared" si="9"/>
        <v>6.0706283021088422E-2</v>
      </c>
      <c r="I223" s="262">
        <f t="shared" si="11"/>
        <v>94.604608028404769</v>
      </c>
      <c r="J223" s="257" t="str">
        <f t="shared" si="10"/>
        <v>B</v>
      </c>
    </row>
    <row r="224" spans="1:10" ht="14.25">
      <c r="A224" s="263">
        <v>89712</v>
      </c>
      <c r="B224" s="257" t="str">
        <f>VLOOKUP(A224,'3 - PLAN. ORÇAMENTÁRIA'!$B$16:$E$721,3,FALSE)</f>
        <v>SINAPI</v>
      </c>
      <c r="C224" s="264" t="s">
        <v>501</v>
      </c>
      <c r="D224" s="257" t="str">
        <f>VLOOKUP(A224,'3 - PLAN. ORÇAMENTÁRIA'!$B$16:$E$721,4,FALSE)</f>
        <v>M</v>
      </c>
      <c r="E224" s="266">
        <f>SUMIF('3 - PLAN. ORÇAMENTÁRIA'!$C$15:$C$721,C224,'3 - PLAN. ORÇAMENTÁRIA'!$F$15:$F$721)</f>
        <v>97.91</v>
      </c>
      <c r="F224" s="267">
        <f>VLOOKUP(A224,'3 - PLAN. ORÇAMENTÁRIA'!$B$16:$I$721,8,FALSE)</f>
        <v>36.020000000000003</v>
      </c>
      <c r="G224" s="267">
        <f>ROUND(E224*F224,2)</f>
        <v>3526.72</v>
      </c>
      <c r="H224" s="262">
        <f t="shared" si="9"/>
        <v>6.0200673292242296E-2</v>
      </c>
      <c r="I224" s="262">
        <f t="shared" si="11"/>
        <v>94.664808701697012</v>
      </c>
      <c r="J224" s="257" t="str">
        <f t="shared" si="10"/>
        <v>B</v>
      </c>
    </row>
    <row r="225" spans="1:10" ht="28.5">
      <c r="A225" s="263">
        <v>87878</v>
      </c>
      <c r="B225" s="257" t="str">
        <f>VLOOKUP(A225,'3 - PLAN. ORÇAMENTÁRIA'!$B$16:$E$721,3,FALSE)</f>
        <v>SINAPI</v>
      </c>
      <c r="C225" s="264" t="s">
        <v>2771</v>
      </c>
      <c r="D225" s="257" t="str">
        <f>VLOOKUP(A225,'3 - PLAN. ORÇAMENTÁRIA'!$B$16:$E$721,4,FALSE)</f>
        <v>M2</v>
      </c>
      <c r="E225" s="266">
        <f>SUMIF('3 - PLAN. ORÇAMENTÁRIA'!$C$15:$C$721,C225,'3 - PLAN. ORÇAMENTÁRIA'!$F$15:$F$721)</f>
        <v>520.79999999999995</v>
      </c>
      <c r="F225" s="267">
        <f>VLOOKUP(A225,'3 - PLAN. ORÇAMENTÁRIA'!$B$16:$I$721,8,FALSE)</f>
        <v>6.64</v>
      </c>
      <c r="G225" s="267">
        <f>ROUND(E225*F225,2)</f>
        <v>3458.11</v>
      </c>
      <c r="H225" s="262">
        <f t="shared" si="9"/>
        <v>5.9029509095883996E-2</v>
      </c>
      <c r="I225" s="262">
        <f t="shared" si="11"/>
        <v>94.723838210792891</v>
      </c>
      <c r="J225" s="257" t="str">
        <f t="shared" si="10"/>
        <v>B</v>
      </c>
    </row>
    <row r="226" spans="1:10" ht="14.25">
      <c r="A226" s="263">
        <v>97669</v>
      </c>
      <c r="B226" s="257" t="str">
        <f>VLOOKUP(A226,'3 - PLAN. ORÇAMENTÁRIA'!$B$16:$E$721,3,FALSE)</f>
        <v>SINAPI</v>
      </c>
      <c r="C226" s="264" t="s">
        <v>364</v>
      </c>
      <c r="D226" s="257" t="str">
        <f>VLOOKUP(A226,'3 - PLAN. ORÇAMENTÁRIA'!$B$16:$E$721,4,FALSE)</f>
        <v>M</v>
      </c>
      <c r="E226" s="266">
        <f>SUMIF('3 - PLAN. ORÇAMENTÁRIA'!$C$15:$C$721,C226,'3 - PLAN. ORÇAMENTÁRIA'!$F$15:$F$721)</f>
        <v>152.21</v>
      </c>
      <c r="F226" s="267">
        <f>VLOOKUP(A226,'3 - PLAN. ORÇAMENTÁRIA'!$B$16:$I$721,8,FALSE)</f>
        <v>22.7</v>
      </c>
      <c r="G226" s="267">
        <f>ROUND(E226*F226,2)</f>
        <v>3455.17</v>
      </c>
      <c r="H226" s="262">
        <f t="shared" si="9"/>
        <v>5.8979323660272663E-2</v>
      </c>
      <c r="I226" s="262">
        <f t="shared" si="11"/>
        <v>94.782817534453159</v>
      </c>
      <c r="J226" s="257" t="str">
        <f t="shared" si="10"/>
        <v>B</v>
      </c>
    </row>
    <row r="227" spans="1:10" ht="14.25">
      <c r="A227" s="263">
        <v>93200</v>
      </c>
      <c r="B227" s="257" t="str">
        <f>VLOOKUP(A227,'3 - PLAN. ORÇAMENTÁRIA'!$B$16:$E$721,3,FALSE)</f>
        <v>SINAPI</v>
      </c>
      <c r="C227" s="264" t="s">
        <v>2806</v>
      </c>
      <c r="D227" s="257" t="str">
        <f>VLOOKUP(A227,'3 - PLAN. ORÇAMENTÁRIA'!$B$16:$E$721,4,FALSE)</f>
        <v>M</v>
      </c>
      <c r="E227" s="266">
        <f>SUMIF('3 - PLAN. ORÇAMENTÁRIA'!$C$15:$C$721,C227,'3 - PLAN. ORÇAMENTÁRIA'!$F$15:$F$721)</f>
        <v>219.96</v>
      </c>
      <c r="F227" s="267">
        <f>VLOOKUP(A227,'3 - PLAN. ORÇAMENTÁRIA'!$B$16:$I$721,8,FALSE)</f>
        <v>15.66</v>
      </c>
      <c r="G227" s="267">
        <f>ROUND(E227*F227,2)</f>
        <v>3444.57</v>
      </c>
      <c r="H227" s="262">
        <f t="shared" si="9"/>
        <v>5.8798382974054944E-2</v>
      </c>
      <c r="I227" s="262">
        <f t="shared" si="11"/>
        <v>94.84161591742722</v>
      </c>
      <c r="J227" s="257" t="str">
        <f t="shared" si="10"/>
        <v>B</v>
      </c>
    </row>
    <row r="228" spans="1:10" ht="14.25">
      <c r="A228" s="263">
        <v>88485</v>
      </c>
      <c r="B228" s="257" t="str">
        <f>VLOOKUP(A228,'3 - PLAN. ORÇAMENTÁRIA'!$B$16:$E$721,3,FALSE)</f>
        <v>SINAPI</v>
      </c>
      <c r="C228" s="264" t="s">
        <v>2772</v>
      </c>
      <c r="D228" s="257" t="str">
        <f>VLOOKUP(A228,'3 - PLAN. ORÇAMENTÁRIA'!$B$16:$E$721,4,FALSE)</f>
        <v>M2</v>
      </c>
      <c r="E228" s="266">
        <f>SUMIF('3 - PLAN. ORÇAMENTÁRIA'!$C$15:$C$721,C228,'3 - PLAN. ORÇAMENTÁRIA'!$F$15:$F$721)</f>
        <v>581.52</v>
      </c>
      <c r="F228" s="267">
        <f>VLOOKUP(A228,'3 - PLAN. ORÇAMENTÁRIA'!$B$16:$I$721,8,FALSE)</f>
        <v>5.84</v>
      </c>
      <c r="G228" s="267">
        <f>ROUND(E228*F228,2)</f>
        <v>3396.08</v>
      </c>
      <c r="H228" s="262">
        <f t="shared" si="9"/>
        <v>5.7970664683989148E-2</v>
      </c>
      <c r="I228" s="262">
        <f t="shared" si="11"/>
        <v>94.899586582111212</v>
      </c>
      <c r="J228" s="257" t="str">
        <f t="shared" si="10"/>
        <v>B</v>
      </c>
    </row>
    <row r="229" spans="1:10" ht="14.25">
      <c r="A229" s="263" t="s">
        <v>2076</v>
      </c>
      <c r="B229" s="257" t="str">
        <f>VLOOKUP(A229,'3 - PLAN. ORÇAMENTÁRIA'!$B$16:$E$721,3,FALSE)</f>
        <v>PRÓPRIO</v>
      </c>
      <c r="C229" s="265" t="str">
        <f>VLOOKUP(A229,'3 - PLAN. ORÇAMENTÁRIA'!$B$16:$E$721,2,FALSE)</f>
        <v>FORNECIMENTO E INSTALAÇÃO DE CONECTOR RJ 45 MACHO CAT 6A REF. S11242/ORSE</v>
      </c>
      <c r="D229" s="257" t="str">
        <f>VLOOKUP(A229,'3 - PLAN. ORÇAMENTÁRIA'!$B$16:$E$721,4,FALSE)</f>
        <v>UN</v>
      </c>
      <c r="E229" s="266">
        <f>SUMIF('3 - PLAN. ORÇAMENTÁRIA'!$C$15:$C$721,C229,'3 - PLAN. ORÇAMENTÁRIA'!$F$15:$F$721)</f>
        <v>360</v>
      </c>
      <c r="F229" s="267">
        <f>VLOOKUP(A229,'3 - PLAN. ORÇAMENTÁRIA'!$B$16:$I$721,8,FALSE)</f>
        <v>9.4</v>
      </c>
      <c r="G229" s="267">
        <f>ROUND(E229*F229,2)</f>
        <v>3384</v>
      </c>
      <c r="H229" s="262">
        <f t="shared" si="9"/>
        <v>5.7764460581205178E-2</v>
      </c>
      <c r="I229" s="262">
        <f t="shared" si="11"/>
        <v>94.957351042692423</v>
      </c>
      <c r="J229" s="257" t="str">
        <f t="shared" si="10"/>
        <v>B</v>
      </c>
    </row>
    <row r="230" spans="1:10" ht="28.5">
      <c r="A230" s="263">
        <v>90696</v>
      </c>
      <c r="B230" s="257" t="str">
        <f>VLOOKUP(A230,'3 - PLAN. ORÇAMENTÁRIA'!$B$16:$E$721,3,FALSE)</f>
        <v>SINAPI</v>
      </c>
      <c r="C230" s="264" t="s">
        <v>2966</v>
      </c>
      <c r="D230" s="257" t="str">
        <f>VLOOKUP(A230,'3 - PLAN. ORÇAMENTÁRIA'!$B$16:$E$721,4,FALSE)</f>
        <v>M</v>
      </c>
      <c r="E230" s="266">
        <f>SUMIF('3 - PLAN. ORÇAMENTÁRIA'!$C$15:$C$721,C230,'3 - PLAN. ORÇAMENTÁRIA'!$F$15:$F$721)</f>
        <v>17.7</v>
      </c>
      <c r="F230" s="267">
        <f>VLOOKUP(A230,'3 - PLAN. ORÇAMENTÁRIA'!$B$16:$I$721,8,FALSE)</f>
        <v>189.14</v>
      </c>
      <c r="G230" s="267">
        <f>ROUND(E230*F230,2)</f>
        <v>3347.78</v>
      </c>
      <c r="H230" s="262">
        <f t="shared" si="9"/>
        <v>5.714618967037443E-2</v>
      </c>
      <c r="I230" s="262">
        <f t="shared" si="11"/>
        <v>95.0144972323628</v>
      </c>
      <c r="J230" s="257" t="str">
        <f t="shared" si="10"/>
        <v>C</v>
      </c>
    </row>
    <row r="231" spans="1:10" ht="28.5">
      <c r="A231" s="263" t="s">
        <v>2794</v>
      </c>
      <c r="B231" s="257" t="str">
        <f>VLOOKUP(A231,'3 - PLAN. ORÇAMENTÁRIA'!$B$16:$E$721,3,FALSE)</f>
        <v>PRÓPRIO</v>
      </c>
      <c r="C231" s="265" t="str">
        <f>VLOOKUP(A231,'3 - PLAN. ORÇAMENTÁRIA'!$B$16:$E$721,2,FALSE)</f>
        <v>FECHADURA EM INOX LIXADO PARA PORTA DE BANHEIRO REF. ARCHITECT INOX 892, LA FONTE OU EQUIVALENTE - FORNECIMENTO E INSTALAÇÃO. REF. 91306/SINAPI</v>
      </c>
      <c r="D231" s="257" t="str">
        <f>VLOOKUP(A231,'3 - PLAN. ORÇAMENTÁRIA'!$B$16:$E$721,4,FALSE)</f>
        <v>UN</v>
      </c>
      <c r="E231" s="266">
        <f>SUMIF('3 - PLAN. ORÇAMENTÁRIA'!$C$15:$C$721,C231,'3 - PLAN. ORÇAMENTÁRIA'!$F$15:$F$721)</f>
        <v>10</v>
      </c>
      <c r="F231" s="267">
        <f>VLOOKUP(A231,'3 - PLAN. ORÇAMENTÁRIA'!$B$16:$I$721,8,FALSE)</f>
        <v>332.19</v>
      </c>
      <c r="G231" s="267">
        <f>ROUND(E231*F231,2)</f>
        <v>3321.9</v>
      </c>
      <c r="H231" s="262">
        <f t="shared" si="9"/>
        <v>5.670442127798625E-2</v>
      </c>
      <c r="I231" s="262">
        <f t="shared" si="11"/>
        <v>95.071201653640784</v>
      </c>
      <c r="J231" s="257" t="str">
        <f t="shared" si="10"/>
        <v>C</v>
      </c>
    </row>
    <row r="232" spans="1:10" ht="14.25">
      <c r="A232" s="263">
        <v>103244</v>
      </c>
      <c r="B232" s="257" t="str">
        <f>VLOOKUP(A232,'3 - PLAN. ORÇAMENTÁRIA'!$B$16:$E$721,3,FALSE)</f>
        <v>SINAPI</v>
      </c>
      <c r="C232" s="264" t="s">
        <v>445</v>
      </c>
      <c r="D232" s="257" t="str">
        <f>VLOOKUP(A232,'3 - PLAN. ORÇAMENTÁRIA'!$B$16:$E$721,4,FALSE)</f>
        <v>UN</v>
      </c>
      <c r="E232" s="266">
        <f>SUMIF('3 - PLAN. ORÇAMENTÁRIA'!$C$15:$C$721,C232,'3 - PLAN. ORÇAMENTÁRIA'!$F$15:$F$721)</f>
        <v>1</v>
      </c>
      <c r="F232" s="267">
        <f>VLOOKUP(A232,'3 - PLAN. ORÇAMENTÁRIA'!$B$16:$I$721,8,FALSE)</f>
        <v>3303.92</v>
      </c>
      <c r="G232" s="267">
        <f>ROUND(E232*F232,2)</f>
        <v>3303.92</v>
      </c>
      <c r="H232" s="262">
        <f t="shared" si="9"/>
        <v>5.6397504906458458E-2</v>
      </c>
      <c r="I232" s="262">
        <f t="shared" si="11"/>
        <v>95.127599158547241</v>
      </c>
      <c r="J232" s="257" t="str">
        <f t="shared" si="10"/>
        <v>C</v>
      </c>
    </row>
    <row r="233" spans="1:10" ht="14.25">
      <c r="A233" s="263">
        <v>102609</v>
      </c>
      <c r="B233" s="257" t="str">
        <f>VLOOKUP(A233,'3 - PLAN. ORÇAMENTÁRIA'!$B$16:$E$721,3,FALSE)</f>
        <v>SINAPI</v>
      </c>
      <c r="C233" s="264" t="s">
        <v>3492</v>
      </c>
      <c r="D233" s="257" t="str">
        <f>VLOOKUP(A233,'3 - PLAN. ORÇAMENTÁRIA'!$B$16:$E$721,4,FALSE)</f>
        <v>UN</v>
      </c>
      <c r="E233" s="266">
        <f>SUMIF('3 - PLAN. ORÇAMENTÁRIA'!$C$15:$C$721,C233,'3 - PLAN. ORÇAMENTÁRIA'!$F$15:$F$721)</f>
        <v>2</v>
      </c>
      <c r="F233" s="267">
        <f>VLOOKUP(A233,'3 - PLAN. ORÇAMENTÁRIA'!$B$16:$I$721,8,FALSE)</f>
        <v>1614.83</v>
      </c>
      <c r="G233" s="267">
        <f>ROUND(E233*F233,2)</f>
        <v>3229.66</v>
      </c>
      <c r="H233" s="262">
        <f t="shared" si="9"/>
        <v>5.5129895910370895E-2</v>
      </c>
      <c r="I233" s="262">
        <f t="shared" si="11"/>
        <v>95.18272905445761</v>
      </c>
      <c r="J233" s="257" t="str">
        <f t="shared" si="10"/>
        <v>C</v>
      </c>
    </row>
    <row r="234" spans="1:10" ht="14.25">
      <c r="A234" s="263">
        <v>89849</v>
      </c>
      <c r="B234" s="257" t="str">
        <f>VLOOKUP(A234,'3 - PLAN. ORÇAMENTÁRIA'!$B$16:$E$721,3,FALSE)</f>
        <v>SINAPI</v>
      </c>
      <c r="C234" s="265" t="s">
        <v>2849</v>
      </c>
      <c r="D234" s="257" t="str">
        <f>VLOOKUP(A234,'3 - PLAN. ORÇAMENTÁRIA'!$B$16:$E$721,4,FALSE)</f>
        <v>M</v>
      </c>
      <c r="E234" s="266">
        <f>SUMIF('3 - PLAN. ORÇAMENTÁRIA'!$C$15:$C$721,C234,'3 - PLAN. ORÇAMENTÁRIA'!$F$15:$F$721)</f>
        <v>43.5</v>
      </c>
      <c r="F234" s="267">
        <f>VLOOKUP(A234,'3 - PLAN. ORÇAMENTÁRIA'!$B$16:$I$721,8,FALSE)</f>
        <v>74.2</v>
      </c>
      <c r="G234" s="267">
        <f>ROUND(E234*F234,2)</f>
        <v>3227.7</v>
      </c>
      <c r="H234" s="262">
        <f t="shared" si="9"/>
        <v>5.5096438953296675E-2</v>
      </c>
      <c r="I234" s="262">
        <f t="shared" si="11"/>
        <v>95.237825493410909</v>
      </c>
      <c r="J234" s="257" t="str">
        <f t="shared" si="10"/>
        <v>C</v>
      </c>
    </row>
    <row r="235" spans="1:10" ht="28.5">
      <c r="A235" s="263">
        <v>101903</v>
      </c>
      <c r="B235" s="257" t="str">
        <f>VLOOKUP(A235,'3 - PLAN. ORÇAMENTÁRIA'!$B$16:$E$721,3,FALSE)</f>
        <v>SINAPI</v>
      </c>
      <c r="C235" s="264" t="s">
        <v>535</v>
      </c>
      <c r="D235" s="257" t="str">
        <f>VLOOKUP(A235,'3 - PLAN. ORÇAMENTÁRIA'!$B$16:$E$721,4,FALSE)</f>
        <v>UN</v>
      </c>
      <c r="E235" s="266">
        <f>SUMIF('3 - PLAN. ORÇAMENTÁRIA'!$C$15:$C$721,C235,'3 - PLAN. ORÇAMENTÁRIA'!$F$15:$F$721)</f>
        <v>6</v>
      </c>
      <c r="F235" s="267">
        <f>VLOOKUP(A235,'3 - PLAN. ORÇAMENTÁRIA'!$B$16:$I$721,8,FALSE)</f>
        <v>537.39</v>
      </c>
      <c r="G235" s="267">
        <f>ROUND(E235*F235,2)</f>
        <v>3224.34</v>
      </c>
      <c r="H235" s="262">
        <f t="shared" si="9"/>
        <v>5.5039084169740869E-2</v>
      </c>
      <c r="I235" s="262">
        <f t="shared" si="11"/>
        <v>95.292864577580644</v>
      </c>
      <c r="J235" s="257" t="str">
        <f t="shared" si="10"/>
        <v>C</v>
      </c>
    </row>
    <row r="236" spans="1:10" ht="28.5">
      <c r="A236" s="263">
        <v>98525</v>
      </c>
      <c r="B236" s="257" t="str">
        <f>VLOOKUP(A236,'3 - PLAN. ORÇAMENTÁRIA'!$B$16:$E$721,3,FALSE)</f>
        <v>SINAPI</v>
      </c>
      <c r="C236" s="264" t="s">
        <v>183</v>
      </c>
      <c r="D236" s="257" t="str">
        <f>VLOOKUP(A236,'3 - PLAN. ORÇAMENTÁRIA'!$B$16:$E$721,4,FALSE)</f>
        <v>M2</v>
      </c>
      <c r="E236" s="266">
        <f>SUMIF('3 - PLAN. ORÇAMENTÁRIA'!$C$15:$C$721,C236,'3 - PLAN. ORÇAMENTÁRIA'!$F$15:$F$721)</f>
        <v>3951.22</v>
      </c>
      <c r="F236" s="267">
        <f>VLOOKUP(A236,'3 - PLAN. ORÇAMENTÁRIA'!$B$16:$I$721,8,FALSE)</f>
        <v>0.81</v>
      </c>
      <c r="G236" s="267">
        <f>ROUND(E236*F236,2)</f>
        <v>3200.49</v>
      </c>
      <c r="H236" s="262">
        <f t="shared" si="9"/>
        <v>5.4631967625750996E-2</v>
      </c>
      <c r="I236" s="262">
        <f t="shared" si="11"/>
        <v>95.347496545206397</v>
      </c>
      <c r="J236" s="257" t="str">
        <f t="shared" si="10"/>
        <v>C</v>
      </c>
    </row>
    <row r="237" spans="1:10" ht="28.5">
      <c r="A237" s="263" t="s">
        <v>2145</v>
      </c>
      <c r="B237" s="257" t="str">
        <f>VLOOKUP(A237,'3 - PLAN. ORÇAMENTÁRIA'!$B$16:$E$721,3,FALSE)</f>
        <v>PRÓPRIO</v>
      </c>
      <c r="C237" s="265" t="str">
        <f>VLOOKUP(A237,'3 - PLAN. ORÇAMENTÁRIA'!$B$16:$E$721,2,FALSE)</f>
        <v>CORPO PARA CAIXA SIFONADA EM PVC, 5 ENTRADAS, 100X140X50 MM, MODELO GIRAFÁCIL, TIGRE OU SIMILAR REF. S13553/ORSE</v>
      </c>
      <c r="D237" s="257" t="str">
        <f>VLOOKUP(A237,'3 - PLAN. ORÇAMENTÁRIA'!$B$16:$E$721,4,FALSE)</f>
        <v>UN</v>
      </c>
      <c r="E237" s="266">
        <f>SUMIF('3 - PLAN. ORÇAMENTÁRIA'!$C$15:$C$721,C237,'3 - PLAN. ORÇAMENTÁRIA'!$F$15:$F$721)</f>
        <v>16</v>
      </c>
      <c r="F237" s="267">
        <f>VLOOKUP(A237,'3 - PLAN. ORÇAMENTÁRIA'!$B$16:$I$721,8,FALSE)</f>
        <v>198.14</v>
      </c>
      <c r="G237" s="267">
        <f>ROUND(E237*F237,2)</f>
        <v>3170.24</v>
      </c>
      <c r="H237" s="262">
        <f t="shared" si="9"/>
        <v>5.411560387498815E-2</v>
      </c>
      <c r="I237" s="262">
        <f t="shared" si="11"/>
        <v>95.401612149081387</v>
      </c>
      <c r="J237" s="257" t="str">
        <f t="shared" si="10"/>
        <v>C</v>
      </c>
    </row>
    <row r="238" spans="1:10" ht="14.25">
      <c r="A238" s="263" t="s">
        <v>2003</v>
      </c>
      <c r="B238" s="257" t="str">
        <f>VLOOKUP(A238,'3 - PLAN. ORÇAMENTÁRIA'!$B$16:$E$721,3,FALSE)</f>
        <v>PRÓPRIO</v>
      </c>
      <c r="C238" s="265" t="str">
        <f>VLOOKUP(A238,'3 - PLAN. ORÇAMENTÁRIA'!$B$16:$E$721,2,FALSE)</f>
        <v>TAMPO/BANCADA EM GRANITO BRANCO SIENA, E=2CM REF. S12492/ORSE</v>
      </c>
      <c r="D238" s="257" t="str">
        <f>VLOOKUP(A238,'3 - PLAN. ORÇAMENTÁRIA'!$B$16:$E$721,4,FALSE)</f>
        <v>M2</v>
      </c>
      <c r="E238" s="266">
        <f>SUMIF('3 - PLAN. ORÇAMENTÁRIA'!$C$15:$C$721,C238,'3 - PLAN. ORÇAMENTÁRIA'!$F$15:$F$721)</f>
        <v>3.8200000000000003</v>
      </c>
      <c r="F238" s="267">
        <f>VLOOKUP(A238,'3 - PLAN. ORÇAMENTÁRIA'!$B$16:$I$721,8,FALSE)</f>
        <v>828</v>
      </c>
      <c r="G238" s="267">
        <f>ROUND(E238*F238,2)</f>
        <v>3162.96</v>
      </c>
      <c r="H238" s="262">
        <f t="shared" si="9"/>
        <v>5.3991335177283904E-2</v>
      </c>
      <c r="I238" s="262">
        <f t="shared" si="11"/>
        <v>95.455603484258674</v>
      </c>
      <c r="J238" s="257" t="str">
        <f t="shared" si="10"/>
        <v>C</v>
      </c>
    </row>
    <row r="239" spans="1:10" ht="14.25">
      <c r="A239" s="263" t="s">
        <v>3881</v>
      </c>
      <c r="B239" s="257" t="str">
        <f>VLOOKUP(A239,'3 - PLAN. ORÇAMENTÁRIA'!$B$16:$E$721,3,FALSE)</f>
        <v>PRÓPRIO</v>
      </c>
      <c r="C239" s="265" t="str">
        <f>VLOOKUP(A239,'3 - PLAN. ORÇAMENTÁRIA'!$B$16:$E$721,2,FALSE)</f>
        <v>PISO PODOTÁTIL DE ALERTA OU DIRECIONAL, DE BORRACHA, COLORIDO, ASSENTADO COM COLA REF. 101094/SINAPI</v>
      </c>
      <c r="D239" s="257" t="str">
        <f>VLOOKUP(A239,'3 - PLAN. ORÇAMENTÁRIA'!$B$16:$E$721,4,FALSE)</f>
        <v>M</v>
      </c>
      <c r="E239" s="266">
        <f>SUMIF('3 - PLAN. ORÇAMENTÁRIA'!$C$15:$C$721,C239,'3 - PLAN. ORÇAMENTÁRIA'!$F$15:$F$721)</f>
        <v>18.5</v>
      </c>
      <c r="F239" s="267">
        <f>VLOOKUP(A239,'3 - PLAN. ORÇAMENTÁRIA'!$B$16:$I$721,8,FALSE)</f>
        <v>170.91</v>
      </c>
      <c r="G239" s="267">
        <f>ROUND(E239*F239,2)</f>
        <v>3161.84</v>
      </c>
      <c r="H239" s="262">
        <f t="shared" si="9"/>
        <v>5.3972216916098638E-2</v>
      </c>
      <c r="I239" s="262">
        <f t="shared" si="11"/>
        <v>95.509575701174768</v>
      </c>
      <c r="J239" s="257" t="str">
        <f t="shared" si="10"/>
        <v>C</v>
      </c>
    </row>
    <row r="240" spans="1:10" ht="14.25">
      <c r="A240" s="263" t="s">
        <v>2007</v>
      </c>
      <c r="B240" s="257" t="str">
        <f>VLOOKUP(A240,'3 - PLAN. ORÇAMENTÁRIA'!$B$16:$E$721,3,FALSE)</f>
        <v>PRÓPRIO</v>
      </c>
      <c r="C240" s="265" t="str">
        <f>VLOOKUP(A240,'3 - PLAN. ORÇAMENTÁRIA'!$B$16:$E$721,2,FALSE)</f>
        <v>SINALIZAÇÃO - PLACA EM BRAILLE E AMBIENTES - EM PVC, DIM: 23 X 15 CM REF. S07320/ORSE</v>
      </c>
      <c r="D240" s="257" t="str">
        <f>VLOOKUP(A240,'3 - PLAN. ORÇAMENTÁRIA'!$B$16:$E$721,4,FALSE)</f>
        <v>UN</v>
      </c>
      <c r="E240" s="266">
        <f>SUMIF('3 - PLAN. ORÇAMENTÁRIA'!$C$15:$C$721,C240,'3 - PLAN. ORÇAMENTÁRIA'!$F$15:$F$721)</f>
        <v>18</v>
      </c>
      <c r="F240" s="267">
        <f>VLOOKUP(A240,'3 - PLAN. ORÇAMENTÁRIA'!$B$16:$I$721,8,FALSE)</f>
        <v>170.25</v>
      </c>
      <c r="G240" s="267">
        <f>ROUND(E240*F240,2)</f>
        <v>3064.5</v>
      </c>
      <c r="H240" s="262">
        <f t="shared" si="9"/>
        <v>5.2310635180586075E-2</v>
      </c>
      <c r="I240" s="262">
        <f t="shared" si="11"/>
        <v>95.561886336355357</v>
      </c>
      <c r="J240" s="257" t="str">
        <f t="shared" si="10"/>
        <v>C</v>
      </c>
    </row>
    <row r="241" spans="1:10" ht="14.25">
      <c r="A241" s="263">
        <v>101616</v>
      </c>
      <c r="B241" s="257" t="str">
        <f>VLOOKUP(A241,'3 - PLAN. ORÇAMENTÁRIA'!$B$16:$E$721,3,FALSE)</f>
        <v>SINAPI</v>
      </c>
      <c r="C241" s="264" t="s">
        <v>211</v>
      </c>
      <c r="D241" s="257" t="str">
        <f>VLOOKUP(A241,'3 - PLAN. ORÇAMENTÁRIA'!$B$16:$E$721,4,FALSE)</f>
        <v>M2</v>
      </c>
      <c r="E241" s="266">
        <f>SUMIF('3 - PLAN. ORÇAMENTÁRIA'!$C$15:$C$721,C241,'3 - PLAN. ORÇAMENTÁRIA'!$F$15:$F$721)</f>
        <v>355.97</v>
      </c>
      <c r="F241" s="267">
        <f>VLOOKUP(A241,'3 - PLAN. ORÇAMENTÁRIA'!$B$16:$I$721,8,FALSE)</f>
        <v>8.59</v>
      </c>
      <c r="G241" s="267">
        <f>ROUND(E241*F241,2)</f>
        <v>3057.78</v>
      </c>
      <c r="H241" s="262">
        <f t="shared" si="9"/>
        <v>5.2195925613474456E-2</v>
      </c>
      <c r="I241" s="262">
        <f t="shared" si="11"/>
        <v>95.614082261968832</v>
      </c>
      <c r="J241" s="257" t="str">
        <f t="shared" si="10"/>
        <v>C</v>
      </c>
    </row>
    <row r="242" spans="1:10" ht="28.5">
      <c r="A242" s="263">
        <v>87545</v>
      </c>
      <c r="B242" s="257" t="str">
        <f>VLOOKUP(A242,'3 - PLAN. ORÇAMENTÁRIA'!$B$16:$E$721,3,FALSE)</f>
        <v>SINAPI</v>
      </c>
      <c r="C242" s="264" t="s">
        <v>3976</v>
      </c>
      <c r="D242" s="257" t="str">
        <f>VLOOKUP(A242,'3 - PLAN. ORÇAMENTÁRIA'!$B$16:$E$721,4,FALSE)</f>
        <v>M2</v>
      </c>
      <c r="E242" s="266">
        <f>SUMIF('3 - PLAN. ORÇAMENTÁRIA'!$C$15:$C$721,C242,'3 - PLAN. ORÇAMENTÁRIA'!$F$15:$F$721)</f>
        <v>77.83</v>
      </c>
      <c r="F242" s="267">
        <f>VLOOKUP(A242,'3 - PLAN. ORÇAMENTÁRIA'!$B$16:$I$721,8,FALSE)</f>
        <v>39.06</v>
      </c>
      <c r="G242" s="267">
        <f>ROUND(E242*F242,2)</f>
        <v>3040.04</v>
      </c>
      <c r="H242" s="262">
        <f t="shared" si="9"/>
        <v>5.1893106012200645E-2</v>
      </c>
      <c r="I242" s="262">
        <f t="shared" si="11"/>
        <v>95.665975367981034</v>
      </c>
      <c r="J242" s="257" t="str">
        <f t="shared" si="10"/>
        <v>C</v>
      </c>
    </row>
    <row r="243" spans="1:10" ht="14.25">
      <c r="A243" s="263" t="s">
        <v>4163</v>
      </c>
      <c r="B243" s="257" t="str">
        <f>VLOOKUP(A243,'3 - PLAN. ORÇAMENTÁRIA'!$B$16:$E$721,3,FALSE)</f>
        <v>COTAÇÃO</v>
      </c>
      <c r="C243" s="265" t="str">
        <f>VLOOKUP(A243,'3 - PLAN. ORÇAMENTÁRIA'!$B$16:$E$721,2,FALSE)</f>
        <v>PLANTIO DE ARBUSTO ESTRELÍTZIA - CONFORME PROJETO DE PAISAGISMO</v>
      </c>
      <c r="D243" s="257" t="str">
        <f>VLOOKUP(A243,'3 - PLAN. ORÇAMENTÁRIA'!$B$16:$E$721,4,FALSE)</f>
        <v>UN</v>
      </c>
      <c r="E243" s="266">
        <f>SUMIF('3 - PLAN. ORÇAMENTÁRIA'!$C$15:$C$721,C243,'3 - PLAN. ORÇAMENTÁRIA'!$F$15:$F$721)</f>
        <v>45</v>
      </c>
      <c r="F243" s="267">
        <f>VLOOKUP(A243,'3 - PLAN. ORÇAMENTÁRIA'!$B$16:$I$721,8,FALSE)</f>
        <v>67.22</v>
      </c>
      <c r="G243" s="267">
        <f>ROUND(E243*F243,2)</f>
        <v>3024.9</v>
      </c>
      <c r="H243" s="262">
        <f t="shared" si="9"/>
        <v>5.1634668088678351E-2</v>
      </c>
      <c r="I243" s="262">
        <f t="shared" si="11"/>
        <v>95.717610036069715</v>
      </c>
      <c r="J243" s="257" t="str">
        <f t="shared" si="10"/>
        <v>C</v>
      </c>
    </row>
    <row r="244" spans="1:10" ht="14.25">
      <c r="A244" s="263" t="s">
        <v>1972</v>
      </c>
      <c r="B244" s="257" t="str">
        <f>VLOOKUP(A244,'3 - PLAN. ORÇAMENTÁRIA'!$B$16:$E$721,3,FALSE)</f>
        <v>PRÓPRIO</v>
      </c>
      <c r="C244" s="265" t="str">
        <f>VLOOKUP(A244,'3 - PLAN. ORÇAMENTÁRIA'!$B$16:$E$721,2,FALSE)</f>
        <v>ELETRODUTO GALVANIZADO A QUENTE CONFORME NBR5598 - 2´ COM ACESSÓRIOS REF. 104409/SINAPI</v>
      </c>
      <c r="D244" s="257" t="str">
        <f>VLOOKUP(A244,'3 - PLAN. ORÇAMENTÁRIA'!$B$16:$E$721,4,FALSE)</f>
        <v>M</v>
      </c>
      <c r="E244" s="266">
        <f>SUMIF('3 - PLAN. ORÇAMENTÁRIA'!$C$15:$C$721,C244,'3 - PLAN. ORÇAMENTÁRIA'!$F$15:$F$721)</f>
        <v>33.299999999999997</v>
      </c>
      <c r="F244" s="267">
        <f>VLOOKUP(A244,'3 - PLAN. ORÇAMENTÁRIA'!$B$16:$I$721,8,FALSE)</f>
        <v>90.8</v>
      </c>
      <c r="G244" s="267">
        <f>ROUND(E244*F244,2)</f>
        <v>3023.64</v>
      </c>
      <c r="H244" s="262">
        <f t="shared" si="9"/>
        <v>5.1613160044844925E-2</v>
      </c>
      <c r="I244" s="262">
        <f t="shared" si="11"/>
        <v>95.769223196114567</v>
      </c>
      <c r="J244" s="257" t="str">
        <f t="shared" si="10"/>
        <v>C</v>
      </c>
    </row>
    <row r="245" spans="1:10" ht="14.25">
      <c r="A245" s="263" t="s">
        <v>1904</v>
      </c>
      <c r="B245" s="257" t="str">
        <f>VLOOKUP(A245,'3 - PLAN. ORÇAMENTÁRIA'!$B$16:$E$721,3,FALSE)</f>
        <v>PRÓPRIO</v>
      </c>
      <c r="C245" s="265" t="str">
        <f>VLOOKUP(A245,'3 - PLAN. ORÇAMENTÁRIA'!$B$16:$E$721,2,FALSE)</f>
        <v>SOLEIRA EM GRANITO BRANCO SIENA, POLIDO, L = 15 CM, E = 2 CM REF. 98689/SINAPI</v>
      </c>
      <c r="D245" s="257" t="str">
        <f>VLOOKUP(A245,'3 - PLAN. ORÇAMENTÁRIA'!$B$16:$E$721,4,FALSE)</f>
        <v>M</v>
      </c>
      <c r="E245" s="266">
        <f>SUMIF('3 - PLAN. ORÇAMENTÁRIA'!$C$15:$C$721,C245,'3 - PLAN. ORÇAMENTÁRIA'!$F$15:$F$721)</f>
        <v>17.27</v>
      </c>
      <c r="F245" s="267">
        <f>VLOOKUP(A245,'3 - PLAN. ORÇAMENTÁRIA'!$B$16:$I$721,8,FALSE)</f>
        <v>173.61</v>
      </c>
      <c r="G245" s="267">
        <f>ROUND(E245*F245,2)</f>
        <v>2998.24</v>
      </c>
      <c r="H245" s="262">
        <f t="shared" si="9"/>
        <v>5.117958519296472E-2</v>
      </c>
      <c r="I245" s="262">
        <f t="shared" si="11"/>
        <v>95.820402781307536</v>
      </c>
      <c r="J245" s="257" t="str">
        <f t="shared" si="10"/>
        <v>C</v>
      </c>
    </row>
    <row r="246" spans="1:10" ht="28.5">
      <c r="A246" s="263" t="s">
        <v>1916</v>
      </c>
      <c r="B246" s="257" t="str">
        <f>VLOOKUP(A246,'3 - PLAN. ORÇAMENTÁRIA'!$B$16:$E$721,3,FALSE)</f>
        <v>PRÓPRIO</v>
      </c>
      <c r="C246" s="265" t="str">
        <f>VLOOKUP(A246,'3 - PLAN. ORÇAMENTÁRIA'!$B$16:$E$721,2,FALSE)</f>
        <v>LAVATÓRIO LOUÇA (DECA-LINHA VOGUE PLUS CONFORTO, REF L-510 OU SIMILAR) COM COLUNA SUSPENSA, (DECA, LINHA VOGUE PLUS CONFORTO, REF. C-510 OU SIMILAR), EXCLUSIVE TORNEIRA REF. 86902/SINAPI</v>
      </c>
      <c r="D246" s="257" t="str">
        <f>VLOOKUP(A246,'3 - PLAN. ORÇAMENTÁRIA'!$B$16:$E$721,4,FALSE)</f>
        <v>UN</v>
      </c>
      <c r="E246" s="266">
        <f>SUMIF('3 - PLAN. ORÇAMENTÁRIA'!$C$15:$C$721,C246,'3 - PLAN. ORÇAMENTÁRIA'!$F$15:$F$721)</f>
        <v>4</v>
      </c>
      <c r="F246" s="267">
        <f>VLOOKUP(A246,'3 - PLAN. ORÇAMENTÁRIA'!$B$16:$I$721,8,FALSE)</f>
        <v>735.34</v>
      </c>
      <c r="G246" s="267">
        <f>ROUND(E246*F246,2)</f>
        <v>2941.36</v>
      </c>
      <c r="H246" s="262">
        <f t="shared" si="9"/>
        <v>5.0208650642769997E-2</v>
      </c>
      <c r="I246" s="262">
        <f t="shared" si="11"/>
        <v>95.870611431950309</v>
      </c>
      <c r="J246" s="257" t="str">
        <f t="shared" si="10"/>
        <v>C</v>
      </c>
    </row>
    <row r="247" spans="1:10" ht="14.25">
      <c r="A247" s="263">
        <v>101895</v>
      </c>
      <c r="B247" s="257" t="str">
        <f>VLOOKUP(A247,'3 - PLAN. ORÇAMENTÁRIA'!$B$16:$E$721,3,FALSE)</f>
        <v>SINAPI</v>
      </c>
      <c r="C247" s="264" t="s">
        <v>2357</v>
      </c>
      <c r="D247" s="257" t="str">
        <f>VLOOKUP(A247,'3 - PLAN. ORÇAMENTÁRIA'!$B$16:$E$721,4,FALSE)</f>
        <v>UN</v>
      </c>
      <c r="E247" s="266">
        <f>SUMIF('3 - PLAN. ORÇAMENTÁRIA'!$C$15:$C$721,C247,'3 - PLAN. ORÇAMENTÁRIA'!$F$15:$F$721)</f>
        <v>4</v>
      </c>
      <c r="F247" s="267">
        <f>VLOOKUP(A247,'3 - PLAN. ORÇAMENTÁRIA'!$B$16:$I$721,8,FALSE)</f>
        <v>723.3</v>
      </c>
      <c r="G247" s="267">
        <f>ROUND(E247*F247,2)</f>
        <v>2893.2</v>
      </c>
      <c r="H247" s="262">
        <f t="shared" si="9"/>
        <v>4.9386565411803432E-2</v>
      </c>
      <c r="I247" s="262">
        <f t="shared" si="11"/>
        <v>95.919997997362117</v>
      </c>
      <c r="J247" s="257" t="str">
        <f t="shared" si="10"/>
        <v>C</v>
      </c>
    </row>
    <row r="248" spans="1:10" ht="14.25">
      <c r="A248" s="263">
        <v>91940</v>
      </c>
      <c r="B248" s="257" t="str">
        <f>VLOOKUP(A248,'3 - PLAN. ORÇAMENTÁRIA'!$B$16:$E$721,3,FALSE)</f>
        <v>SINAPI</v>
      </c>
      <c r="C248" s="264" t="s">
        <v>511</v>
      </c>
      <c r="D248" s="257" t="str">
        <f>VLOOKUP(A248,'3 - PLAN. ORÇAMENTÁRIA'!$B$16:$E$721,4,FALSE)</f>
        <v>UN</v>
      </c>
      <c r="E248" s="266">
        <f>SUMIF('3 - PLAN. ORÇAMENTÁRIA'!$C$15:$C$721,C248,'3 - PLAN. ORÇAMENTÁRIA'!$F$15:$F$721)</f>
        <v>119</v>
      </c>
      <c r="F248" s="267">
        <f>VLOOKUP(A248,'3 - PLAN. ORÇAMENTÁRIA'!$B$16:$I$721,8,FALSE)</f>
        <v>24.3</v>
      </c>
      <c r="G248" s="267">
        <f>ROUND(E248*F248,2)</f>
        <v>2891.7</v>
      </c>
      <c r="H248" s="262">
        <f t="shared" si="9"/>
        <v>4.9360960597716018E-2</v>
      </c>
      <c r="I248" s="262">
        <f t="shared" si="11"/>
        <v>95.969358957959827</v>
      </c>
      <c r="J248" s="257" t="str">
        <f t="shared" si="10"/>
        <v>C</v>
      </c>
    </row>
    <row r="249" spans="1:10" ht="28.5">
      <c r="A249" s="263" t="s">
        <v>2821</v>
      </c>
      <c r="B249" s="257" t="str">
        <f>VLOOKUP(A249,'3 - PLAN. ORÇAMENTÁRIA'!$B$16:$E$721,3,FALSE)</f>
        <v>PRÓPRIO</v>
      </c>
      <c r="C249" s="265" t="str">
        <f>VLOOKUP(A249,'3 - PLAN. ORÇAMENTÁRIA'!$B$16:$E$721,2,FALSE)</f>
        <v>FECHADURA EM INOX LIXADO PARA PORTA INTERNA REF. ARCHITECT INOX 892, LA FONTE OU EQUIVALENTE - FORNECIMENTO E INSTALAÇÃO. REF. 91306/SINAPI</v>
      </c>
      <c r="D249" s="257" t="str">
        <f>VLOOKUP(A249,'3 - PLAN. ORÇAMENTÁRIA'!$B$16:$E$721,4,FALSE)</f>
        <v>UN</v>
      </c>
      <c r="E249" s="266">
        <f>SUMIF('3 - PLAN. ORÇAMENTÁRIA'!$C$15:$C$721,C249,'3 - PLAN. ORÇAMENTÁRIA'!$F$15:$F$721)</f>
        <v>8</v>
      </c>
      <c r="F249" s="267">
        <f>VLOOKUP(A249,'3 - PLAN. ORÇAMENTÁRIA'!$B$16:$I$721,8,FALSE)</f>
        <v>358.37</v>
      </c>
      <c r="G249" s="267">
        <f>ROUND(E249*F249,2)</f>
        <v>2866.96</v>
      </c>
      <c r="H249" s="262">
        <f t="shared" si="9"/>
        <v>4.8938651864034281E-2</v>
      </c>
      <c r="I249" s="262">
        <f t="shared" si="11"/>
        <v>96.018297609823861</v>
      </c>
      <c r="J249" s="257" t="str">
        <f t="shared" si="10"/>
        <v>C</v>
      </c>
    </row>
    <row r="250" spans="1:10" ht="14.25">
      <c r="A250" s="263">
        <v>94995</v>
      </c>
      <c r="B250" s="257" t="str">
        <f>VLOOKUP(A250,'3 - PLAN. ORÇAMENTÁRIA'!$B$16:$E$721,3,FALSE)</f>
        <v>SINAPI</v>
      </c>
      <c r="C250" s="264" t="s">
        <v>2924</v>
      </c>
      <c r="D250" s="257" t="str">
        <f>VLOOKUP(A250,'3 - PLAN. ORÇAMENTÁRIA'!$B$16:$E$721,4,FALSE)</f>
        <v>M2</v>
      </c>
      <c r="E250" s="266">
        <f>SUMIF('3 - PLAN. ORÇAMENTÁRIA'!$C$15:$C$721,C250,'3 - PLAN. ORÇAMENTÁRIA'!$F$15:$F$721)</f>
        <v>25.84</v>
      </c>
      <c r="F250" s="267">
        <f>VLOOKUP(A250,'3 - PLAN. ORÇAMENTÁRIA'!$B$16:$I$721,8,FALSE)</f>
        <v>110.13</v>
      </c>
      <c r="G250" s="267">
        <f>ROUND(E250*F250,2)</f>
        <v>2845.76</v>
      </c>
      <c r="H250" s="262">
        <f t="shared" si="9"/>
        <v>4.8576770491598829E-2</v>
      </c>
      <c r="I250" s="262">
        <f t="shared" si="11"/>
        <v>96.066874380315454</v>
      </c>
      <c r="J250" s="257" t="str">
        <f t="shared" si="10"/>
        <v>C</v>
      </c>
    </row>
    <row r="251" spans="1:10" ht="14.25">
      <c r="A251" s="263">
        <v>102608</v>
      </c>
      <c r="B251" s="257" t="str">
        <f>VLOOKUP(A251,'3 - PLAN. ORÇAMENTÁRIA'!$B$16:$E$721,3,FALSE)</f>
        <v>SINAPI</v>
      </c>
      <c r="C251" s="264" t="s">
        <v>3250</v>
      </c>
      <c r="D251" s="257" t="str">
        <f>VLOOKUP(A251,'3 - PLAN. ORÇAMENTÁRIA'!$B$16:$E$721,4,FALSE)</f>
        <v>UN</v>
      </c>
      <c r="E251" s="266">
        <f>SUMIF('3 - PLAN. ORÇAMENTÁRIA'!$C$15:$C$721,C251,'3 - PLAN. ORÇAMENTÁRIA'!$F$15:$F$721)</f>
        <v>2</v>
      </c>
      <c r="F251" s="267">
        <f>VLOOKUP(A251,'3 - PLAN. ORÇAMENTÁRIA'!$B$16:$I$721,8,FALSE)</f>
        <v>1421.17</v>
      </c>
      <c r="G251" s="267">
        <f>ROUND(E251*F251,2)</f>
        <v>2842.34</v>
      </c>
      <c r="H251" s="262">
        <f t="shared" si="9"/>
        <v>4.8518391515479528E-2</v>
      </c>
      <c r="I251" s="262">
        <f t="shared" si="11"/>
        <v>96.11539277183094</v>
      </c>
      <c r="J251" s="257" t="str">
        <f t="shared" si="10"/>
        <v>C</v>
      </c>
    </row>
    <row r="252" spans="1:10" ht="28.5">
      <c r="A252" s="263" t="s">
        <v>2011</v>
      </c>
      <c r="B252" s="257" t="str">
        <f>VLOOKUP(A252,'3 - PLAN. ORÇAMENTÁRIA'!$B$16:$E$721,3,FALSE)</f>
        <v>PRÓPRIO</v>
      </c>
      <c r="C252" s="265" t="str">
        <f>VLOOKUP(A252,'3 - PLAN. ORÇAMENTÁRIA'!$B$16:$E$721,2,FALSE)</f>
        <v>DISPOSITIVO DE PROTEÇÃO CONTRA SURTO DE TENSÃO DPS 40KA - 275V REF. 93666/SINAPI</v>
      </c>
      <c r="D252" s="257" t="str">
        <f>VLOOKUP(A252,'3 - PLAN. ORÇAMENTÁRIA'!$B$16:$E$721,4,FALSE)</f>
        <v>UN</v>
      </c>
      <c r="E252" s="266">
        <f>SUMIF('3 - PLAN. ORÇAMENTÁRIA'!$C$15:$C$721,C252,'3 - PLAN. ORÇAMENTÁRIA'!$F$15:$F$721)</f>
        <v>24</v>
      </c>
      <c r="F252" s="267">
        <f>VLOOKUP(A252,'3 - PLAN. ORÇAMENTÁRIA'!$B$16:$I$721,8,FALSE)</f>
        <v>118.14</v>
      </c>
      <c r="G252" s="267">
        <f>ROUND(E252*F252,2)</f>
        <v>2835.36</v>
      </c>
      <c r="H252" s="262">
        <f t="shared" si="9"/>
        <v>4.8399243780592766E-2</v>
      </c>
      <c r="I252" s="262">
        <f t="shared" si="11"/>
        <v>96.163792015611534</v>
      </c>
      <c r="J252" s="257" t="str">
        <f t="shared" si="10"/>
        <v>C</v>
      </c>
    </row>
    <row r="253" spans="1:10" ht="28.5">
      <c r="A253" s="263">
        <v>102491</v>
      </c>
      <c r="B253" s="257" t="str">
        <f>VLOOKUP(A253,'3 - PLAN. ORÇAMENTÁRIA'!$B$16:$E$721,3,FALSE)</f>
        <v>SINAPI</v>
      </c>
      <c r="C253" s="264" t="s">
        <v>3253</v>
      </c>
      <c r="D253" s="257" t="str">
        <f>VLOOKUP(A253,'3 - PLAN. ORÇAMENTÁRIA'!$B$16:$E$721,4,FALSE)</f>
        <v>M2</v>
      </c>
      <c r="E253" s="266">
        <f>SUMIF('3 - PLAN. ORÇAMENTÁRIA'!$C$15:$C$721,C253,'3 - PLAN. ORÇAMENTÁRIA'!$F$15:$F$721)</f>
        <v>100.31</v>
      </c>
      <c r="F253" s="267">
        <f>VLOOKUP(A253,'3 - PLAN. ORÇAMENTÁRIA'!$B$16:$I$721,8,FALSE)</f>
        <v>27.97</v>
      </c>
      <c r="G253" s="267">
        <f>ROUND(E253*F253,2)</f>
        <v>2805.67</v>
      </c>
      <c r="H253" s="262">
        <f t="shared" si="9"/>
        <v>4.7892439160422559E-2</v>
      </c>
      <c r="I253" s="262">
        <f t="shared" si="11"/>
        <v>96.211684454771955</v>
      </c>
      <c r="J253" s="257" t="str">
        <f t="shared" si="10"/>
        <v>C</v>
      </c>
    </row>
    <row r="254" spans="1:10" ht="14.25">
      <c r="A254" s="263">
        <v>95796</v>
      </c>
      <c r="B254" s="257" t="str">
        <f>VLOOKUP(A254,'3 - PLAN. ORÇAMENTÁRIA'!$B$16:$E$721,3,FALSE)</f>
        <v>SINAPI</v>
      </c>
      <c r="C254" s="265" t="s">
        <v>3678</v>
      </c>
      <c r="D254" s="257" t="str">
        <f>VLOOKUP(A254,'3 - PLAN. ORÇAMENTÁRIA'!$B$16:$E$721,4,FALSE)</f>
        <v>UN</v>
      </c>
      <c r="E254" s="266">
        <f>SUMIF('3 - PLAN. ORÇAMENTÁRIA'!$C$15:$C$721,C254,'3 - PLAN. ORÇAMENTÁRIA'!$F$15:$F$721)</f>
        <v>49</v>
      </c>
      <c r="F254" s="267">
        <f>VLOOKUP(A254,'3 - PLAN. ORÇAMENTÁRIA'!$B$16:$I$721,8,FALSE)</f>
        <v>56.66</v>
      </c>
      <c r="G254" s="267">
        <f>ROUND(E254*F254,2)</f>
        <v>2776.34</v>
      </c>
      <c r="H254" s="262">
        <f t="shared" si="9"/>
        <v>4.7391779695633331E-2</v>
      </c>
      <c r="I254" s="262">
        <f t="shared" si="11"/>
        <v>96.259076234467585</v>
      </c>
      <c r="J254" s="257" t="str">
        <f t="shared" si="10"/>
        <v>C</v>
      </c>
    </row>
    <row r="255" spans="1:10" ht="14.25">
      <c r="A255" s="263">
        <v>91856</v>
      </c>
      <c r="B255" s="257" t="str">
        <f>VLOOKUP(A255,'3 - PLAN. ORÇAMENTÁRIA'!$B$16:$E$721,3,FALSE)</f>
        <v>SINAPI</v>
      </c>
      <c r="C255" s="264" t="s">
        <v>421</v>
      </c>
      <c r="D255" s="257" t="str">
        <f>VLOOKUP(A255,'3 - PLAN. ORÇAMENTÁRIA'!$B$16:$E$721,4,FALSE)</f>
        <v>M</v>
      </c>
      <c r="E255" s="266">
        <f>SUMIF('3 - PLAN. ORÇAMENTÁRIA'!$C$15:$C$721,C255,'3 - PLAN. ORÇAMENTÁRIA'!$F$15:$F$721)</f>
        <v>162.19</v>
      </c>
      <c r="F255" s="267">
        <f>VLOOKUP(A255,'3 - PLAN. ORÇAMENTÁRIA'!$B$16:$I$721,8,FALSE)</f>
        <v>17.11</v>
      </c>
      <c r="G255" s="267">
        <f>ROUND(E255*F255,2)</f>
        <v>2775.07</v>
      </c>
      <c r="H255" s="262">
        <f t="shared" si="9"/>
        <v>4.7370100953039319E-2</v>
      </c>
      <c r="I255" s="262">
        <f t="shared" si="11"/>
        <v>96.306446335420631</v>
      </c>
      <c r="J255" s="257" t="str">
        <f t="shared" si="10"/>
        <v>C</v>
      </c>
    </row>
    <row r="256" spans="1:10" ht="28.5">
      <c r="A256" s="263">
        <v>103979</v>
      </c>
      <c r="B256" s="257" t="str">
        <f>VLOOKUP(A256,'3 - PLAN. ORÇAMENTÁRIA'!$B$16:$E$721,3,FALSE)</f>
        <v>SINAPI</v>
      </c>
      <c r="C256" s="264" t="s">
        <v>502</v>
      </c>
      <c r="D256" s="257" t="str">
        <f>VLOOKUP(A256,'3 - PLAN. ORÇAMENTÁRIA'!$B$16:$E$721,4,FALSE)</f>
        <v>M</v>
      </c>
      <c r="E256" s="266">
        <f>SUMIF('3 - PLAN. ORÇAMENTÁRIA'!$C$15:$C$721,C256,'3 - PLAN. ORÇAMENTÁRIA'!$F$15:$F$721)</f>
        <v>70.03</v>
      </c>
      <c r="F256" s="267">
        <f>VLOOKUP(A256,'3 - PLAN. ORÇAMENTÁRIA'!$B$16:$I$721,8,FALSE)</f>
        <v>39.22</v>
      </c>
      <c r="G256" s="267">
        <f>ROUND(E256*F256,2)</f>
        <v>2746.58</v>
      </c>
      <c r="H256" s="262">
        <f t="shared" si="9"/>
        <v>4.6883780184139044E-2</v>
      </c>
      <c r="I256" s="262">
        <f t="shared" si="11"/>
        <v>96.353330115604777</v>
      </c>
      <c r="J256" s="257" t="str">
        <f t="shared" si="10"/>
        <v>C</v>
      </c>
    </row>
    <row r="257" spans="1:10" ht="28.5">
      <c r="A257" s="263">
        <v>97892</v>
      </c>
      <c r="B257" s="257" t="str">
        <f>VLOOKUP(A257,'3 - PLAN. ORÇAMENTÁRIA'!$B$16:$E$721,3,FALSE)</f>
        <v>SINAPI</v>
      </c>
      <c r="C257" s="264" t="s">
        <v>515</v>
      </c>
      <c r="D257" s="257" t="str">
        <f>VLOOKUP(A257,'3 - PLAN. ORÇAMENTÁRIA'!$B$16:$E$721,4,FALSE)</f>
        <v>UN</v>
      </c>
      <c r="E257" s="266">
        <f>SUMIF('3 - PLAN. ORÇAMENTÁRIA'!$C$15:$C$721,C257,'3 - PLAN. ORÇAMENTÁRIA'!$F$15:$F$721)</f>
        <v>5</v>
      </c>
      <c r="F257" s="267">
        <f>VLOOKUP(A257,'3 - PLAN. ORÇAMENTÁRIA'!$B$16:$I$721,8,FALSE)</f>
        <v>518.13</v>
      </c>
      <c r="G257" s="267">
        <f>ROUND(E257*F257,2)</f>
        <v>2590.65</v>
      </c>
      <c r="H257" s="262">
        <f t="shared" si="9"/>
        <v>4.4222074410372104E-2</v>
      </c>
      <c r="I257" s="262">
        <f t="shared" si="11"/>
        <v>96.397552190015148</v>
      </c>
      <c r="J257" s="257" t="str">
        <f t="shared" si="10"/>
        <v>C</v>
      </c>
    </row>
    <row r="258" spans="1:10" ht="28.5">
      <c r="A258" s="263">
        <v>101509</v>
      </c>
      <c r="B258" s="257" t="str">
        <f>VLOOKUP(A258,'3 - PLAN. ORÇAMENTÁRIA'!$B$16:$E$721,3,FALSE)</f>
        <v>SINAPI</v>
      </c>
      <c r="C258" s="264" t="s">
        <v>143</v>
      </c>
      <c r="D258" s="257" t="str">
        <f>VLOOKUP(A258,'3 - PLAN. ORÇAMENTÁRIA'!$B$16:$E$721,4,FALSE)</f>
        <v>UN</v>
      </c>
      <c r="E258" s="266">
        <f>SUMIF('3 - PLAN. ORÇAMENTÁRIA'!$C$15:$C$721,C258,'3 - PLAN. ORÇAMENTÁRIA'!$F$15:$F$721)</f>
        <v>1</v>
      </c>
      <c r="F258" s="267">
        <f>VLOOKUP(A258,'3 - PLAN. ORÇAMENTÁRIA'!$B$16:$I$721,8,FALSE)</f>
        <v>2579.02</v>
      </c>
      <c r="G258" s="267">
        <f>ROUND(E258*F258,2)</f>
        <v>2579.02</v>
      </c>
      <c r="H258" s="262">
        <f t="shared" si="9"/>
        <v>4.4023551751814355E-2</v>
      </c>
      <c r="I258" s="262">
        <f t="shared" si="11"/>
        <v>96.441575741766968</v>
      </c>
      <c r="J258" s="257" t="str">
        <f t="shared" si="10"/>
        <v>C</v>
      </c>
    </row>
    <row r="259" spans="1:10" ht="14.25">
      <c r="A259" s="263" t="s">
        <v>4159</v>
      </c>
      <c r="B259" s="257" t="str">
        <f>VLOOKUP(A259,'3 - PLAN. ORÇAMENTÁRIA'!$B$16:$E$721,3,FALSE)</f>
        <v>COTAÇÃO</v>
      </c>
      <c r="C259" s="265" t="str">
        <f>VLOOKUP(A259,'3 - PLAN. ORÇAMENTÁRIA'!$B$16:$E$721,2,FALSE)</f>
        <v>PLANTIO DE ARBUSTO GUAIMBÊ - CONFORME PROJETO DE PAISAGISMO</v>
      </c>
      <c r="D259" s="257" t="str">
        <f>VLOOKUP(A259,'3 - PLAN. ORÇAMENTÁRIA'!$B$16:$E$721,4,FALSE)</f>
        <v>UN</v>
      </c>
      <c r="E259" s="266">
        <f>SUMIF('3 - PLAN. ORÇAMENTÁRIA'!$C$15:$C$721,C259,'3 - PLAN. ORÇAMENTÁRIA'!$F$15:$F$721)</f>
        <v>42</v>
      </c>
      <c r="F259" s="267">
        <f>VLOOKUP(A259,'3 - PLAN. ORÇAMENTÁRIA'!$B$16:$I$721,8,FALSE)</f>
        <v>61.11</v>
      </c>
      <c r="G259" s="267">
        <f>ROUND(E259*F259,2)</f>
        <v>2566.62</v>
      </c>
      <c r="H259" s="262">
        <f t="shared" si="9"/>
        <v>4.3811885288691739E-2</v>
      </c>
      <c r="I259" s="262">
        <f t="shared" si="11"/>
        <v>96.485387627055658</v>
      </c>
      <c r="J259" s="257" t="str">
        <f t="shared" si="10"/>
        <v>C</v>
      </c>
    </row>
    <row r="260" spans="1:10" ht="14.25">
      <c r="A260" s="263" t="s">
        <v>1990</v>
      </c>
      <c r="B260" s="257" t="str">
        <f>VLOOKUP(A260,'3 - PLAN. ORÇAMENTÁRIA'!$B$16:$E$721,3,FALSE)</f>
        <v>PRÓPRIO</v>
      </c>
      <c r="C260" s="265" t="str">
        <f>VLOOKUP(A260,'3 - PLAN. ORÇAMENTÁRIA'!$B$16:$E$721,2,FALSE)</f>
        <v>ELETRODUTO GALVANIZADO A QUENTE CONFORME NBR6323 - 1 1/2´ COM ACESSÓRIOS REF. 104409/SINAPI</v>
      </c>
      <c r="D260" s="257" t="str">
        <f>VLOOKUP(A260,'3 - PLAN. ORÇAMENTÁRIA'!$B$16:$E$721,4,FALSE)</f>
        <v>M</v>
      </c>
      <c r="E260" s="266">
        <f>SUMIF('3 - PLAN. ORÇAMENTÁRIA'!$C$15:$C$721,C260,'3 - PLAN. ORÇAMENTÁRIA'!$F$15:$F$721)</f>
        <v>28.18</v>
      </c>
      <c r="F260" s="267">
        <f>VLOOKUP(A260,'3 - PLAN. ORÇAMENTÁRIA'!$B$16:$I$721,8,FALSE)</f>
        <v>90.8</v>
      </c>
      <c r="G260" s="267">
        <f>ROUND(E260*F260,2)</f>
        <v>2558.7399999999998</v>
      </c>
      <c r="H260" s="262">
        <f t="shared" si="9"/>
        <v>4.3677374665352521E-2</v>
      </c>
      <c r="I260" s="262">
        <f t="shared" si="11"/>
        <v>96.529065001721008</v>
      </c>
      <c r="J260" s="257" t="str">
        <f t="shared" si="10"/>
        <v>C</v>
      </c>
    </row>
    <row r="261" spans="1:10" ht="42.75">
      <c r="A261" s="263">
        <v>101135</v>
      </c>
      <c r="B261" s="257" t="str">
        <f>VLOOKUP(A261,'3 - PLAN. ORÇAMENTÁRIA'!$B$16:$E$721,3,FALSE)</f>
        <v>SINAPI</v>
      </c>
      <c r="C261" s="264" t="s">
        <v>3381</v>
      </c>
      <c r="D261" s="257" t="str">
        <f>VLOOKUP(A261,'3 - PLAN. ORÇAMENTÁRIA'!$B$16:$E$721,4,FALSE)</f>
        <v>M3</v>
      </c>
      <c r="E261" s="266">
        <f>SUMIF('3 - PLAN. ORÇAMENTÁRIA'!$C$15:$C$721,C261,'3 - PLAN. ORÇAMENTÁRIA'!$F$15:$F$721)</f>
        <v>138.96</v>
      </c>
      <c r="F261" s="267">
        <f>VLOOKUP(A261,'3 - PLAN. ORÇAMENTÁRIA'!$B$16:$I$721,8,FALSE)</f>
        <v>18.350000000000001</v>
      </c>
      <c r="G261" s="267">
        <f>ROUND(E261*F261,2)</f>
        <v>2549.92</v>
      </c>
      <c r="H261" s="262">
        <f t="shared" si="9"/>
        <v>4.3526818358518529E-2</v>
      </c>
      <c r="I261" s="262">
        <f t="shared" si="11"/>
        <v>96.572591820079523</v>
      </c>
      <c r="J261" s="257" t="str">
        <f t="shared" si="10"/>
        <v>C</v>
      </c>
    </row>
    <row r="262" spans="1:10" ht="28.5">
      <c r="A262" s="263" t="s">
        <v>2006</v>
      </c>
      <c r="B262" s="257" t="str">
        <f>VLOOKUP(A262,'3 - PLAN. ORÇAMENTÁRIA'!$B$16:$E$721,3,FALSE)</f>
        <v>PRÓPRIO</v>
      </c>
      <c r="C262" s="265" t="str">
        <f>VLOOKUP(A262,'3 - PLAN. ORÇAMENTÁRIA'!$B$16:$E$721,2,FALSE)</f>
        <v>SINALIZAÇÃO PARA DEFICIENTES/IDOSO - PLACA METÁLICA 50 X 70 CM - "ESTACIONAMENTO RESERVADO" REF. S07319/ORSE</v>
      </c>
      <c r="D262" s="257" t="str">
        <f>VLOOKUP(A262,'3 - PLAN. ORÇAMENTÁRIA'!$B$16:$E$721,4,FALSE)</f>
        <v>UN</v>
      </c>
      <c r="E262" s="266">
        <f>SUMIF('3 - PLAN. ORÇAMENTÁRIA'!$C$15:$C$721,C262,'3 - PLAN. ORÇAMENTÁRIA'!$F$15:$F$721)</f>
        <v>6</v>
      </c>
      <c r="F262" s="267">
        <f>VLOOKUP(A262,'3 - PLAN. ORÇAMENTÁRIA'!$B$16:$I$721,8,FALSE)</f>
        <v>417.01</v>
      </c>
      <c r="G262" s="267">
        <f>ROUND(E262*F262,2)</f>
        <v>2502.06</v>
      </c>
      <c r="H262" s="262">
        <f t="shared" si="9"/>
        <v>4.2709854090369453E-2</v>
      </c>
      <c r="I262" s="262">
        <f t="shared" si="11"/>
        <v>96.615301674169899</v>
      </c>
      <c r="J262" s="257" t="str">
        <f t="shared" si="10"/>
        <v>C</v>
      </c>
    </row>
    <row r="263" spans="1:10" ht="28.5">
      <c r="A263" s="263" t="s">
        <v>3238</v>
      </c>
      <c r="B263" s="257" t="str">
        <f>VLOOKUP(A263,'3 - PLAN. ORÇAMENTÁRIA'!$B$16:$E$721,3,FALSE)</f>
        <v>PRÓPRIO</v>
      </c>
      <c r="C263" s="265" t="str">
        <f>VLOOKUP(A263,'3 - PLAN. ORÇAMENTÁRIA'!$B$16:$E$721,2,FALSE)</f>
        <v>PLATAFORMA COM 3 MASTROS GALVANIZADOS, SENDO 1 DE H= 6,00 M E DOIS DE H= 5,00 M REF. 35.07.030/SP EDUCAÇÃO</v>
      </c>
      <c r="D263" s="257" t="str">
        <f>VLOOKUP(A263,'3 - PLAN. ORÇAMENTÁRIA'!$B$16:$E$721,4,FALSE)</f>
        <v>CJ</v>
      </c>
      <c r="E263" s="266">
        <f>SUMIF('3 - PLAN. ORÇAMENTÁRIA'!$C$15:$C$721,C263,'3 - PLAN. ORÇAMENTÁRIA'!$F$15:$F$721)</f>
        <v>1</v>
      </c>
      <c r="F263" s="267">
        <f>VLOOKUP(A263,'3 - PLAN. ORÇAMENTÁRIA'!$B$16:$I$721,8,FALSE)</f>
        <v>2497.3000000000002</v>
      </c>
      <c r="G263" s="267">
        <f>ROUND(E263*F263,2)</f>
        <v>2497.3000000000002</v>
      </c>
      <c r="H263" s="262">
        <f t="shared" si="9"/>
        <v>4.2628601480332068E-2</v>
      </c>
      <c r="I263" s="262">
        <f t="shared" si="11"/>
        <v>96.65793027565023</v>
      </c>
      <c r="J263" s="257" t="str">
        <f t="shared" si="10"/>
        <v>C</v>
      </c>
    </row>
    <row r="264" spans="1:10" ht="28.5">
      <c r="A264" s="263">
        <v>90699</v>
      </c>
      <c r="B264" s="257" t="str">
        <f>VLOOKUP(A264,'3 - PLAN. ORÇAMENTÁRIA'!$B$16:$E$721,3,FALSE)</f>
        <v>SINAPI</v>
      </c>
      <c r="C264" s="264" t="s">
        <v>2969</v>
      </c>
      <c r="D264" s="257" t="str">
        <f>VLOOKUP(A264,'3 - PLAN. ORÇAMENTÁRIA'!$B$16:$E$721,4,FALSE)</f>
        <v>M</v>
      </c>
      <c r="E264" s="266">
        <f>SUMIF('3 - PLAN. ORÇAMENTÁRIA'!$C$15:$C$721,C264,'3 - PLAN. ORÇAMENTÁRIA'!$F$15:$F$721)</f>
        <v>3.86</v>
      </c>
      <c r="F264" s="267">
        <f>VLOOKUP(A264,'3 - PLAN. ORÇAMENTÁRIA'!$B$16:$I$721,8,FALSE)</f>
        <v>631</v>
      </c>
      <c r="G264" s="267">
        <f>ROUND(E264*F264,2)</f>
        <v>2435.66</v>
      </c>
      <c r="H264" s="262">
        <f t="shared" si="9"/>
        <v>4.1576414320099946E-2</v>
      </c>
      <c r="I264" s="262">
        <f t="shared" si="11"/>
        <v>96.699506689970335</v>
      </c>
      <c r="J264" s="257" t="str">
        <f t="shared" si="10"/>
        <v>C</v>
      </c>
    </row>
    <row r="265" spans="1:10" ht="14.25">
      <c r="A265" s="263" t="s">
        <v>3270</v>
      </c>
      <c r="B265" s="257" t="str">
        <f>VLOOKUP(A265,'3 - PLAN. ORÇAMENTÁRIA'!$B$16:$E$721,3,FALSE)</f>
        <v>PRÓPRIO</v>
      </c>
      <c r="C265" s="265" t="str">
        <f>VLOOKUP(A265,'3 - PLAN. ORÇAMENTÁRIA'!$B$16:$E$721,2,FALSE)</f>
        <v>CERTIFICAÇÃO DE REDE CABEAMENTO ESTRUTURADO REF. I10322/ORSE</v>
      </c>
      <c r="D265" s="257" t="str">
        <f>VLOOKUP(A265,'3 - PLAN. ORÇAMENTÁRIA'!$B$16:$E$721,4,FALSE)</f>
        <v>UN</v>
      </c>
      <c r="E265" s="266">
        <f>SUMIF('3 - PLAN. ORÇAMENTÁRIA'!$C$15:$C$721,C265,'3 - PLAN. ORÇAMENTÁRIA'!$F$15:$F$721)</f>
        <v>84</v>
      </c>
      <c r="F265" s="267">
        <f>VLOOKUP(A265,'3 - PLAN. ORÇAMENTÁRIA'!$B$16:$I$721,8,FALSE)</f>
        <v>28.94</v>
      </c>
      <c r="G265" s="267">
        <f>ROUND(E265*F265,2)</f>
        <v>2430.96</v>
      </c>
      <c r="H265" s="262">
        <f t="shared" ref="H265:H328" si="12">(G265*100)/SUM($G$8:$G$519)</f>
        <v>4.1496185902626048E-2</v>
      </c>
      <c r="I265" s="262">
        <f t="shared" si="11"/>
        <v>96.741002875872965</v>
      </c>
      <c r="J265" s="257" t="str">
        <f t="shared" ref="J265:J328" si="13">IF(I265&lt;80,"A",IF(I265&lt;95,"B","C"))</f>
        <v>C</v>
      </c>
    </row>
    <row r="266" spans="1:10" ht="14.25">
      <c r="A266" s="263">
        <v>100875</v>
      </c>
      <c r="B266" s="257" t="str">
        <f>VLOOKUP(A266,'3 - PLAN. ORÇAMENTÁRIA'!$B$16:$E$721,3,FALSE)</f>
        <v>SINAPI</v>
      </c>
      <c r="C266" s="264" t="s">
        <v>1211</v>
      </c>
      <c r="D266" s="257" t="str">
        <f>VLOOKUP(A266,'3 - PLAN. ORÇAMENTÁRIA'!$B$16:$E$721,4,FALSE)</f>
        <v>UN</v>
      </c>
      <c r="E266" s="266">
        <f>SUMIF('3 - PLAN. ORÇAMENTÁRIA'!$C$15:$C$721,C266,'3 - PLAN. ORÇAMENTÁRIA'!$F$15:$F$721)</f>
        <v>2</v>
      </c>
      <c r="F266" s="267">
        <f>VLOOKUP(A266,'3 - PLAN. ORÇAMENTÁRIA'!$B$16:$I$721,8,FALSE)</f>
        <v>1214.3399999999999</v>
      </c>
      <c r="G266" s="267">
        <f>ROUND(E266*F266,2)</f>
        <v>2428.6799999999998</v>
      </c>
      <c r="H266" s="262">
        <f t="shared" si="12"/>
        <v>4.1457266585213169E-2</v>
      </c>
      <c r="I266" s="262">
        <f t="shared" ref="I266:I329" si="14">H266+I265</f>
        <v>96.782460142458177</v>
      </c>
      <c r="J266" s="257" t="str">
        <f t="shared" si="13"/>
        <v>C</v>
      </c>
    </row>
    <row r="267" spans="1:10" ht="28.5">
      <c r="A267" s="263">
        <v>91222</v>
      </c>
      <c r="B267" s="257" t="str">
        <f>VLOOKUP(A267,'3 - PLAN. ORÇAMENTÁRIA'!$B$16:$E$721,3,FALSE)</f>
        <v>SINAPI</v>
      </c>
      <c r="C267" s="265" t="s">
        <v>2881</v>
      </c>
      <c r="D267" s="257" t="str">
        <f>VLOOKUP(A267,'3 - PLAN. ORÇAMENTÁRIA'!$B$16:$E$721,4,FALSE)</f>
        <v>M</v>
      </c>
      <c r="E267" s="266">
        <f>SUMIF('3 - PLAN. ORÇAMENTÁRIA'!$C$15:$C$721,C267,'3 - PLAN. ORÇAMENTÁRIA'!$F$15:$F$721)</f>
        <v>201.92</v>
      </c>
      <c r="F267" s="267">
        <f>VLOOKUP(A267,'3 - PLAN. ORÇAMENTÁRIA'!$B$16:$I$721,8,FALSE)</f>
        <v>11.9</v>
      </c>
      <c r="G267" s="267">
        <f>ROUND(E267*F267,2)</f>
        <v>2402.85</v>
      </c>
      <c r="H267" s="262">
        <f t="shared" si="12"/>
        <v>4.1016351686627914E-2</v>
      </c>
      <c r="I267" s="262">
        <f t="shared" si="14"/>
        <v>96.823476494144799</v>
      </c>
      <c r="J267" s="257" t="str">
        <f t="shared" si="13"/>
        <v>C</v>
      </c>
    </row>
    <row r="268" spans="1:10" ht="28.5">
      <c r="A268" s="263" t="s">
        <v>2014</v>
      </c>
      <c r="B268" s="257" t="str">
        <f>VLOOKUP(A268,'3 - PLAN. ORÇAMENTÁRIA'!$B$16:$E$721,3,FALSE)</f>
        <v>PRÓPRIO</v>
      </c>
      <c r="C268" s="265" t="str">
        <f>VLOOKUP(A268,'3 - PLAN. ORÇAMENTÁRIA'!$B$16:$E$721,2,FALSE)</f>
        <v>CAIXA ACUSTICA QUADRADA EM ABS, TELA DE ALUMINIO MICROPERFURADA, PINTURA ELETROSTATICA C/POLIESTER, WOOFER COAXIAL 6" C/CARCAÇA DE ALUMINIO. POTENCIA 100W REF. I09325/ORSE</v>
      </c>
      <c r="D268" s="257" t="str">
        <f>VLOOKUP(A268,'3 - PLAN. ORÇAMENTÁRIA'!$B$16:$E$721,4,FALSE)</f>
        <v>UN</v>
      </c>
      <c r="E268" s="266">
        <f>SUMIF('3 - PLAN. ORÇAMENTÁRIA'!$C$15:$C$721,C268,'3 - PLAN. ORÇAMENTÁRIA'!$F$15:$F$721)</f>
        <v>4</v>
      </c>
      <c r="F268" s="267">
        <f>VLOOKUP(A268,'3 - PLAN. ORÇAMENTÁRIA'!$B$16:$I$721,8,FALSE)</f>
        <v>598.91</v>
      </c>
      <c r="G268" s="267">
        <f>ROUND(E268*F268,2)</f>
        <v>2395.64</v>
      </c>
      <c r="H268" s="262">
        <f t="shared" si="12"/>
        <v>4.0893277880247748E-2</v>
      </c>
      <c r="I268" s="262">
        <f t="shared" si="14"/>
        <v>96.864369772025043</v>
      </c>
      <c r="J268" s="257" t="str">
        <f t="shared" si="13"/>
        <v>C</v>
      </c>
    </row>
    <row r="269" spans="1:10" ht="28.5">
      <c r="A269" s="263">
        <v>95781</v>
      </c>
      <c r="B269" s="257" t="str">
        <f>VLOOKUP(A269,'3 - PLAN. ORÇAMENTÁRIA'!$B$16:$E$721,3,FALSE)</f>
        <v>SINAPI</v>
      </c>
      <c r="C269" s="264" t="s">
        <v>2665</v>
      </c>
      <c r="D269" s="257" t="str">
        <f>VLOOKUP(A269,'3 - PLAN. ORÇAMENTÁRIA'!$B$16:$E$721,4,FALSE)</f>
        <v>UN</v>
      </c>
      <c r="E269" s="266">
        <f>SUMIF('3 - PLAN. ORÇAMENTÁRIA'!$C$15:$C$721,C269,'3 - PLAN. ORÇAMENTÁRIA'!$F$15:$F$721)</f>
        <v>56</v>
      </c>
      <c r="F269" s="267">
        <f>VLOOKUP(A269,'3 - PLAN. ORÇAMENTÁRIA'!$B$16:$I$721,8,FALSE)</f>
        <v>42.6</v>
      </c>
      <c r="G269" s="267">
        <f>ROUND(E269*F269,2)</f>
        <v>2385.6</v>
      </c>
      <c r="H269" s="262">
        <f t="shared" si="12"/>
        <v>4.0721896324622656E-2</v>
      </c>
      <c r="I269" s="262">
        <f t="shared" si="14"/>
        <v>96.905091668349669</v>
      </c>
      <c r="J269" s="257" t="str">
        <f t="shared" si="13"/>
        <v>C</v>
      </c>
    </row>
    <row r="270" spans="1:10" ht="14.25">
      <c r="A270" s="263" t="s">
        <v>1981</v>
      </c>
      <c r="B270" s="257" t="str">
        <f>VLOOKUP(A270,'3 - PLAN. ORÇAMENTÁRIA'!$B$16:$E$721,3,FALSE)</f>
        <v>PRÓPRIO</v>
      </c>
      <c r="C270" s="265" t="str">
        <f>VLOOKUP(A270,'3 - PLAN. ORÇAMENTÁRIA'!$B$16:$E$721,2,FALSE)</f>
        <v>CHAVE COMUTADORA/SELETORA COM 1 POLO E 3 POSIÇÕES PARA 63 A REF. 40.12.020/SP OBRAS</v>
      </c>
      <c r="D270" s="257" t="str">
        <f>VLOOKUP(A270,'3 - PLAN. ORÇAMENTÁRIA'!$B$16:$E$721,4,FALSE)</f>
        <v>UN</v>
      </c>
      <c r="E270" s="266">
        <f>SUMIF('3 - PLAN. ORÇAMENTÁRIA'!$C$15:$C$721,C270,'3 - PLAN. ORÇAMENTÁRIA'!$F$15:$F$721)</f>
        <v>3</v>
      </c>
      <c r="F270" s="267">
        <f>VLOOKUP(A270,'3 - PLAN. ORÇAMENTÁRIA'!$B$16:$I$721,8,FALSE)</f>
        <v>794.49</v>
      </c>
      <c r="G270" s="267">
        <f>ROUND(E270*F270,2)</f>
        <v>2383.4699999999998</v>
      </c>
      <c r="H270" s="262">
        <f t="shared" si="12"/>
        <v>4.0685537488618528E-2</v>
      </c>
      <c r="I270" s="262">
        <f t="shared" si="14"/>
        <v>96.945777205838283</v>
      </c>
      <c r="J270" s="257" t="str">
        <f t="shared" si="13"/>
        <v>C</v>
      </c>
    </row>
    <row r="271" spans="1:10" ht="14.25">
      <c r="A271" s="263">
        <v>89531</v>
      </c>
      <c r="B271" s="257" t="str">
        <f>VLOOKUP(A271,'3 - PLAN. ORÇAMENTÁRIA'!$B$16:$E$721,3,FALSE)</f>
        <v>SINAPI</v>
      </c>
      <c r="C271" s="264" t="s">
        <v>3309</v>
      </c>
      <c r="D271" s="257" t="str">
        <f>VLOOKUP(A271,'3 - PLAN. ORÇAMENTÁRIA'!$B$16:$E$721,4,FALSE)</f>
        <v>UN</v>
      </c>
      <c r="E271" s="266">
        <f>SUMIF('3 - PLAN. ORÇAMENTÁRIA'!$C$15:$C$721,C271,'3 - PLAN. ORÇAMENTÁRIA'!$F$15:$F$721)</f>
        <v>49</v>
      </c>
      <c r="F271" s="267">
        <f>VLOOKUP(A271,'3 - PLAN. ORÇAMENTÁRIA'!$B$16:$I$721,8,FALSE)</f>
        <v>47.85</v>
      </c>
      <c r="G271" s="267">
        <f>ROUND(E271*F271,2)</f>
        <v>2344.65</v>
      </c>
      <c r="H271" s="262">
        <f t="shared" si="12"/>
        <v>4.0022884900036262E-2</v>
      </c>
      <c r="I271" s="262">
        <f t="shared" si="14"/>
        <v>96.985800090738323</v>
      </c>
      <c r="J271" s="257" t="str">
        <f t="shared" si="13"/>
        <v>C</v>
      </c>
    </row>
    <row r="272" spans="1:10" ht="28.5">
      <c r="A272" s="263" t="s">
        <v>1974</v>
      </c>
      <c r="B272" s="257" t="str">
        <f>VLOOKUP(A272,'3 - PLAN. ORÇAMENTÁRIA'!$B$16:$E$721,3,FALSE)</f>
        <v>PRÓPRIO</v>
      </c>
      <c r="C272" s="265" t="str">
        <f>VLOOKUP(A272,'3 - PLAN. ORÇAMENTÁRIA'!$B$16:$E$721,2,FALSE)</f>
        <v>QUADRO DE DISTRIBUIÇÃO EM CHAPA METALICA C/ PORTA 1200X600X600 MM, COM PLACA DE MONTAGEM REF. 37.06.014/SP OBRAS</v>
      </c>
      <c r="D272" s="257" t="str">
        <f>VLOOKUP(A272,'3 - PLAN. ORÇAMENTÁRIA'!$B$16:$E$721,4,FALSE)</f>
        <v>M2</v>
      </c>
      <c r="E272" s="266">
        <f>SUMIF('3 - PLAN. ORÇAMENTÁRIA'!$C$15:$C$721,C272,'3 - PLAN. ORÇAMENTÁRIA'!$F$15:$F$721)</f>
        <v>0.72</v>
      </c>
      <c r="F272" s="267">
        <f>VLOOKUP(A272,'3 - PLAN. ORÇAMENTÁRIA'!$B$16:$I$721,8,FALSE)</f>
        <v>3246.57</v>
      </c>
      <c r="G272" s="267">
        <f>ROUND(E272*F272,2)</f>
        <v>2337.5300000000002</v>
      </c>
      <c r="H272" s="262">
        <f t="shared" si="12"/>
        <v>3.9901347382501347E-2</v>
      </c>
      <c r="I272" s="262">
        <f t="shared" si="14"/>
        <v>97.025701438120819</v>
      </c>
      <c r="J272" s="257" t="str">
        <f t="shared" si="13"/>
        <v>C</v>
      </c>
    </row>
    <row r="273" spans="1:10" ht="14.25">
      <c r="A273" s="263" t="s">
        <v>2010</v>
      </c>
      <c r="B273" s="257" t="str">
        <f>VLOOKUP(A273,'3 - PLAN. ORÇAMENTÁRIA'!$B$16:$E$721,3,FALSE)</f>
        <v>PRÓPRIO</v>
      </c>
      <c r="C273" s="265" t="str">
        <f>VLOOKUP(A273,'3 - PLAN. ORÇAMENTÁRIA'!$B$16:$E$721,2,FALSE)</f>
        <v>LIMITADOR DE GRAMA COM BORDA FINA, L=12,5CM REF. S07657/ORSE</v>
      </c>
      <c r="D273" s="257" t="str">
        <f>VLOOKUP(A273,'3 - PLAN. ORÇAMENTÁRIA'!$B$16:$E$721,4,FALSE)</f>
        <v>M</v>
      </c>
      <c r="E273" s="266">
        <f>SUMIF('3 - PLAN. ORÇAMENTÁRIA'!$C$15:$C$721,C273,'3 - PLAN. ORÇAMENTÁRIA'!$F$15:$F$721)</f>
        <v>96.21</v>
      </c>
      <c r="F273" s="267">
        <f>VLOOKUP(A273,'3 - PLAN. ORÇAMENTÁRIA'!$B$16:$I$721,8,FALSE)</f>
        <v>23.09</v>
      </c>
      <c r="G273" s="267">
        <f>ROUND(E273*F273,2)</f>
        <v>2221.4899999999998</v>
      </c>
      <c r="H273" s="262">
        <f t="shared" si="12"/>
        <v>3.7920558964699015E-2</v>
      </c>
      <c r="I273" s="262">
        <f t="shared" si="14"/>
        <v>97.063621997085519</v>
      </c>
      <c r="J273" s="257" t="str">
        <f t="shared" si="13"/>
        <v>C</v>
      </c>
    </row>
    <row r="274" spans="1:10" ht="14.25">
      <c r="A274" s="263">
        <v>101896</v>
      </c>
      <c r="B274" s="257" t="str">
        <f>VLOOKUP(A274,'3 - PLAN. ORÇAMENTÁRIA'!$B$16:$E$721,3,FALSE)</f>
        <v>SINAPI</v>
      </c>
      <c r="C274" s="264" t="s">
        <v>2358</v>
      </c>
      <c r="D274" s="257" t="str">
        <f>VLOOKUP(A274,'3 - PLAN. ORÇAMENTÁRIA'!$B$16:$E$721,4,FALSE)</f>
        <v>UN</v>
      </c>
      <c r="E274" s="266">
        <f>SUMIF('3 - PLAN. ORÇAMENTÁRIA'!$C$15:$C$721,C274,'3 - PLAN. ORÇAMENTÁRIA'!$F$15:$F$721)</f>
        <v>2</v>
      </c>
      <c r="F274" s="267">
        <f>VLOOKUP(A274,'3 - PLAN. ORÇAMENTÁRIA'!$B$16:$I$721,8,FALSE)</f>
        <v>1096.1400000000001</v>
      </c>
      <c r="G274" s="267">
        <f>ROUND(E274*F274,2)</f>
        <v>2192.2800000000002</v>
      </c>
      <c r="H274" s="262">
        <f t="shared" si="12"/>
        <v>3.7421947885036791E-2</v>
      </c>
      <c r="I274" s="262">
        <f t="shared" si="14"/>
        <v>97.101043944970556</v>
      </c>
      <c r="J274" s="257" t="str">
        <f t="shared" si="13"/>
        <v>C</v>
      </c>
    </row>
    <row r="275" spans="1:10" ht="14.25">
      <c r="A275" s="263">
        <v>101896</v>
      </c>
      <c r="B275" s="257" t="str">
        <f>VLOOKUP(A275,'3 - PLAN. ORÇAMENTÁRIA'!$B$16:$E$721,3,FALSE)</f>
        <v>SINAPI</v>
      </c>
      <c r="C275" s="265" t="s">
        <v>3258</v>
      </c>
      <c r="D275" s="257" t="str">
        <f>VLOOKUP(A275,'3 - PLAN. ORÇAMENTÁRIA'!$B$16:$E$721,4,FALSE)</f>
        <v>UN</v>
      </c>
      <c r="E275" s="266">
        <f>SUMIF('3 - PLAN. ORÇAMENTÁRIA'!$C$15:$C$721,C275,'3 - PLAN. ORÇAMENTÁRIA'!$F$15:$F$721)</f>
        <v>2</v>
      </c>
      <c r="F275" s="267">
        <f>VLOOKUP(A275,'3 - PLAN. ORÇAMENTÁRIA'!$B$16:$I$721,8,FALSE)</f>
        <v>1096.1400000000001</v>
      </c>
      <c r="G275" s="267">
        <f>ROUND(E275*F275,2)</f>
        <v>2192.2800000000002</v>
      </c>
      <c r="H275" s="262">
        <f t="shared" si="12"/>
        <v>3.7421947885036791E-2</v>
      </c>
      <c r="I275" s="262">
        <f t="shared" si="14"/>
        <v>97.138465892855592</v>
      </c>
      <c r="J275" s="257" t="str">
        <f t="shared" si="13"/>
        <v>C</v>
      </c>
    </row>
    <row r="276" spans="1:10" ht="14.25">
      <c r="A276" s="263">
        <v>104658</v>
      </c>
      <c r="B276" s="257" t="str">
        <f>VLOOKUP(A276,'3 - PLAN. ORÇAMENTÁRIA'!$B$16:$E$721,3,FALSE)</f>
        <v>SINAPI</v>
      </c>
      <c r="C276" s="264" t="s">
        <v>2955</v>
      </c>
      <c r="D276" s="257" t="str">
        <f>VLOOKUP(A276,'3 - PLAN. ORÇAMENTÁRIA'!$B$16:$E$721,4,FALSE)</f>
        <v>M2</v>
      </c>
      <c r="E276" s="266">
        <f>SUMIF('3 - PLAN. ORÇAMENTÁRIA'!$C$15:$C$721,C276,'3 - PLAN. ORÇAMENTÁRIA'!$F$15:$F$721)</f>
        <v>9.92</v>
      </c>
      <c r="F276" s="267">
        <f>VLOOKUP(A276,'3 - PLAN. ORÇAMENTÁRIA'!$B$16:$I$721,8,FALSE)</f>
        <v>219.77</v>
      </c>
      <c r="G276" s="267">
        <f>ROUND(E276*F276,2)</f>
        <v>2180.12</v>
      </c>
      <c r="H276" s="262">
        <f t="shared" si="12"/>
        <v>3.7214378192168156E-2</v>
      </c>
      <c r="I276" s="262">
        <f t="shared" si="14"/>
        <v>97.175680271047767</v>
      </c>
      <c r="J276" s="257" t="str">
        <f t="shared" si="13"/>
        <v>C</v>
      </c>
    </row>
    <row r="277" spans="1:10" ht="28.5">
      <c r="A277" s="263" t="s">
        <v>1883</v>
      </c>
      <c r="B277" s="257" t="str">
        <f>VLOOKUP(A277,'3 - PLAN. ORÇAMENTÁRIA'!$B$16:$E$721,3,FALSE)</f>
        <v>PRÓPRIO</v>
      </c>
      <c r="C277" s="265" t="str">
        <f>VLOOKUP(A277,'3 - PLAN. ORÇAMENTÁRIA'!$B$16:$E$721,2,FALSE)</f>
        <v>CONSTRUÇÃO DE GUARITA/POSTO DE VIGIA PROVISÓRIO EM MADEIRA - FORNECIMENTO E MONTAGEM REF. 02.01.021/SP OBRAS</v>
      </c>
      <c r="D277" s="257" t="str">
        <f>VLOOKUP(A277,'3 - PLAN. ORÇAMENTÁRIA'!$B$16:$E$721,4,FALSE)</f>
        <v>M2</v>
      </c>
      <c r="E277" s="266">
        <f>SUMIF('3 - PLAN. ORÇAMENTÁRIA'!$C$15:$C$721,C277,'3 - PLAN. ORÇAMENTÁRIA'!$F$15:$F$721)</f>
        <v>4</v>
      </c>
      <c r="F277" s="267">
        <f>VLOOKUP(A277,'3 - PLAN. ORÇAMENTÁRIA'!$B$16:$I$721,8,FALSE)</f>
        <v>543.36</v>
      </c>
      <c r="G277" s="267">
        <f>ROUND(E277*F277,2)</f>
        <v>2173.44</v>
      </c>
      <c r="H277" s="262">
        <f t="shared" si="12"/>
        <v>3.7100351420098869E-2</v>
      </c>
      <c r="I277" s="262">
        <f t="shared" si="14"/>
        <v>97.212780622467861</v>
      </c>
      <c r="J277" s="257" t="str">
        <f t="shared" si="13"/>
        <v>C</v>
      </c>
    </row>
    <row r="278" spans="1:10" ht="42.75">
      <c r="A278" s="263">
        <v>10527</v>
      </c>
      <c r="B278" s="257" t="str">
        <f>VLOOKUP(A278,'3 - PLAN. ORÇAMENTÁRIA'!$B$16:$E$721,3,FALSE)</f>
        <v>PRÓPRIO</v>
      </c>
      <c r="C278" s="264" t="s">
        <v>2539</v>
      </c>
      <c r="D278" s="257" t="str">
        <f>VLOOKUP(A278,'3 - PLAN. ORÇAMENTÁRIA'!$B$16:$E$721,4,FALSE)</f>
        <v>MXMES</v>
      </c>
      <c r="E278" s="266">
        <f>SUMIF('3 - PLAN. ORÇAMENTÁRIA'!$C$15:$C$721,C278,'3 - PLAN. ORÇAMENTÁRIA'!$F$15:$F$721)</f>
        <v>59</v>
      </c>
      <c r="F278" s="267">
        <f>VLOOKUP(A278,'3 - PLAN. ORÇAMENTÁRIA'!$B$16:$I$721,8,FALSE)</f>
        <v>36.83</v>
      </c>
      <c r="G278" s="267">
        <f>ROUND(E278*F278,2)</f>
        <v>2172.9699999999998</v>
      </c>
      <c r="H278" s="262">
        <f t="shared" si="12"/>
        <v>3.7092328578351479E-2</v>
      </c>
      <c r="I278" s="262">
        <f t="shared" si="14"/>
        <v>97.249872951046214</v>
      </c>
      <c r="J278" s="257" t="str">
        <f t="shared" si="13"/>
        <v>C</v>
      </c>
    </row>
    <row r="279" spans="1:10" ht="28.5">
      <c r="A279" s="263">
        <v>100757</v>
      </c>
      <c r="B279" s="257" t="str">
        <f>VLOOKUP(A279,'3 - PLAN. ORÇAMENTÁRIA'!$B$16:$E$721,3,FALSE)</f>
        <v>SINAPI</v>
      </c>
      <c r="C279" s="264" t="s">
        <v>4036</v>
      </c>
      <c r="D279" s="257" t="str">
        <f>VLOOKUP(A279,'3 - PLAN. ORÇAMENTÁRIA'!$B$16:$E$721,4,FALSE)</f>
        <v>M2</v>
      </c>
      <c r="E279" s="266">
        <f>SUMIF('3 - PLAN. ORÇAMENTÁRIA'!$C$15:$C$721,C279,'3 - PLAN. ORÇAMENTÁRIA'!$F$15:$F$721)</f>
        <v>31.54</v>
      </c>
      <c r="F279" s="267">
        <f>VLOOKUP(A279,'3 - PLAN. ORÇAMENTÁRIA'!$B$16:$I$721,8,FALSE)</f>
        <v>67.22</v>
      </c>
      <c r="G279" s="267">
        <f>ROUND(E279*F279,2)</f>
        <v>2120.12</v>
      </c>
      <c r="H279" s="262">
        <f t="shared" si="12"/>
        <v>3.6190185628671608E-2</v>
      </c>
      <c r="I279" s="262">
        <f t="shared" si="14"/>
        <v>97.286063136674883</v>
      </c>
      <c r="J279" s="257" t="str">
        <f t="shared" si="13"/>
        <v>C</v>
      </c>
    </row>
    <row r="280" spans="1:10" ht="14.25">
      <c r="A280" s="263">
        <v>97637</v>
      </c>
      <c r="B280" s="257" t="str">
        <f>VLOOKUP(A280,'3 - PLAN. ORÇAMENTÁRIA'!$B$16:$E$721,3,FALSE)</f>
        <v>SINAPI</v>
      </c>
      <c r="C280" s="264" t="s">
        <v>163</v>
      </c>
      <c r="D280" s="257" t="str">
        <f>VLOOKUP(A280,'3 - PLAN. ORÇAMENTÁRIA'!$B$16:$E$721,4,FALSE)</f>
        <v>M2</v>
      </c>
      <c r="E280" s="266">
        <f>SUMIF('3 - PLAN. ORÇAMENTÁRIA'!$C$15:$C$721,C280,'3 - PLAN. ORÇAMENTÁRIA'!$F$15:$F$721)</f>
        <v>555.73</v>
      </c>
      <c r="F280" s="267">
        <f>VLOOKUP(A280,'3 - PLAN. ORÇAMENTÁRIA'!$B$16:$I$721,8,FALSE)</f>
        <v>3.81</v>
      </c>
      <c r="G280" s="267">
        <f>ROUND(E280*F280,2)</f>
        <v>2117.33</v>
      </c>
      <c r="H280" s="262">
        <f t="shared" si="12"/>
        <v>3.6142560674469019E-2</v>
      </c>
      <c r="I280" s="262">
        <f t="shared" si="14"/>
        <v>97.322205697349347</v>
      </c>
      <c r="J280" s="257" t="str">
        <f t="shared" si="13"/>
        <v>C</v>
      </c>
    </row>
    <row r="281" spans="1:10" ht="14.25">
      <c r="A281" s="263" t="s">
        <v>1919</v>
      </c>
      <c r="B281" s="257" t="str">
        <f>VLOOKUP(A281,'3 - PLAN. ORÇAMENTÁRIA'!$B$16:$E$721,3,FALSE)</f>
        <v>PRÓPRIO</v>
      </c>
      <c r="C281" s="265" t="str">
        <f>VLOOKUP(A281,'3 - PLAN. ORÇAMENTÁRIA'!$B$16:$E$721,2,FALSE)</f>
        <v>TORNEIRA CROMADA, 1/2", REF.1153 C39, DECA OU SIMILAR REF. S03682/ORSE</v>
      </c>
      <c r="D281" s="257" t="str">
        <f>VLOOKUP(A281,'3 - PLAN. ORÇAMENTÁRIA'!$B$16:$E$721,4,FALSE)</f>
        <v>UN</v>
      </c>
      <c r="E281" s="266">
        <f>SUMIF('3 - PLAN. ORÇAMENTÁRIA'!$C$15:$C$721,C281,'3 - PLAN. ORÇAMENTÁRIA'!$F$15:$F$721)</f>
        <v>24</v>
      </c>
      <c r="F281" s="267">
        <f>VLOOKUP(A281,'3 - PLAN. ORÇAMENTÁRIA'!$B$16:$I$721,8,FALSE)</f>
        <v>88.03</v>
      </c>
      <c r="G281" s="267">
        <f>ROUND(E281*F281,2)</f>
        <v>2112.7199999999998</v>
      </c>
      <c r="H281" s="262">
        <f t="shared" si="12"/>
        <v>3.6063868545840365E-2</v>
      </c>
      <c r="I281" s="262">
        <f t="shared" si="14"/>
        <v>97.358269565895185</v>
      </c>
      <c r="J281" s="257" t="str">
        <f t="shared" si="13"/>
        <v>C</v>
      </c>
    </row>
    <row r="282" spans="1:10" ht="28.5">
      <c r="A282" s="263" t="s">
        <v>2005</v>
      </c>
      <c r="B282" s="257" t="str">
        <f>VLOOKUP(A282,'3 - PLAN. ORÇAMENTÁRIA'!$B$16:$E$721,3,FALSE)</f>
        <v>PRÓPRIO</v>
      </c>
      <c r="C282" s="265" t="str">
        <f>VLOOKUP(A282,'3 - PLAN. ORÇAMENTÁRIA'!$B$16:$E$721,2,FALSE)</f>
        <v>TANQUE DE LOUÇA (DECA REFTQ 03) COM COLUNA (DECA REFCT 25), COM TORNEIRA METÁLICA (DECA LINHA C23 REF 1153), C/ VÁLVULA E CONJUNTO DE FIXAÇÃO OU SIMILARES REF. 86872/SINAPI</v>
      </c>
      <c r="D282" s="257" t="str">
        <f>VLOOKUP(A282,'3 - PLAN. ORÇAMENTÁRIA'!$B$16:$E$721,4,FALSE)</f>
        <v>UN</v>
      </c>
      <c r="E282" s="266">
        <f>SUMIF('3 - PLAN. ORÇAMENTÁRIA'!$C$15:$C$721,C282,'3 - PLAN. ORÇAMENTÁRIA'!$F$15:$F$721)</f>
        <v>1</v>
      </c>
      <c r="F282" s="267">
        <f>VLOOKUP(A282,'3 - PLAN. ORÇAMENTÁRIA'!$B$16:$I$721,8,FALSE)</f>
        <v>2088.1</v>
      </c>
      <c r="G282" s="267">
        <f>ROUND(E282*F282,2)</f>
        <v>2088.1</v>
      </c>
      <c r="H282" s="262">
        <f t="shared" si="12"/>
        <v>3.5643608197285619E-2</v>
      </c>
      <c r="I282" s="262">
        <f t="shared" si="14"/>
        <v>97.393913174092475</v>
      </c>
      <c r="J282" s="257" t="str">
        <f t="shared" si="13"/>
        <v>C</v>
      </c>
    </row>
    <row r="283" spans="1:10" ht="14.25">
      <c r="A283" s="263" t="s">
        <v>2023</v>
      </c>
      <c r="B283" s="257" t="str">
        <f>VLOOKUP(A283,'3 - PLAN. ORÇAMENTÁRIA'!$B$16:$E$721,3,FALSE)</f>
        <v>PRÓPRIO</v>
      </c>
      <c r="C283" s="265" t="str">
        <f>VLOOKUP(A283,'3 - PLAN. ORÇAMENTÁRIA'!$B$16:$E$721,2,FALSE)</f>
        <v>EXTINTOR PORTATIL DE PO QUIMICO ABC CAPACIDADE 6 KG REF. 101909/SINAPI</v>
      </c>
      <c r="D283" s="257" t="str">
        <f>VLOOKUP(A283,'3 - PLAN. ORÇAMENTÁRIA'!$B$16:$E$721,4,FALSE)</f>
        <v>UN</v>
      </c>
      <c r="E283" s="266">
        <f>SUMIF('3 - PLAN. ORÇAMENTÁRIA'!$C$15:$C$721,C283,'3 - PLAN. ORÇAMENTÁRIA'!$F$15:$F$721)</f>
        <v>6</v>
      </c>
      <c r="F283" s="267">
        <f>VLOOKUP(A283,'3 - PLAN. ORÇAMENTÁRIA'!$B$16:$I$721,8,FALSE)</f>
        <v>340.82</v>
      </c>
      <c r="G283" s="267">
        <f>ROUND(E283*F283,2)</f>
        <v>2044.92</v>
      </c>
      <c r="H283" s="262">
        <f t="shared" si="12"/>
        <v>3.4906530949089271E-2</v>
      </c>
      <c r="I283" s="262">
        <f t="shared" si="14"/>
        <v>97.428819705041562</v>
      </c>
      <c r="J283" s="257" t="str">
        <f t="shared" si="13"/>
        <v>C</v>
      </c>
    </row>
    <row r="284" spans="1:10" ht="14.25">
      <c r="A284" s="263" t="s">
        <v>1923</v>
      </c>
      <c r="B284" s="257" t="str">
        <f>VLOOKUP(A284,'3 - PLAN. ORÇAMENTÁRIA'!$B$16:$E$721,3,FALSE)</f>
        <v>PRÓPRIO</v>
      </c>
      <c r="C284" s="265" t="str">
        <f>VLOOKUP(A284,'3 - PLAN. ORÇAMENTÁRIA'!$B$16:$E$721,2,FALSE)</f>
        <v>BARRA DE APOIO EM AÇO INOX - 40 CM REF. 230174/GOINFRA CIVIL</v>
      </c>
      <c r="D284" s="257" t="str">
        <f>VLOOKUP(A284,'3 - PLAN. ORÇAMENTÁRIA'!$B$16:$E$721,4,FALSE)</f>
        <v>UN</v>
      </c>
      <c r="E284" s="266">
        <f>SUMIF('3 - PLAN. ORÇAMENTÁRIA'!$C$15:$C$721,C284,'3 - PLAN. ORÇAMENTÁRIA'!$F$15:$F$721)</f>
        <v>18</v>
      </c>
      <c r="F284" s="267">
        <f>VLOOKUP(A284,'3 - PLAN. ORÇAMENTÁRIA'!$B$16:$I$721,8,FALSE)</f>
        <v>111.36</v>
      </c>
      <c r="G284" s="267">
        <f>ROUND(E284*F284,2)</f>
        <v>2004.48</v>
      </c>
      <c r="H284" s="262">
        <f t="shared" si="12"/>
        <v>3.42162251612926E-2</v>
      </c>
      <c r="I284" s="262">
        <f t="shared" si="14"/>
        <v>97.463035930202849</v>
      </c>
      <c r="J284" s="257" t="str">
        <f t="shared" si="13"/>
        <v>C</v>
      </c>
    </row>
    <row r="285" spans="1:10" ht="28.5">
      <c r="A285" s="263">
        <v>91222</v>
      </c>
      <c r="B285" s="257" t="str">
        <f>VLOOKUP(A285,'3 - PLAN. ORÇAMENTÁRIA'!$B$16:$E$721,3,FALSE)</f>
        <v>SINAPI</v>
      </c>
      <c r="C285" s="264" t="s">
        <v>2914</v>
      </c>
      <c r="D285" s="257" t="str">
        <f>VLOOKUP(A285,'3 - PLAN. ORÇAMENTÁRIA'!$B$16:$E$721,4,FALSE)</f>
        <v>M</v>
      </c>
      <c r="E285" s="266">
        <f>SUMIF('3 - PLAN. ORÇAMENTÁRIA'!$C$15:$C$721,C285,'3 - PLAN. ORÇAMENTÁRIA'!$F$15:$F$721)</f>
        <v>166.35</v>
      </c>
      <c r="F285" s="267">
        <f>VLOOKUP(A285,'3 - PLAN. ORÇAMENTÁRIA'!$B$16:$I$721,8,FALSE)</f>
        <v>11.9</v>
      </c>
      <c r="G285" s="267">
        <f>ROUND(E285*F285,2)</f>
        <v>1979.57</v>
      </c>
      <c r="H285" s="262">
        <f t="shared" si="12"/>
        <v>3.3791014548680949E-2</v>
      </c>
      <c r="I285" s="262">
        <f t="shared" si="14"/>
        <v>97.496826944751533</v>
      </c>
      <c r="J285" s="257" t="str">
        <f t="shared" si="13"/>
        <v>C</v>
      </c>
    </row>
    <row r="286" spans="1:10" ht="28.5">
      <c r="A286" s="263">
        <v>92019</v>
      </c>
      <c r="B286" s="257" t="str">
        <f>VLOOKUP(A286,'3 - PLAN. ORÇAMENTÁRIA'!$B$16:$E$721,3,FALSE)</f>
        <v>SINAPI</v>
      </c>
      <c r="C286" s="264" t="s">
        <v>551</v>
      </c>
      <c r="D286" s="257" t="str">
        <f>VLOOKUP(A286,'3 - PLAN. ORÇAMENTÁRIA'!$B$16:$E$721,4,FALSE)</f>
        <v>UN</v>
      </c>
      <c r="E286" s="266">
        <f>SUMIF('3 - PLAN. ORÇAMENTÁRIA'!$C$15:$C$721,C286,'3 - PLAN. ORÇAMENTÁRIA'!$F$15:$F$721)</f>
        <v>15</v>
      </c>
      <c r="F286" s="267">
        <f>VLOOKUP(A286,'3 - PLAN. ORÇAMENTÁRIA'!$B$16:$I$721,8,FALSE)</f>
        <v>130.35</v>
      </c>
      <c r="G286" s="267">
        <f>ROUND(E286*F286,2)</f>
        <v>1955.25</v>
      </c>
      <c r="H286" s="262">
        <f t="shared" si="12"/>
        <v>3.3375875162943686E-2</v>
      </c>
      <c r="I286" s="262">
        <f t="shared" si="14"/>
        <v>97.530202819914479</v>
      </c>
      <c r="J286" s="257" t="str">
        <f t="shared" si="13"/>
        <v>C</v>
      </c>
    </row>
    <row r="287" spans="1:10" ht="14.25">
      <c r="A287" s="263">
        <v>97064</v>
      </c>
      <c r="B287" s="257" t="str">
        <f>VLOOKUP(A287,'3 - PLAN. ORÇAMENTÁRIA'!$B$16:$E$721,3,FALSE)</f>
        <v>SINAPI</v>
      </c>
      <c r="C287" s="264" t="s">
        <v>1227</v>
      </c>
      <c r="D287" s="257" t="str">
        <f>VLOOKUP(A287,'3 - PLAN. ORÇAMENTÁRIA'!$B$16:$E$721,4,FALSE)</f>
        <v>M</v>
      </c>
      <c r="E287" s="266">
        <f>SUMIF('3 - PLAN. ORÇAMENTÁRIA'!$C$15:$C$721,C287,'3 - PLAN. ORÇAMENTÁRIA'!$F$15:$F$721)</f>
        <v>59</v>
      </c>
      <c r="F287" s="267">
        <f>VLOOKUP(A287,'3 - PLAN. ORÇAMENTÁRIA'!$B$16:$I$721,8,FALSE)</f>
        <v>32.85</v>
      </c>
      <c r="G287" s="267">
        <f>ROUND(E287*F287,2)</f>
        <v>1938.15</v>
      </c>
      <c r="H287" s="262">
        <f t="shared" si="12"/>
        <v>3.3083980282347165E-2</v>
      </c>
      <c r="I287" s="262">
        <f t="shared" si="14"/>
        <v>97.563286800196821</v>
      </c>
      <c r="J287" s="257" t="str">
        <f t="shared" si="13"/>
        <v>C</v>
      </c>
    </row>
    <row r="288" spans="1:10" ht="28.5">
      <c r="A288" s="263" t="s">
        <v>1992</v>
      </c>
      <c r="B288" s="257" t="str">
        <f>VLOOKUP(A288,'3 - PLAN. ORÇAMENTÁRIA'!$B$16:$E$721,3,FALSE)</f>
        <v>PRÓPRIO</v>
      </c>
      <c r="C288" s="265" t="str">
        <f>VLOOKUP(A288,'3 - PLAN. ORÇAMENTÁRIA'!$B$16:$E$721,2,FALSE)</f>
        <v>SOLDA EXOTÉRMICA CONEXÃO CABO-HASTE NA LATERAL, BITOLA DO CABO DE 25MM² A 70MM² PARA HASTE DE 5/8" E 3/4" REF. 42.20.230/SP OBRAS</v>
      </c>
      <c r="D288" s="257" t="str">
        <f>VLOOKUP(A288,'3 - PLAN. ORÇAMENTÁRIA'!$B$16:$E$721,4,FALSE)</f>
        <v>UN</v>
      </c>
      <c r="E288" s="266">
        <f>SUMIF('3 - PLAN. ORÇAMENTÁRIA'!$C$15:$C$721,C288,'3 - PLAN. ORÇAMENTÁRIA'!$F$15:$F$721)</f>
        <v>32</v>
      </c>
      <c r="F288" s="267">
        <f>VLOOKUP(A288,'3 - PLAN. ORÇAMENTÁRIA'!$B$16:$I$721,8,FALSE)</f>
        <v>59.92</v>
      </c>
      <c r="G288" s="267">
        <f>ROUND(E288*F288,2)</f>
        <v>1917.44</v>
      </c>
      <c r="H288" s="262">
        <f t="shared" si="12"/>
        <v>3.2730463149180274E-2</v>
      </c>
      <c r="I288" s="262">
        <f t="shared" si="14"/>
        <v>97.596017263345999</v>
      </c>
      <c r="J288" s="257" t="str">
        <f t="shared" si="13"/>
        <v>C</v>
      </c>
    </row>
    <row r="289" spans="1:10" ht="28.5">
      <c r="A289" s="263">
        <v>92916</v>
      </c>
      <c r="B289" s="257" t="str">
        <f>VLOOKUP(A289,'3 - PLAN. ORÇAMENTÁRIA'!$B$16:$E$721,3,FALSE)</f>
        <v>SINAPI</v>
      </c>
      <c r="C289" s="265" t="s">
        <v>2937</v>
      </c>
      <c r="D289" s="257" t="str">
        <f>VLOOKUP(A289,'3 - PLAN. ORÇAMENTÁRIA'!$B$16:$E$721,4,FALSE)</f>
        <v>KG</v>
      </c>
      <c r="E289" s="266">
        <f>SUMIF('3 - PLAN. ORÇAMENTÁRIA'!$C$15:$C$721,C289,'3 - PLAN. ORÇAMENTÁRIA'!$F$15:$F$721)</f>
        <v>93.87</v>
      </c>
      <c r="F289" s="267">
        <f>VLOOKUP(A289,'3 - PLAN. ORÇAMENTÁRIA'!$B$16:$I$721,8,FALSE)</f>
        <v>20.3</v>
      </c>
      <c r="G289" s="267">
        <f>ROUND(E289*F289,2)</f>
        <v>1905.56</v>
      </c>
      <c r="H289" s="262">
        <f t="shared" si="12"/>
        <v>3.2527673021607958E-2</v>
      </c>
      <c r="I289" s="262">
        <f t="shared" si="14"/>
        <v>97.628544936367604</v>
      </c>
      <c r="J289" s="257" t="str">
        <f t="shared" si="13"/>
        <v>C</v>
      </c>
    </row>
    <row r="290" spans="1:10" ht="14.25">
      <c r="A290" s="263" t="s">
        <v>2844</v>
      </c>
      <c r="B290" s="257" t="str">
        <f>VLOOKUP(A290,'3 - PLAN. ORÇAMENTÁRIA'!$B$16:$E$721,3,FALSE)</f>
        <v>PRÓPRIO</v>
      </c>
      <c r="C290" s="265" t="str">
        <f>VLOOKUP(A290,'3 - PLAN. ORÇAMENTÁRIA'!$B$16:$E$721,2,FALSE)</f>
        <v>PAINEL RIPADO EM MDF - FIXAÇÃO EM PORTAS E PAREDES - FORNECIMENTO E INSTALAÇÃO REF. 23.08.110/SP OBRAS</v>
      </c>
      <c r="D290" s="257" t="str">
        <f>VLOOKUP(A290,'3 - PLAN. ORÇAMENTÁRIA'!$B$16:$E$721,4,FALSE)</f>
        <v>M2</v>
      </c>
      <c r="E290" s="266">
        <f>SUMIF('3 - PLAN. ORÇAMENTÁRIA'!$C$15:$C$721,C290,'3 - PLAN. ORÇAMENTÁRIA'!$F$15:$F$721)</f>
        <v>5.18</v>
      </c>
      <c r="F290" s="267">
        <f>VLOOKUP(A290,'3 - PLAN. ORÇAMENTÁRIA'!$B$16:$I$721,8,FALSE)</f>
        <v>355.81</v>
      </c>
      <c r="G290" s="267">
        <f>ROUND(E290*F290,2)</f>
        <v>1843.1</v>
      </c>
      <c r="H290" s="262">
        <f t="shared" si="12"/>
        <v>3.146148856300806E-2</v>
      </c>
      <c r="I290" s="262">
        <f t="shared" si="14"/>
        <v>97.660006424930614</v>
      </c>
      <c r="J290" s="257" t="str">
        <f t="shared" si="13"/>
        <v>C</v>
      </c>
    </row>
    <row r="291" spans="1:10" ht="28.5">
      <c r="A291" s="263" t="s">
        <v>2995</v>
      </c>
      <c r="B291" s="257" t="str">
        <f>VLOOKUP(A291,'3 - PLAN. ORÇAMENTÁRIA'!$B$16:$E$721,3,FALSE)</f>
        <v>PRÓPRIO</v>
      </c>
      <c r="C291" s="265" t="str">
        <f>VLOOKUP(A291,'3 - PLAN. ORÇAMENTÁRIA'!$B$16:$E$721,2,FALSE)</f>
        <v>SINALIZAÇÃO COM PICTOGRAMA PARA VAGA DE ESTACIONAMENTO (DEFICIENTE, IDOSO, GESTANTE) REF. 30.06.100/SP OBRAS</v>
      </c>
      <c r="D291" s="257" t="str">
        <f>VLOOKUP(A291,'3 - PLAN. ORÇAMENTÁRIA'!$B$16:$E$721,4,FALSE)</f>
        <v>UN</v>
      </c>
      <c r="E291" s="266">
        <f>SUMIF('3 - PLAN. ORÇAMENTÁRIA'!$C$15:$C$721,C291,'3 - PLAN. ORÇAMENTÁRIA'!$F$15:$F$721)</f>
        <v>6</v>
      </c>
      <c r="F291" s="267">
        <f>VLOOKUP(A291,'3 - PLAN. ORÇAMENTÁRIA'!$B$16:$I$721,8,FALSE)</f>
        <v>303.87</v>
      </c>
      <c r="G291" s="267">
        <f>ROUND(E291*F291,2)</f>
        <v>1823.22</v>
      </c>
      <c r="H291" s="262">
        <f t="shared" si="12"/>
        <v>3.1122139426969536E-2</v>
      </c>
      <c r="I291" s="262">
        <f t="shared" si="14"/>
        <v>97.691128564357584</v>
      </c>
      <c r="J291" s="257" t="str">
        <f t="shared" si="13"/>
        <v>C</v>
      </c>
    </row>
    <row r="292" spans="1:10" ht="28.5">
      <c r="A292" s="263">
        <v>98511</v>
      </c>
      <c r="B292" s="257" t="str">
        <f>VLOOKUP(A292,'3 - PLAN. ORÇAMENTÁRIA'!$B$16:$E$721,3,FALSE)</f>
        <v>SINAPI</v>
      </c>
      <c r="C292" s="264" t="s">
        <v>2759</v>
      </c>
      <c r="D292" s="257" t="str">
        <f>VLOOKUP(A292,'3 - PLAN. ORÇAMENTÁRIA'!$B$16:$E$721,4,FALSE)</f>
        <v>UN</v>
      </c>
      <c r="E292" s="266">
        <f>SUMIF('3 - PLAN. ORÇAMENTÁRIA'!$C$15:$C$721,C292,'3 - PLAN. ORÇAMENTÁRIA'!$F$15:$F$721)</f>
        <v>9</v>
      </c>
      <c r="F292" s="267">
        <f>VLOOKUP(A292,'3 - PLAN. ORÇAMENTÁRIA'!$B$16:$I$721,8,FALSE)</f>
        <v>192.87</v>
      </c>
      <c r="G292" s="267">
        <f>ROUND(E292*F292,2)</f>
        <v>1735.83</v>
      </c>
      <c r="H292" s="262">
        <f t="shared" si="12"/>
        <v>2.9630402958236816E-2</v>
      </c>
      <c r="I292" s="262">
        <f t="shared" si="14"/>
        <v>97.720758967315817</v>
      </c>
      <c r="J292" s="257" t="str">
        <f t="shared" si="13"/>
        <v>C</v>
      </c>
    </row>
    <row r="293" spans="1:10" ht="14.25">
      <c r="A293" s="263">
        <v>86881</v>
      </c>
      <c r="B293" s="257" t="str">
        <f>VLOOKUP(A293,'3 - PLAN. ORÇAMENTÁRIA'!$B$16:$E$721,3,FALSE)</f>
        <v>SINAPI</v>
      </c>
      <c r="C293" s="265" t="s">
        <v>666</v>
      </c>
      <c r="D293" s="257" t="str">
        <f>VLOOKUP(A293,'3 - PLAN. ORÇAMENTÁRIA'!$B$16:$E$721,4,FALSE)</f>
        <v>UN</v>
      </c>
      <c r="E293" s="266">
        <f>SUMIF('3 - PLAN. ORÇAMENTÁRIA'!$C$15:$C$721,C293,'3 - PLAN. ORÇAMENTÁRIA'!$F$15:$F$721)</f>
        <v>9</v>
      </c>
      <c r="F293" s="267">
        <f>VLOOKUP(A293,'3 - PLAN. ORÇAMENTÁRIA'!$B$16:$I$721,8,FALSE)</f>
        <v>190.55</v>
      </c>
      <c r="G293" s="267">
        <f>ROUND(E293*F293,2)</f>
        <v>1714.95</v>
      </c>
      <c r="H293" s="262">
        <f t="shared" si="12"/>
        <v>2.9273983946140017E-2</v>
      </c>
      <c r="I293" s="262">
        <f t="shared" si="14"/>
        <v>97.750032951261957</v>
      </c>
      <c r="J293" s="257" t="str">
        <f t="shared" si="13"/>
        <v>C</v>
      </c>
    </row>
    <row r="294" spans="1:10" ht="42.75">
      <c r="A294" s="263" t="s">
        <v>1968</v>
      </c>
      <c r="B294" s="257" t="str">
        <f>VLOOKUP(A294,'3 - PLAN. ORÇAMENTÁRIA'!$B$16:$E$721,3,FALSE)</f>
        <v>PRÓPRIO</v>
      </c>
      <c r="C294" s="265" t="str">
        <f>VLOOKUP(A294,'3 - PLAN. ORÇAMENTÁRIA'!$B$16:$E$721,2,FALSE)</f>
        <v>KIT DE PORTA PRONTA DE MADEIRA RU, ACABAMENTO LAMINADO NATURAL COM VERNIZ, FOLHA PESADA, 70x210, EXCLUSIVE FECHADURA, FIXAÇÃO COM PREENCHIMENTO TOTAL DE ESPUMA EXPANSIVA - FORNECIMENTO E INSTALAÇÃO. REF. 100675/SINAPI</v>
      </c>
      <c r="D294" s="257" t="str">
        <f>VLOOKUP(A294,'3 - PLAN. ORÇAMENTÁRIA'!$B$16:$E$721,4,FALSE)</f>
        <v>UN</v>
      </c>
      <c r="E294" s="266">
        <f>SUMIF('3 - PLAN. ORÇAMENTÁRIA'!$C$15:$C$721,C294,'3 - PLAN. ORÇAMENTÁRIA'!$F$15:$F$721)</f>
        <v>1</v>
      </c>
      <c r="F294" s="267">
        <f>VLOOKUP(A294,'3 - PLAN. ORÇAMENTÁRIA'!$B$16:$I$721,8,FALSE)</f>
        <v>1711.08</v>
      </c>
      <c r="G294" s="267">
        <f>ROUND(E294*F294,2)</f>
        <v>1711.08</v>
      </c>
      <c r="H294" s="262">
        <f t="shared" si="12"/>
        <v>2.9207923525794491E-2</v>
      </c>
      <c r="I294" s="262">
        <f t="shared" si="14"/>
        <v>97.779240874787746</v>
      </c>
      <c r="J294" s="257" t="str">
        <f t="shared" si="13"/>
        <v>C</v>
      </c>
    </row>
    <row r="295" spans="1:10" ht="28.5">
      <c r="A295" s="263">
        <v>101159</v>
      </c>
      <c r="B295" s="257" t="str">
        <f>VLOOKUP(A295,'3 - PLAN. ORÇAMENTÁRIA'!$B$16:$E$721,3,FALSE)</f>
        <v>SINAPI</v>
      </c>
      <c r="C295" s="264" t="s">
        <v>2239</v>
      </c>
      <c r="D295" s="257" t="str">
        <f>VLOOKUP(A295,'3 - PLAN. ORÇAMENTÁRIA'!$B$16:$E$721,4,FALSE)</f>
        <v>M2</v>
      </c>
      <c r="E295" s="266">
        <f>SUMIF('3 - PLAN. ORÇAMENTÁRIA'!$C$15:$C$721,C295,'3 - PLAN. ORÇAMENTÁRIA'!$F$15:$F$721)</f>
        <v>9.42</v>
      </c>
      <c r="F295" s="267">
        <f>VLOOKUP(A295,'3 - PLAN. ORÇAMENTÁRIA'!$B$16:$I$721,8,FALSE)</f>
        <v>178.71</v>
      </c>
      <c r="G295" s="267">
        <f>ROUND(E295*F295,2)</f>
        <v>1683.45</v>
      </c>
      <c r="H295" s="262">
        <f t="shared" si="12"/>
        <v>2.8736282850304332E-2</v>
      </c>
      <c r="I295" s="262">
        <f t="shared" si="14"/>
        <v>97.807977157638049</v>
      </c>
      <c r="J295" s="257" t="str">
        <f t="shared" si="13"/>
        <v>C</v>
      </c>
    </row>
    <row r="296" spans="1:10" ht="14.25">
      <c r="A296" s="263">
        <v>100555</v>
      </c>
      <c r="B296" s="257" t="str">
        <f>VLOOKUP(A296,'3 - PLAN. ORÇAMENTÁRIA'!$B$16:$E$721,3,FALSE)</f>
        <v>SINAPI</v>
      </c>
      <c r="C296" s="264" t="s">
        <v>415</v>
      </c>
      <c r="D296" s="257" t="str">
        <f>VLOOKUP(A296,'3 - PLAN. ORÇAMENTÁRIA'!$B$16:$E$721,4,FALSE)</f>
        <v>UN</v>
      </c>
      <c r="E296" s="266">
        <f>SUMIF('3 - PLAN. ORÇAMENTÁRIA'!$C$15:$C$721,C296,'3 - PLAN. ORÇAMENTÁRIA'!$F$15:$F$721)</f>
        <v>1</v>
      </c>
      <c r="F296" s="267">
        <f>VLOOKUP(A296,'3 - PLAN. ORÇAMENTÁRIA'!$B$16:$I$721,8,FALSE)</f>
        <v>1653.32</v>
      </c>
      <c r="G296" s="267">
        <f>ROUND(E296*F296,2)</f>
        <v>1653.32</v>
      </c>
      <c r="H296" s="262">
        <f t="shared" si="12"/>
        <v>2.8221967484668483E-2</v>
      </c>
      <c r="I296" s="262">
        <f t="shared" si="14"/>
        <v>97.836199125122718</v>
      </c>
      <c r="J296" s="257" t="str">
        <f t="shared" si="13"/>
        <v>C</v>
      </c>
    </row>
    <row r="297" spans="1:10" ht="28.5">
      <c r="A297" s="263" t="s">
        <v>1975</v>
      </c>
      <c r="B297" s="257" t="str">
        <f>VLOOKUP(A297,'3 - PLAN. ORÇAMENTÁRIA'!$B$16:$E$721,3,FALSE)</f>
        <v>PRÓPRIO</v>
      </c>
      <c r="C297" s="265" t="str">
        <f>VLOOKUP(A297,'3 - PLAN. ORÇAMENTÁRIA'!$B$16:$E$721,2,FALSE)</f>
        <v>QUADRO DE DISTRIBUIÇÃO EM CHAPA METALICA C/ PORTA 600X400X250 MM, COM PLACA DE MONTAGEM REF. 37.06.014/SP OBRAS</v>
      </c>
      <c r="D297" s="257" t="str">
        <f>VLOOKUP(A297,'3 - PLAN. ORÇAMENTÁRIA'!$B$16:$E$721,4,FALSE)</f>
        <v>M2</v>
      </c>
      <c r="E297" s="266">
        <f>SUMIF('3 - PLAN. ORÇAMENTÁRIA'!$C$15:$C$721,C297,'3 - PLAN. ORÇAMENTÁRIA'!$F$15:$F$721)</f>
        <v>0.48</v>
      </c>
      <c r="F297" s="267">
        <f>VLOOKUP(A297,'3 - PLAN. ORÇAMENTÁRIA'!$B$16:$I$721,8,FALSE)</f>
        <v>3246.57</v>
      </c>
      <c r="G297" s="267">
        <f>ROUND(E297*F297,2)</f>
        <v>1558.35</v>
      </c>
      <c r="H297" s="262">
        <f t="shared" si="12"/>
        <v>2.6600841355414035E-2</v>
      </c>
      <c r="I297" s="262">
        <f t="shared" si="14"/>
        <v>97.862799966478136</v>
      </c>
      <c r="J297" s="257" t="str">
        <f t="shared" si="13"/>
        <v>C</v>
      </c>
    </row>
    <row r="298" spans="1:10" ht="14.25">
      <c r="A298" s="263" t="s">
        <v>2002</v>
      </c>
      <c r="B298" s="257" t="str">
        <f>VLOOKUP(A298,'3 - PLAN. ORÇAMENTÁRIA'!$B$16:$E$721,3,FALSE)</f>
        <v>PRÓPRIO</v>
      </c>
      <c r="C298" s="265" t="str">
        <f>VLOOKUP(A298,'3 - PLAN. ORÇAMENTÁRIA'!$B$16:$E$721,2,FALSE)</f>
        <v>CABIDE EM AÇO INOX, DECA 2060 C40, ACABAMENTO CROMADO OU SIMILAR REF. S03708/ORSE</v>
      </c>
      <c r="D298" s="257" t="str">
        <f>VLOOKUP(A298,'3 - PLAN. ORÇAMENTÁRIA'!$B$16:$E$721,4,FALSE)</f>
        <v>UN</v>
      </c>
      <c r="E298" s="266">
        <f>SUMIF('3 - PLAN. ORÇAMENTÁRIA'!$C$15:$C$721,C298,'3 - PLAN. ORÇAMENTÁRIA'!$F$15:$F$721)</f>
        <v>10</v>
      </c>
      <c r="F298" s="267">
        <f>VLOOKUP(A298,'3 - PLAN. ORÇAMENTÁRIA'!$B$16:$I$721,8,FALSE)</f>
        <v>148.91999999999999</v>
      </c>
      <c r="G298" s="267">
        <f>ROUND(E298*F298,2)</f>
        <v>1489.2</v>
      </c>
      <c r="H298" s="262">
        <f t="shared" si="12"/>
        <v>2.5420459425984265E-2</v>
      </c>
      <c r="I298" s="262">
        <f t="shared" si="14"/>
        <v>97.888220425904123</v>
      </c>
      <c r="J298" s="257" t="str">
        <f t="shared" si="13"/>
        <v>C</v>
      </c>
    </row>
    <row r="299" spans="1:10" ht="14.25">
      <c r="A299" s="263" t="s">
        <v>2922</v>
      </c>
      <c r="B299" s="257" t="str">
        <f>VLOOKUP(A299,'3 - PLAN. ORÇAMENTÁRIA'!$B$16:$E$721,3,FALSE)</f>
        <v>PRÓPRIO</v>
      </c>
      <c r="C299" s="265" t="str">
        <f>VLOOKUP(A299,'3 - PLAN. ORÇAMENTÁRIA'!$B$16:$E$721,2,FALSE)</f>
        <v>LUMINÁRIA TIPO BALIZADOR PARA AMBIENTE ABERTO, 50 CM / 25W - FORNECIMENTO E INSTALAÇÃO REF. 103313/SINAPI</v>
      </c>
      <c r="D299" s="257" t="str">
        <f>VLOOKUP(A299,'3 - PLAN. ORÇAMENTÁRIA'!$B$16:$E$721,4,FALSE)</f>
        <v>UN</v>
      </c>
      <c r="E299" s="266">
        <f>SUMIF('3 - PLAN. ORÇAMENTÁRIA'!$C$15:$C$721,C299,'3 - PLAN. ORÇAMENTÁRIA'!$F$15:$F$721)</f>
        <v>6</v>
      </c>
      <c r="F299" s="267">
        <f>VLOOKUP(A299,'3 - PLAN. ORÇAMENTÁRIA'!$B$16:$I$721,8,FALSE)</f>
        <v>248.08</v>
      </c>
      <c r="G299" s="267">
        <f>ROUND(E299*F299,2)</f>
        <v>1488.48</v>
      </c>
      <c r="H299" s="262">
        <f t="shared" si="12"/>
        <v>2.5408169115222305E-2</v>
      </c>
      <c r="I299" s="262">
        <f t="shared" si="14"/>
        <v>97.913628595019347</v>
      </c>
      <c r="J299" s="257" t="str">
        <f t="shared" si="13"/>
        <v>C</v>
      </c>
    </row>
    <row r="300" spans="1:10" ht="14.25">
      <c r="A300" s="263" t="s">
        <v>1982</v>
      </c>
      <c r="B300" s="257" t="str">
        <f>VLOOKUP(A300,'3 - PLAN. ORÇAMENTÁRIA'!$B$16:$E$721,3,FALSE)</f>
        <v>PRÓPRIO</v>
      </c>
      <c r="C300" s="265" t="str">
        <f>VLOOKUP(A300,'3 - PLAN. ORÇAMENTÁRIA'!$B$16:$E$721,2,FALSE)</f>
        <v>TOMADA STECK DE SOBREPOR - 125A 3P+T REF. S09422/ORSE</v>
      </c>
      <c r="D300" s="257" t="str">
        <f>VLOOKUP(A300,'3 - PLAN. ORÇAMENTÁRIA'!$B$16:$E$721,4,FALSE)</f>
        <v>CJ</v>
      </c>
      <c r="E300" s="266">
        <f>SUMIF('3 - PLAN. ORÇAMENTÁRIA'!$C$15:$C$721,C300,'3 - PLAN. ORÇAMENTÁRIA'!$F$15:$F$721)</f>
        <v>2</v>
      </c>
      <c r="F300" s="267">
        <f>VLOOKUP(A300,'3 - PLAN. ORÇAMENTÁRIA'!$B$16:$I$721,8,FALSE)</f>
        <v>733.47</v>
      </c>
      <c r="G300" s="267">
        <f>ROUND(E300*F300,2)</f>
        <v>1466.94</v>
      </c>
      <c r="H300" s="262">
        <f t="shared" si="12"/>
        <v>2.5040483984927045E-2</v>
      </c>
      <c r="I300" s="262">
        <f t="shared" si="14"/>
        <v>97.938669079004271</v>
      </c>
      <c r="J300" s="257" t="str">
        <f t="shared" si="13"/>
        <v>C</v>
      </c>
    </row>
    <row r="301" spans="1:10" ht="14.25">
      <c r="A301" s="263">
        <v>103984</v>
      </c>
      <c r="B301" s="257" t="str">
        <f>VLOOKUP(A301,'3 - PLAN. ORÇAMENTÁRIA'!$B$16:$E$721,3,FALSE)</f>
        <v>SINAPI</v>
      </c>
      <c r="C301" s="264" t="s">
        <v>2281</v>
      </c>
      <c r="D301" s="257" t="str">
        <f>VLOOKUP(A301,'3 - PLAN. ORÇAMENTÁRIA'!$B$16:$E$721,4,FALSE)</f>
        <v>UN</v>
      </c>
      <c r="E301" s="266">
        <f>SUMIF('3 - PLAN. ORÇAMENTÁRIA'!$C$15:$C$721,C301,'3 - PLAN. ORÇAMENTÁRIA'!$F$15:$F$721)</f>
        <v>57</v>
      </c>
      <c r="F301" s="267">
        <f>VLOOKUP(A301,'3 - PLAN. ORÇAMENTÁRIA'!$B$16:$I$721,8,FALSE)</f>
        <v>25.7</v>
      </c>
      <c r="G301" s="267">
        <f>ROUND(E301*F301,2)</f>
        <v>1464.9</v>
      </c>
      <c r="H301" s="262">
        <f t="shared" si="12"/>
        <v>2.5005661437768164E-2</v>
      </c>
      <c r="I301" s="262">
        <f t="shared" si="14"/>
        <v>97.963674740442045</v>
      </c>
      <c r="J301" s="257" t="str">
        <f t="shared" si="13"/>
        <v>C</v>
      </c>
    </row>
    <row r="302" spans="1:10" ht="14.25">
      <c r="A302" s="263">
        <v>96985</v>
      </c>
      <c r="B302" s="257" t="str">
        <f>VLOOKUP(A302,'3 - PLAN. ORÇAMENTÁRIA'!$B$16:$E$721,3,FALSE)</f>
        <v>SINAPI</v>
      </c>
      <c r="C302" s="264" t="s">
        <v>400</v>
      </c>
      <c r="D302" s="257" t="str">
        <f>VLOOKUP(A302,'3 - PLAN. ORÇAMENTÁRIA'!$B$16:$E$721,4,FALSE)</f>
        <v>UN</v>
      </c>
      <c r="E302" s="266">
        <f>SUMIF('3 - PLAN. ORÇAMENTÁRIA'!$C$15:$C$721,C302,'3 - PLAN. ORÇAMENTÁRIA'!$F$15:$F$721)</f>
        <v>16</v>
      </c>
      <c r="F302" s="267">
        <f>VLOOKUP(A302,'3 - PLAN. ORÇAMENTÁRIA'!$B$16:$I$721,8,FALSE)</f>
        <v>90.81</v>
      </c>
      <c r="G302" s="267">
        <f>ROUND(E302*F302,2)</f>
        <v>1452.96</v>
      </c>
      <c r="H302" s="262">
        <f t="shared" si="12"/>
        <v>2.480184711763235E-2</v>
      </c>
      <c r="I302" s="262">
        <f t="shared" si="14"/>
        <v>97.988476587559674</v>
      </c>
      <c r="J302" s="257" t="str">
        <f t="shared" si="13"/>
        <v>C</v>
      </c>
    </row>
    <row r="303" spans="1:10" ht="14.25">
      <c r="A303" s="263">
        <v>89810</v>
      </c>
      <c r="B303" s="257" t="str">
        <f>VLOOKUP(A303,'3 - PLAN. ORÇAMENTÁRIA'!$B$16:$E$721,3,FALSE)</f>
        <v>SINAPI</v>
      </c>
      <c r="C303" s="264" t="s">
        <v>495</v>
      </c>
      <c r="D303" s="257" t="str">
        <f>VLOOKUP(A303,'3 - PLAN. ORÇAMENTÁRIA'!$B$16:$E$721,4,FALSE)</f>
        <v>UN</v>
      </c>
      <c r="E303" s="266">
        <f>SUMIF('3 - PLAN. ORÇAMENTÁRIA'!$C$15:$C$721,C303,'3 - PLAN. ORÇAMENTÁRIA'!$F$15:$F$721)</f>
        <v>37</v>
      </c>
      <c r="F303" s="267">
        <f>VLOOKUP(A303,'3 - PLAN. ORÇAMENTÁRIA'!$B$16:$I$721,8,FALSE)</f>
        <v>37.85</v>
      </c>
      <c r="G303" s="267">
        <f>ROUND(E303*F303,2)</f>
        <v>1400.45</v>
      </c>
      <c r="H303" s="262">
        <f t="shared" si="12"/>
        <v>2.3905507925812291E-2</v>
      </c>
      <c r="I303" s="262">
        <f t="shared" si="14"/>
        <v>98.012382095485492</v>
      </c>
      <c r="J303" s="257" t="str">
        <f t="shared" si="13"/>
        <v>C</v>
      </c>
    </row>
    <row r="304" spans="1:10" ht="28.5">
      <c r="A304" s="263" t="s">
        <v>2868</v>
      </c>
      <c r="B304" s="257" t="str">
        <f>VLOOKUP(A304,'3 - PLAN. ORÇAMENTÁRIA'!$B$16:$E$721,3,FALSE)</f>
        <v>PRÓPRIO</v>
      </c>
      <c r="C304" s="265" t="str">
        <f>VLOOKUP(A304,'3 - PLAN. ORÇAMENTÁRIA'!$B$16:$E$721,2,FALSE)</f>
        <v>PLACA DE IDENTIFICAÇÃO EM PVC COM TEXTO/DESENHOS EM VINIL, 2 MM, PARA VISOS E PROIBIÇÕES (VARIADAS) REF. 97.02.036/SP OBRAS</v>
      </c>
      <c r="D304" s="257" t="str">
        <f>VLOOKUP(A304,'3 - PLAN. ORÇAMENTÁRIA'!$B$16:$E$721,4,FALSE)</f>
        <v>M2</v>
      </c>
      <c r="E304" s="266">
        <f>SUMIF('3 - PLAN. ORÇAMENTÁRIA'!$C$15:$C$721,C304,'3 - PLAN. ORÇAMENTÁRIA'!$F$15:$F$721)</f>
        <v>3.34</v>
      </c>
      <c r="F304" s="267">
        <f>VLOOKUP(A304,'3 - PLAN. ORÇAMENTÁRIA'!$B$16:$I$721,8,FALSE)</f>
        <v>418.66</v>
      </c>
      <c r="G304" s="267">
        <f>ROUND(E304*F304,2)</f>
        <v>1398.32</v>
      </c>
      <c r="H304" s="262">
        <f t="shared" si="12"/>
        <v>2.3869149089808164E-2</v>
      </c>
      <c r="I304" s="262">
        <f t="shared" si="14"/>
        <v>98.036251244575297</v>
      </c>
      <c r="J304" s="257" t="str">
        <f t="shared" si="13"/>
        <v>C</v>
      </c>
    </row>
    <row r="305" spans="1:10" ht="14.25">
      <c r="A305" s="263" t="s">
        <v>1893</v>
      </c>
      <c r="B305" s="257" t="str">
        <f>VLOOKUP(A305,'3 - PLAN. ORÇAMENTÁRIA'!$B$16:$E$721,3,FALSE)</f>
        <v>PRÓPRIO</v>
      </c>
      <c r="C305" s="265" t="str">
        <f>VLOOKUP(A305,'3 - PLAN. ORÇAMENTÁRIA'!$B$16:$E$721,2,FALSE)</f>
        <v>ISOLACAO TERMOACUSTICA - LA DE VIDRO E=2" REF. 10.01.059/SP EDUCAÇÃO</v>
      </c>
      <c r="D305" s="257" t="str">
        <f>VLOOKUP(A305,'3 - PLAN. ORÇAMENTÁRIA'!$B$16:$E$721,4,FALSE)</f>
        <v>M2</v>
      </c>
      <c r="E305" s="266">
        <f>SUMIF('3 - PLAN. ORÇAMENTÁRIA'!$C$15:$C$721,C305,'3 - PLAN. ORÇAMENTÁRIA'!$F$15:$F$721)</f>
        <v>22.18</v>
      </c>
      <c r="F305" s="267">
        <f>VLOOKUP(A305,'3 - PLAN. ORÇAMENTÁRIA'!$B$16:$I$721,8,FALSE)</f>
        <v>61.86</v>
      </c>
      <c r="G305" s="267">
        <f>ROUND(E305*F305,2)</f>
        <v>1372.05</v>
      </c>
      <c r="H305" s="262">
        <f t="shared" si="12"/>
        <v>2.3420723445757258E-2</v>
      </c>
      <c r="I305" s="262">
        <f t="shared" si="14"/>
        <v>98.05967196802105</v>
      </c>
      <c r="J305" s="257" t="str">
        <f t="shared" si="13"/>
        <v>C</v>
      </c>
    </row>
    <row r="306" spans="1:10" ht="28.5">
      <c r="A306" s="263">
        <v>104920</v>
      </c>
      <c r="B306" s="257" t="str">
        <f>VLOOKUP(A306,'3 - PLAN. ORÇAMENTÁRIA'!$B$16:$E$721,3,FALSE)</f>
        <v>SINAPI</v>
      </c>
      <c r="C306" s="264" t="s">
        <v>246</v>
      </c>
      <c r="D306" s="257" t="str">
        <f>VLOOKUP(A306,'3 - PLAN. ORÇAMENTÁRIA'!$B$16:$E$721,4,FALSE)</f>
        <v>KG</v>
      </c>
      <c r="E306" s="266">
        <f>SUMIF('3 - PLAN. ORÇAMENTÁRIA'!$C$15:$C$721,C306,'3 - PLAN. ORÇAMENTÁRIA'!$F$15:$F$721)</f>
        <v>95</v>
      </c>
      <c r="F306" s="267">
        <f>VLOOKUP(A306,'3 - PLAN. ORÇAMENTÁRIA'!$B$16:$I$721,8,FALSE)</f>
        <v>14.26</v>
      </c>
      <c r="G306" s="267">
        <f>ROUND(E306*F306,2)</f>
        <v>1354.7</v>
      </c>
      <c r="H306" s="262">
        <f t="shared" si="12"/>
        <v>2.3124561096146176E-2</v>
      </c>
      <c r="I306" s="262">
        <f t="shared" si="14"/>
        <v>98.082796529117189</v>
      </c>
      <c r="J306" s="257" t="str">
        <f t="shared" si="13"/>
        <v>C</v>
      </c>
    </row>
    <row r="307" spans="1:10" ht="28.5">
      <c r="A307" s="263" t="s">
        <v>1917</v>
      </c>
      <c r="B307" s="257" t="str">
        <f>VLOOKUP(A307,'3 - PLAN. ORÇAMENTÁRIA'!$B$16:$E$721,3,FALSE)</f>
        <v>PRÓPRIO</v>
      </c>
      <c r="C307" s="265" t="str">
        <f>VLOOKUP(A307,'3 - PLAN. ORÇAMENTÁRIA'!$B$16:$E$721,2,FALSE)</f>
        <v>TORNEIRA DE MESA COM FECHAMENTO AUTOMÁTICO, LINHA DECAMATIC ECO, REF.1173.C, DECA OU SIMILAR REF. 100853/SINAPI</v>
      </c>
      <c r="D307" s="257" t="str">
        <f>VLOOKUP(A307,'3 - PLAN. ORÇAMENTÁRIA'!$B$16:$E$721,4,FALSE)</f>
        <v>UN</v>
      </c>
      <c r="E307" s="266">
        <f>SUMIF('3 - PLAN. ORÇAMENTÁRIA'!$C$15:$C$721,C307,'3 - PLAN. ORÇAMENTÁRIA'!$F$15:$F$721)</f>
        <v>4</v>
      </c>
      <c r="F307" s="267">
        <f>VLOOKUP(A307,'3 - PLAN. ORÇAMENTÁRIA'!$B$16:$I$721,8,FALSE)</f>
        <v>332.46</v>
      </c>
      <c r="G307" s="267">
        <f>ROUND(E307*F307,2)</f>
        <v>1329.84</v>
      </c>
      <c r="H307" s="262">
        <f t="shared" si="12"/>
        <v>2.2700203977337439E-2</v>
      </c>
      <c r="I307" s="262">
        <f t="shared" si="14"/>
        <v>98.105496733094526</v>
      </c>
      <c r="J307" s="257" t="str">
        <f t="shared" si="13"/>
        <v>C</v>
      </c>
    </row>
    <row r="308" spans="1:10" ht="28.5">
      <c r="A308" s="263" t="s">
        <v>2226</v>
      </c>
      <c r="B308" s="257" t="str">
        <f>VLOOKUP(A308,'3 - PLAN. ORÇAMENTÁRIA'!$B$16:$E$721,3,FALSE)</f>
        <v>PRÓPRIO</v>
      </c>
      <c r="C308" s="265" t="str">
        <f>VLOOKUP(A308,'3 - PLAN. ORÇAMENTÁRIA'!$B$16:$E$721,2,FALSE)</f>
        <v>ESTACA BROCA DE CONCRETO, DIÂMETRO DE 30CM, ESCAVAÇÃO MANUAL COM TRADO CONCHA, SEM ARMADURA. AF_05/2020 REF. 101175/SINAPI</v>
      </c>
      <c r="D308" s="257" t="str">
        <f>VLOOKUP(A308,'3 - PLAN. ORÇAMENTÁRIA'!$B$16:$E$721,4,FALSE)</f>
        <v>M</v>
      </c>
      <c r="E308" s="266">
        <f>SUMIF('3 - PLAN. ORÇAMENTÁRIA'!$C$15:$C$721,C308,'3 - PLAN. ORÇAMENTÁRIA'!$F$15:$F$721)</f>
        <v>10</v>
      </c>
      <c r="F308" s="267">
        <f>VLOOKUP(A308,'3 - PLAN. ORÇAMENTÁRIA'!$B$16:$I$721,8,FALSE)</f>
        <v>132.53</v>
      </c>
      <c r="G308" s="267">
        <f>ROUND(E308*F308,2)</f>
        <v>1325.3</v>
      </c>
      <c r="H308" s="262">
        <f t="shared" si="12"/>
        <v>2.2622706740032868E-2</v>
      </c>
      <c r="I308" s="262">
        <f t="shared" si="14"/>
        <v>98.128119439834563</v>
      </c>
      <c r="J308" s="257" t="str">
        <f t="shared" si="13"/>
        <v>C</v>
      </c>
    </row>
    <row r="309" spans="1:10" ht="28.5">
      <c r="A309" s="263">
        <v>89354</v>
      </c>
      <c r="B309" s="257" t="str">
        <f>VLOOKUP(A309,'3 - PLAN. ORÇAMENTÁRIA'!$B$16:$E$721,3,FALSE)</f>
        <v>SINAPI</v>
      </c>
      <c r="C309" s="265" t="s">
        <v>1206</v>
      </c>
      <c r="D309" s="257" t="str">
        <f>VLOOKUP(A309,'3 - PLAN. ORÇAMENTÁRIA'!$B$16:$E$721,4,FALSE)</f>
        <v>UN</v>
      </c>
      <c r="E309" s="266">
        <f>SUMIF('3 - PLAN. ORÇAMENTÁRIA'!$C$15:$C$721,C309,'3 - PLAN. ORÇAMENTÁRIA'!$F$15:$F$721)</f>
        <v>2</v>
      </c>
      <c r="F309" s="267">
        <f>VLOOKUP(A309,'3 - PLAN. ORÇAMENTÁRIA'!$B$16:$I$721,8,FALSE)</f>
        <v>654.53</v>
      </c>
      <c r="G309" s="267">
        <f>ROUND(E309*F309,2)</f>
        <v>1309.06</v>
      </c>
      <c r="H309" s="262">
        <f t="shared" si="12"/>
        <v>2.234549195284647E-2</v>
      </c>
      <c r="I309" s="262">
        <f t="shared" si="14"/>
        <v>98.150464931787411</v>
      </c>
      <c r="J309" s="257" t="str">
        <f t="shared" si="13"/>
        <v>C</v>
      </c>
    </row>
    <row r="310" spans="1:10" ht="14.25">
      <c r="A310" s="263">
        <v>92984</v>
      </c>
      <c r="B310" s="257" t="str">
        <f>VLOOKUP(A310,'3 - PLAN. ORÇAMENTÁRIA'!$B$16:$E$721,3,FALSE)</f>
        <v>SINAPI</v>
      </c>
      <c r="C310" s="264" t="s">
        <v>567</v>
      </c>
      <c r="D310" s="257" t="str">
        <f>VLOOKUP(A310,'3 - PLAN. ORÇAMENTÁRIA'!$B$16:$E$721,4,FALSE)</f>
        <v>M</v>
      </c>
      <c r="E310" s="266">
        <f>SUMIF('3 - PLAN. ORÇAMENTÁRIA'!$C$15:$C$721,C310,'3 - PLAN. ORÇAMENTÁRIA'!$F$15:$F$721)</f>
        <v>30.93</v>
      </c>
      <c r="F310" s="267">
        <f>VLOOKUP(A310,'3 - PLAN. ORÇAMENTÁRIA'!$B$16:$I$721,8,FALSE)</f>
        <v>41.95</v>
      </c>
      <c r="G310" s="267">
        <f>ROUND(E310*F310,2)</f>
        <v>1297.51</v>
      </c>
      <c r="H310" s="262">
        <f t="shared" si="12"/>
        <v>2.2148334884373382E-2</v>
      </c>
      <c r="I310" s="262">
        <f t="shared" si="14"/>
        <v>98.172613266671789</v>
      </c>
      <c r="J310" s="257" t="str">
        <f t="shared" si="13"/>
        <v>C</v>
      </c>
    </row>
    <row r="311" spans="1:10" ht="28.5">
      <c r="A311" s="263">
        <v>92431</v>
      </c>
      <c r="B311" s="257" t="str">
        <f>VLOOKUP(A311,'3 - PLAN. ORÇAMENTÁRIA'!$B$16:$E$721,3,FALSE)</f>
        <v>SINAPI</v>
      </c>
      <c r="C311" s="264" t="s">
        <v>240</v>
      </c>
      <c r="D311" s="257" t="str">
        <f>VLOOKUP(A311,'3 - PLAN. ORÇAMENTÁRIA'!$B$16:$E$721,4,FALSE)</f>
        <v>M2</v>
      </c>
      <c r="E311" s="266">
        <f>SUMIF('3 - PLAN. ORÇAMENTÁRIA'!$C$15:$C$721,C311,'3 - PLAN. ORÇAMENTÁRIA'!$F$15:$F$721)</f>
        <v>16.45</v>
      </c>
      <c r="F311" s="267">
        <f>VLOOKUP(A311,'3 - PLAN. ORÇAMENTÁRIA'!$B$16:$I$721,8,FALSE)</f>
        <v>78.33</v>
      </c>
      <c r="G311" s="267">
        <f>ROUND(E311*F311,2)</f>
        <v>1288.53</v>
      </c>
      <c r="H311" s="262">
        <f t="shared" si="12"/>
        <v>2.1995047397370068E-2</v>
      </c>
      <c r="I311" s="262">
        <f t="shared" si="14"/>
        <v>98.194608314069157</v>
      </c>
      <c r="J311" s="257" t="str">
        <f t="shared" si="13"/>
        <v>C</v>
      </c>
    </row>
    <row r="312" spans="1:10" ht="28.5">
      <c r="A312" s="263">
        <v>96114</v>
      </c>
      <c r="B312" s="257" t="str">
        <f>VLOOKUP(A312,'3 - PLAN. ORÇAMENTÁRIA'!$B$16:$E$721,3,FALSE)</f>
        <v>SINAPI</v>
      </c>
      <c r="C312" s="264" t="s">
        <v>1201</v>
      </c>
      <c r="D312" s="257" t="str">
        <f>VLOOKUP(A312,'3 - PLAN. ORÇAMENTÁRIA'!$B$16:$E$721,4,FALSE)</f>
        <v>M2</v>
      </c>
      <c r="E312" s="266">
        <f>SUMIF('3 - PLAN. ORÇAMENTÁRIA'!$C$15:$C$721,C312,'3 - PLAN. ORÇAMENTÁRIA'!$F$15:$F$721)</f>
        <v>14.99</v>
      </c>
      <c r="F312" s="267">
        <f>VLOOKUP(A312,'3 - PLAN. ORÇAMENTÁRIA'!$B$16:$I$721,8,FALSE)</f>
        <v>84.46</v>
      </c>
      <c r="G312" s="267">
        <f>ROUND(E312*F312,2)</f>
        <v>1266.06</v>
      </c>
      <c r="H312" s="262">
        <f t="shared" si="12"/>
        <v>2.1611487282340611E-2</v>
      </c>
      <c r="I312" s="262">
        <f t="shared" si="14"/>
        <v>98.2162198013515</v>
      </c>
      <c r="J312" s="257" t="str">
        <f t="shared" si="13"/>
        <v>C</v>
      </c>
    </row>
    <row r="313" spans="1:10" ht="42.75">
      <c r="A313" s="263" t="s">
        <v>148</v>
      </c>
      <c r="B313" s="257" t="str">
        <f>VLOOKUP(A313,'3 - PLAN. ORÇAMENTÁRIA'!$B$16:$E$721,3,FALSE)</f>
        <v>CAESB</v>
      </c>
      <c r="C313" s="264" t="s">
        <v>150</v>
      </c>
      <c r="D313" s="257" t="str">
        <f>VLOOKUP(A313,'3 - PLAN. ORÇAMENTÁRIA'!$B$16:$E$721,4,FALSE)</f>
        <v>UN</v>
      </c>
      <c r="E313" s="266">
        <f>SUMIF('3 - PLAN. ORÇAMENTÁRIA'!$C$15:$C$721,C313,'3 - PLAN. ORÇAMENTÁRIA'!$F$15:$F$721)</f>
        <v>1</v>
      </c>
      <c r="F313" s="267">
        <f>VLOOKUP(A313,'3 - PLAN. ORÇAMENTÁRIA'!$B$16:$I$721,8,FALSE)</f>
        <v>1263.99</v>
      </c>
      <c r="G313" s="267">
        <f>ROUND(E313*F313,2)</f>
        <v>1263.99</v>
      </c>
      <c r="H313" s="262">
        <f t="shared" si="12"/>
        <v>2.1576152638899979E-2</v>
      </c>
      <c r="I313" s="262">
        <f t="shared" si="14"/>
        <v>98.2377959539904</v>
      </c>
      <c r="J313" s="257" t="str">
        <f t="shared" si="13"/>
        <v>C</v>
      </c>
    </row>
    <row r="314" spans="1:10" ht="14.25">
      <c r="A314" s="263">
        <v>91856</v>
      </c>
      <c r="B314" s="257" t="str">
        <f>VLOOKUP(A314,'3 - PLAN. ORÇAMENTÁRIA'!$B$16:$E$721,3,FALSE)</f>
        <v>SINAPI</v>
      </c>
      <c r="C314" s="264" t="s">
        <v>2297</v>
      </c>
      <c r="D314" s="257" t="str">
        <f>VLOOKUP(A314,'3 - PLAN. ORÇAMENTÁRIA'!$B$16:$E$721,4,FALSE)</f>
        <v>M</v>
      </c>
      <c r="E314" s="266">
        <f>SUMIF('3 - PLAN. ORÇAMENTÁRIA'!$C$15:$C$721,C314,'3 - PLAN. ORÇAMENTÁRIA'!$F$15:$F$721)</f>
        <v>73.760000000000005</v>
      </c>
      <c r="F314" s="267">
        <f>VLOOKUP(A314,'3 - PLAN. ORÇAMENTÁRIA'!$B$16:$I$721,8,FALSE)</f>
        <v>17.11</v>
      </c>
      <c r="G314" s="267">
        <f>ROUND(E314*F314,2)</f>
        <v>1262.03</v>
      </c>
      <c r="H314" s="262">
        <f t="shared" si="12"/>
        <v>2.154269568182576E-2</v>
      </c>
      <c r="I314" s="262">
        <f t="shared" si="14"/>
        <v>98.25933864967223</v>
      </c>
      <c r="J314" s="257" t="str">
        <f t="shared" si="13"/>
        <v>C</v>
      </c>
    </row>
    <row r="315" spans="1:10" ht="14.25">
      <c r="A315" s="263" t="s">
        <v>3954</v>
      </c>
      <c r="B315" s="257" t="str">
        <f>VLOOKUP(A315,'3 - PLAN. ORÇAMENTÁRIA'!$B$16:$E$721,3,FALSE)</f>
        <v>COTAÇÃO</v>
      </c>
      <c r="C315" s="265" t="str">
        <f>VLOOKUP(A315,'3 - PLAN. ORÇAMENTÁRIA'!$B$16:$E$721,2,FALSE)</f>
        <v>PLANTIO DE ARBUSTO FALSA IRIS - CONFORME PROJETO DE PAISAGISMO</v>
      </c>
      <c r="D315" s="257" t="str">
        <f>VLOOKUP(A315,'3 - PLAN. ORÇAMENTÁRIA'!$B$16:$E$721,4,FALSE)</f>
        <v>UN</v>
      </c>
      <c r="E315" s="266">
        <f>SUMIF('3 - PLAN. ORÇAMENTÁRIA'!$C$15:$C$721,C315,'3 - PLAN. ORÇAMENTÁRIA'!$F$15:$F$721)</f>
        <v>48</v>
      </c>
      <c r="F315" s="267">
        <f>VLOOKUP(A315,'3 - PLAN. ORÇAMENTÁRIA'!$B$16:$I$721,8,FALSE)</f>
        <v>25.63</v>
      </c>
      <c r="G315" s="267">
        <f>ROUND(E315*F315,2)</f>
        <v>1230.24</v>
      </c>
      <c r="H315" s="262">
        <f t="shared" si="12"/>
        <v>2.1000044321933174E-2</v>
      </c>
      <c r="I315" s="262">
        <f t="shared" si="14"/>
        <v>98.280338693994167</v>
      </c>
      <c r="J315" s="257" t="str">
        <f t="shared" si="13"/>
        <v>C</v>
      </c>
    </row>
    <row r="316" spans="1:10" ht="28.5">
      <c r="A316" s="263" t="s">
        <v>3658</v>
      </c>
      <c r="B316" s="257" t="str">
        <f>VLOOKUP(A316,'3 - PLAN. ORÇAMENTÁRIA'!$B$16:$E$721,3,FALSE)</f>
        <v>PRÓPRIO</v>
      </c>
      <c r="C316" s="265" t="str">
        <f>VLOOKUP(A316,'3 - PLAN. ORÇAMENTÁRIA'!$B$16:$E$721,2,FALSE)</f>
        <v>CUMEEIRA NORMAL PARA TELHA TRAPEZOIDAL GALVANIZADA, LARGURA 0,43 M, INCLUSO ACESSÓRIOS DE FIXAÇÃO E IÇAMENTO. AF_07/2019 REF. 100326/SINAPI</v>
      </c>
      <c r="D316" s="257" t="str">
        <f>VLOOKUP(A316,'3 - PLAN. ORÇAMENTÁRIA'!$B$16:$E$721,4,FALSE)</f>
        <v>M</v>
      </c>
      <c r="E316" s="266">
        <f>SUMIF('3 - PLAN. ORÇAMENTÁRIA'!$C$15:$C$721,C316,'3 - PLAN. ORÇAMENTÁRIA'!$F$15:$F$721)</f>
        <v>17.850000000000001</v>
      </c>
      <c r="F316" s="267">
        <f>VLOOKUP(A316,'3 - PLAN. ORÇAMENTÁRIA'!$B$16:$I$721,8,FALSE)</f>
        <v>68.900000000000006</v>
      </c>
      <c r="G316" s="267">
        <f>ROUND(E316*F316,2)</f>
        <v>1229.8699999999999</v>
      </c>
      <c r="H316" s="262">
        <f t="shared" si="12"/>
        <v>2.0993728467791607E-2</v>
      </c>
      <c r="I316" s="262">
        <f t="shared" si="14"/>
        <v>98.301332422461954</v>
      </c>
      <c r="J316" s="257" t="str">
        <f t="shared" si="13"/>
        <v>C</v>
      </c>
    </row>
    <row r="317" spans="1:10" ht="14.25">
      <c r="A317" s="263" t="s">
        <v>3271</v>
      </c>
      <c r="B317" s="257" t="str">
        <f>VLOOKUP(A317,'3 - PLAN. ORÇAMENTÁRIA'!$B$16:$E$721,3,FALSE)</f>
        <v>PRÓPRIO</v>
      </c>
      <c r="C317" s="265" t="str">
        <f>VLOOKUP(A317,'3 - PLAN. ORÇAMENTÁRIA'!$B$16:$E$721,2,FALSE)</f>
        <v>CABO P10 XLR REF. 100553/SINAPI</v>
      </c>
      <c r="D317" s="257" t="str">
        <f>VLOOKUP(A317,'3 - PLAN. ORÇAMENTÁRIA'!$B$16:$E$721,4,FALSE)</f>
        <v>M</v>
      </c>
      <c r="E317" s="266">
        <f>SUMIF('3 - PLAN. ORÇAMENTÁRIA'!$C$15:$C$721,C317,'3 - PLAN. ORÇAMENTÁRIA'!$F$15:$F$721)</f>
        <v>30</v>
      </c>
      <c r="F317" s="267">
        <f>VLOOKUP(A317,'3 - PLAN. ORÇAMENTÁRIA'!$B$16:$I$721,8,FALSE)</f>
        <v>40.700000000000003</v>
      </c>
      <c r="G317" s="267">
        <f>ROUND(E317*F317,2)</f>
        <v>1221</v>
      </c>
      <c r="H317" s="262">
        <f t="shared" si="12"/>
        <v>2.0842318667154705E-2</v>
      </c>
      <c r="I317" s="262">
        <f t="shared" si="14"/>
        <v>98.322174741129103</v>
      </c>
      <c r="J317" s="257" t="str">
        <f t="shared" si="13"/>
        <v>C</v>
      </c>
    </row>
    <row r="318" spans="1:10" ht="14.25">
      <c r="A318" s="263">
        <v>98110</v>
      </c>
      <c r="B318" s="257" t="str">
        <f>VLOOKUP(A318,'3 - PLAN. ORÇAMENTÁRIA'!$B$16:$E$721,3,FALSE)</f>
        <v>SINAPI</v>
      </c>
      <c r="C318" s="264" t="s">
        <v>2212</v>
      </c>
      <c r="D318" s="257" t="str">
        <f>VLOOKUP(A318,'3 - PLAN. ORÇAMENTÁRIA'!$B$16:$E$721,4,FALSE)</f>
        <v>UN</v>
      </c>
      <c r="E318" s="266">
        <f>SUMIF('3 - PLAN. ORÇAMENTÁRIA'!$C$15:$C$721,C318,'3 - PLAN. ORÇAMENTÁRIA'!$F$15:$F$721)</f>
        <v>2</v>
      </c>
      <c r="F318" s="267">
        <f>VLOOKUP(A318,'3 - PLAN. ORÇAMENTÁRIA'!$B$16:$I$721,8,FALSE)</f>
        <v>609.87</v>
      </c>
      <c r="G318" s="267">
        <f>ROUND(E318*F318,2)</f>
        <v>1219.74</v>
      </c>
      <c r="H318" s="262">
        <f t="shared" si="12"/>
        <v>2.0820810623321279E-2</v>
      </c>
      <c r="I318" s="262">
        <f t="shared" si="14"/>
        <v>98.342995551752423</v>
      </c>
      <c r="J318" s="257" t="str">
        <f t="shared" si="13"/>
        <v>C</v>
      </c>
    </row>
    <row r="319" spans="1:10" ht="14.25">
      <c r="A319" s="263" t="s">
        <v>3984</v>
      </c>
      <c r="B319" s="257" t="str">
        <f>VLOOKUP(A319,'3 - PLAN. ORÇAMENTÁRIA'!$B$16:$E$721,3,FALSE)</f>
        <v>PRÓPRIO</v>
      </c>
      <c r="C319" s="265" t="str">
        <f>VLOOKUP(A319,'3 - PLAN. ORÇAMENTÁRIA'!$B$16:$E$721,2,FALSE)</f>
        <v>MANTA GEOTÊXTIL PARA TALUDE REF. 08.05.180/SP OBRAS</v>
      </c>
      <c r="D319" s="257" t="str">
        <f>VLOOKUP(A319,'3 - PLAN. ORÇAMENTÁRIA'!$B$16:$E$721,4,FALSE)</f>
        <v>M2</v>
      </c>
      <c r="E319" s="266">
        <f>SUMIF('3 - PLAN. ORÇAMENTÁRIA'!$C$15:$C$721,C319,'3 - PLAN. ORÇAMENTÁRIA'!$F$15:$F$721)</f>
        <v>43.26</v>
      </c>
      <c r="F319" s="267">
        <f>VLOOKUP(A319,'3 - PLAN. ORÇAMENTÁRIA'!$B$16:$I$721,8,FALSE)</f>
        <v>27.9</v>
      </c>
      <c r="G319" s="267">
        <f>ROUND(E319*F319,2)</f>
        <v>1206.95</v>
      </c>
      <c r="H319" s="262">
        <f t="shared" si="12"/>
        <v>2.060248690853593E-2</v>
      </c>
      <c r="I319" s="262">
        <f t="shared" si="14"/>
        <v>98.363598038660953</v>
      </c>
      <c r="J319" s="257" t="str">
        <f t="shared" si="13"/>
        <v>C</v>
      </c>
    </row>
    <row r="320" spans="1:10" ht="14.25">
      <c r="A320" s="263">
        <v>91940</v>
      </c>
      <c r="B320" s="257" t="str">
        <f>VLOOKUP(A320,'3 - PLAN. ORÇAMENTÁRIA'!$B$16:$E$721,3,FALSE)</f>
        <v>SINAPI</v>
      </c>
      <c r="C320" s="264" t="s">
        <v>417</v>
      </c>
      <c r="D320" s="257" t="str">
        <f>VLOOKUP(A320,'3 - PLAN. ORÇAMENTÁRIA'!$B$16:$E$721,4,FALSE)</f>
        <v>UN</v>
      </c>
      <c r="E320" s="266">
        <f>SUMIF('3 - PLAN. ORÇAMENTÁRIA'!$C$15:$C$721,C320,'3 - PLAN. ORÇAMENTÁRIA'!$F$15:$F$721)</f>
        <v>48</v>
      </c>
      <c r="F320" s="267">
        <f>VLOOKUP(A320,'3 - PLAN. ORÇAMENTÁRIA'!$B$16:$I$721,8,FALSE)</f>
        <v>24.3</v>
      </c>
      <c r="G320" s="267">
        <f>ROUND(E320*F320,2)</f>
        <v>1166.4000000000001</v>
      </c>
      <c r="H320" s="262">
        <f t="shared" si="12"/>
        <v>1.9910303434372851E-2</v>
      </c>
      <c r="I320" s="262">
        <f t="shared" si="14"/>
        <v>98.383508342095325</v>
      </c>
      <c r="J320" s="257" t="str">
        <f t="shared" si="13"/>
        <v>C</v>
      </c>
    </row>
    <row r="321" spans="1:10" ht="14.25">
      <c r="A321" s="263" t="s">
        <v>4172</v>
      </c>
      <c r="B321" s="257" t="str">
        <f>VLOOKUP(A321,'3 - PLAN. ORÇAMENTÁRIA'!$B$16:$E$721,3,FALSE)</f>
        <v>COTAÇÃO</v>
      </c>
      <c r="C321" s="265" t="str">
        <f>VLOOKUP(A321,'3 - PLAN. ORÇAMENTÁRIA'!$B$16:$E$721,2,FALSE)</f>
        <v>BARRA DESLIZANTE 70 CM COM SUPORTE PARA DUCHA</v>
      </c>
      <c r="D321" s="257" t="str">
        <f>VLOOKUP(A321,'3 - PLAN. ORÇAMENTÁRIA'!$B$16:$E$721,4,FALSE)</f>
        <v>UN</v>
      </c>
      <c r="E321" s="266">
        <f>SUMIF('3 - PLAN. ORÇAMENTÁRIA'!$C$15:$C$721,C321,'3 - PLAN. ORÇAMENTÁRIA'!$F$15:$F$721)</f>
        <v>2</v>
      </c>
      <c r="F321" s="267">
        <f>VLOOKUP(A321,'3 - PLAN. ORÇAMENTÁRIA'!$B$16:$I$721,8,FALSE)</f>
        <v>562.12</v>
      </c>
      <c r="G321" s="267">
        <f>ROUND(E321*F321,2)</f>
        <v>1124.24</v>
      </c>
      <c r="H321" s="262">
        <f t="shared" si="12"/>
        <v>1.9190637459755942E-2</v>
      </c>
      <c r="I321" s="262">
        <f t="shared" si="14"/>
        <v>98.402698979555083</v>
      </c>
      <c r="J321" s="257" t="str">
        <f t="shared" si="13"/>
        <v>C</v>
      </c>
    </row>
    <row r="322" spans="1:10" ht="14.25">
      <c r="A322" s="263">
        <v>89821</v>
      </c>
      <c r="B322" s="257" t="str">
        <f>VLOOKUP(A322,'3 - PLAN. ORÇAMENTÁRIA'!$B$16:$E$721,3,FALSE)</f>
        <v>SINAPI</v>
      </c>
      <c r="C322" s="264" t="s">
        <v>489</v>
      </c>
      <c r="D322" s="257" t="str">
        <f>VLOOKUP(A322,'3 - PLAN. ORÇAMENTÁRIA'!$B$16:$E$721,4,FALSE)</f>
        <v>UN</v>
      </c>
      <c r="E322" s="266">
        <f>SUMIF('3 - PLAN. ORÇAMENTÁRIA'!$C$15:$C$721,C322,'3 - PLAN. ORÇAMENTÁRIA'!$F$15:$F$721)</f>
        <v>46</v>
      </c>
      <c r="F322" s="267">
        <f>VLOOKUP(A322,'3 - PLAN. ORÇAMENTÁRIA'!$B$16:$I$721,8,FALSE)</f>
        <v>24.4</v>
      </c>
      <c r="G322" s="267">
        <f>ROUND(E322*F322,2)</f>
        <v>1122.4000000000001</v>
      </c>
      <c r="H322" s="262">
        <f t="shared" si="12"/>
        <v>1.9159228887808719E-2</v>
      </c>
      <c r="I322" s="262">
        <f t="shared" si="14"/>
        <v>98.421858208442899</v>
      </c>
      <c r="J322" s="257" t="str">
        <f t="shared" si="13"/>
        <v>C</v>
      </c>
    </row>
    <row r="323" spans="1:10" ht="14.25">
      <c r="A323" s="263" t="s">
        <v>2001</v>
      </c>
      <c r="B323" s="257" t="str">
        <f>VLOOKUP(A323,'3 - PLAN. ORÇAMENTÁRIA'!$B$16:$E$721,3,FALSE)</f>
        <v>PRÓPRIO</v>
      </c>
      <c r="C323" s="265" t="str">
        <f>VLOOKUP(A323,'3 - PLAN. ORÇAMENTÁRIA'!$B$16:$E$721,2,FALSE)</f>
        <v>ALÇAPÃO/TAMPA EM CHAPA DE FERRO COM PORTAS CADEADE REF. 24.03.100/SP OBRAS</v>
      </c>
      <c r="D323" s="257" t="str">
        <f>VLOOKUP(A323,'3 - PLAN. ORÇAMENTÁRIA'!$B$16:$E$721,4,FALSE)</f>
        <v>M2</v>
      </c>
      <c r="E323" s="266">
        <f>SUMIF('3 - PLAN. ORÇAMENTÁRIA'!$C$15:$C$721,C323,'3 - PLAN. ORÇAMENTÁRIA'!$F$15:$F$721)</f>
        <v>0.64</v>
      </c>
      <c r="F323" s="267">
        <f>VLOOKUP(A323,'3 - PLAN. ORÇAMENTÁRIA'!$B$16:$I$721,8,FALSE)</f>
        <v>1742.97</v>
      </c>
      <c r="G323" s="267">
        <f>ROUND(E323*F323,2)</f>
        <v>1115.5</v>
      </c>
      <c r="H323" s="262">
        <f t="shared" si="12"/>
        <v>1.9041446743006611E-2</v>
      </c>
      <c r="I323" s="262">
        <f t="shared" si="14"/>
        <v>98.440899655185902</v>
      </c>
      <c r="J323" s="257" t="str">
        <f t="shared" si="13"/>
        <v>C</v>
      </c>
    </row>
    <row r="324" spans="1:10" ht="14.25">
      <c r="A324" s="263">
        <v>89481</v>
      </c>
      <c r="B324" s="257" t="str">
        <f>VLOOKUP(A324,'3 - PLAN. ORÇAMENTÁRIA'!$B$16:$E$721,3,FALSE)</f>
        <v>SINAPI</v>
      </c>
      <c r="C324" s="264" t="s">
        <v>483</v>
      </c>
      <c r="D324" s="257" t="str">
        <f>VLOOKUP(A324,'3 - PLAN. ORÇAMENTÁRIA'!$B$16:$E$721,4,FALSE)</f>
        <v>UN</v>
      </c>
      <c r="E324" s="266">
        <f>SUMIF('3 - PLAN. ORÇAMENTÁRIA'!$C$15:$C$721,C324,'3 - PLAN. ORÇAMENTÁRIA'!$F$15:$F$721)</f>
        <v>153</v>
      </c>
      <c r="F324" s="267">
        <f>VLOOKUP(A324,'3 - PLAN. ORÇAMENTÁRIA'!$B$16:$I$721,8,FALSE)</f>
        <v>7.11</v>
      </c>
      <c r="G324" s="267">
        <f>ROUND(E324*F324,2)</f>
        <v>1087.83</v>
      </c>
      <c r="H324" s="262">
        <f t="shared" si="12"/>
        <v>1.8569123272474123E-2</v>
      </c>
      <c r="I324" s="262">
        <f t="shared" si="14"/>
        <v>98.459468778458373</v>
      </c>
      <c r="J324" s="257" t="str">
        <f t="shared" si="13"/>
        <v>C</v>
      </c>
    </row>
    <row r="325" spans="1:10" ht="28.5">
      <c r="A325" s="263">
        <v>92759</v>
      </c>
      <c r="B325" s="257" t="str">
        <f>VLOOKUP(A325,'3 - PLAN. ORÇAMENTÁRIA'!$B$16:$E$721,3,FALSE)</f>
        <v>SINAPI</v>
      </c>
      <c r="C325" s="264" t="s">
        <v>247</v>
      </c>
      <c r="D325" s="257" t="str">
        <f>VLOOKUP(A325,'3 - PLAN. ORÇAMENTÁRIA'!$B$16:$E$721,4,FALSE)</f>
        <v>KG</v>
      </c>
      <c r="E325" s="266">
        <f>SUMIF('3 - PLAN. ORÇAMENTÁRIA'!$C$15:$C$721,C325,'3 - PLAN. ORÇAMENTÁRIA'!$F$15:$F$721)</f>
        <v>58</v>
      </c>
      <c r="F325" s="267">
        <f>VLOOKUP(A325,'3 - PLAN. ORÇAMENTÁRIA'!$B$16:$I$721,8,FALSE)</f>
        <v>18.739999999999998</v>
      </c>
      <c r="G325" s="267">
        <f>ROUND(E325*F325,2)</f>
        <v>1086.92</v>
      </c>
      <c r="H325" s="262">
        <f t="shared" si="12"/>
        <v>1.855358968526109E-2</v>
      </c>
      <c r="I325" s="262">
        <f t="shared" si="14"/>
        <v>98.478022368143627</v>
      </c>
      <c r="J325" s="257" t="str">
        <f t="shared" si="13"/>
        <v>C</v>
      </c>
    </row>
    <row r="326" spans="1:10" ht="28.5">
      <c r="A326" s="263">
        <v>101159</v>
      </c>
      <c r="B326" s="257" t="str">
        <f>VLOOKUP(A326,'3 - PLAN. ORÇAMENTÁRIA'!$B$16:$E$721,3,FALSE)</f>
        <v>SINAPI</v>
      </c>
      <c r="C326" s="264" t="s">
        <v>344</v>
      </c>
      <c r="D326" s="257" t="str">
        <f>VLOOKUP(A326,'3 - PLAN. ORÇAMENTÁRIA'!$B$16:$E$721,4,FALSE)</f>
        <v>M2</v>
      </c>
      <c r="E326" s="266">
        <f>SUMIF('3 - PLAN. ORÇAMENTÁRIA'!$C$15:$C$721,C326,'3 - PLAN. ORÇAMENTÁRIA'!$F$15:$F$721)</f>
        <v>6.08</v>
      </c>
      <c r="F326" s="267">
        <f>VLOOKUP(A326,'3 - PLAN. ORÇAMENTÁRIA'!$B$16:$I$721,8,FALSE)</f>
        <v>178.71</v>
      </c>
      <c r="G326" s="267">
        <f>ROUND(E326*F326,2)</f>
        <v>1086.56</v>
      </c>
      <c r="H326" s="262">
        <f t="shared" si="12"/>
        <v>1.8547444529880112E-2</v>
      </c>
      <c r="I326" s="262">
        <f t="shared" si="14"/>
        <v>98.496569812673513</v>
      </c>
      <c r="J326" s="257" t="str">
        <f t="shared" si="13"/>
        <v>C</v>
      </c>
    </row>
    <row r="327" spans="1:10" ht="14.25">
      <c r="A327" s="263">
        <v>99803</v>
      </c>
      <c r="B327" s="257" t="str">
        <f>VLOOKUP(A327,'3 - PLAN. ORÇAMENTÁRIA'!$B$16:$E$721,3,FALSE)</f>
        <v>SINAPI</v>
      </c>
      <c r="C327" s="264" t="s">
        <v>2631</v>
      </c>
      <c r="D327" s="257" t="str">
        <f>VLOOKUP(A327,'3 - PLAN. ORÇAMENTÁRIA'!$B$16:$E$721,4,FALSE)</f>
        <v>M2</v>
      </c>
      <c r="E327" s="266">
        <f>SUMIF('3 - PLAN. ORÇAMENTÁRIA'!$C$15:$C$721,C327,'3 - PLAN. ORÇAMENTÁRIA'!$F$15:$F$721)</f>
        <v>386.66</v>
      </c>
      <c r="F327" s="267">
        <f>VLOOKUP(A327,'3 - PLAN. ORÇAMENTÁRIA'!$B$16:$I$721,8,FALSE)</f>
        <v>2.81</v>
      </c>
      <c r="G327" s="267">
        <f>ROUND(E327*F327,2)</f>
        <v>1086.51</v>
      </c>
      <c r="H327" s="262">
        <f t="shared" si="12"/>
        <v>1.8546591036077198E-2</v>
      </c>
      <c r="I327" s="262">
        <f t="shared" si="14"/>
        <v>98.515116403709584</v>
      </c>
      <c r="J327" s="257" t="str">
        <f t="shared" si="13"/>
        <v>C</v>
      </c>
    </row>
    <row r="328" spans="1:10" ht="14.25">
      <c r="A328" s="263" t="s">
        <v>3884</v>
      </c>
      <c r="B328" s="257" t="str">
        <f>VLOOKUP(A328,'3 - PLAN. ORÇAMENTÁRIA'!$B$16:$E$721,3,FALSE)</f>
        <v>PRÓPRIO</v>
      </c>
      <c r="C328" s="265" t="str">
        <f>VLOOKUP(A328,'3 - PLAN. ORÇAMENTÁRIA'!$B$16:$E$721,2,FALSE)</f>
        <v>PORTINHOLA DE ABRIR DE 01 FOLHA DE VIDRO C/FERRAGENS REF. 180502/GOINFRA CIVIL</v>
      </c>
      <c r="D328" s="257" t="str">
        <f>VLOOKUP(A328,'3 - PLAN. ORÇAMENTÁRIA'!$B$16:$E$721,4,FALSE)</f>
        <v>M2</v>
      </c>
      <c r="E328" s="266">
        <f>SUMIF('3 - PLAN. ORÇAMENTÁRIA'!$C$15:$C$721,C328,'3 - PLAN. ORÇAMENTÁRIA'!$F$15:$F$721)</f>
        <v>0.72</v>
      </c>
      <c r="F328" s="267">
        <f>VLOOKUP(A328,'3 - PLAN. ORÇAMENTÁRIA'!$B$16:$I$721,8,FALSE)</f>
        <v>1501.62</v>
      </c>
      <c r="G328" s="267">
        <f>ROUND(E328*F328,2)</f>
        <v>1081.17</v>
      </c>
      <c r="H328" s="262">
        <f t="shared" si="12"/>
        <v>1.8455437897926006E-2</v>
      </c>
      <c r="I328" s="262">
        <f t="shared" si="14"/>
        <v>98.533571841607511</v>
      </c>
      <c r="J328" s="257" t="str">
        <f t="shared" si="13"/>
        <v>C</v>
      </c>
    </row>
    <row r="329" spans="1:10" ht="28.5">
      <c r="A329" s="263">
        <v>100721</v>
      </c>
      <c r="B329" s="257" t="str">
        <f>VLOOKUP(A329,'3 - PLAN. ORÇAMENTÁRIA'!$B$16:$E$721,3,FALSE)</f>
        <v>SINAPI</v>
      </c>
      <c r="C329" s="264" t="s">
        <v>4037</v>
      </c>
      <c r="D329" s="257" t="str">
        <f>VLOOKUP(A329,'3 - PLAN. ORÇAMENTÁRIA'!$B$16:$E$721,4,FALSE)</f>
        <v>M2</v>
      </c>
      <c r="E329" s="266">
        <f>SUMIF('3 - PLAN. ORÇAMENTÁRIA'!$C$15:$C$721,C329,'3 - PLAN. ORÇAMENTÁRIA'!$F$15:$F$721)</f>
        <v>31.54</v>
      </c>
      <c r="F329" s="267">
        <f>VLOOKUP(A329,'3 - PLAN. ORÇAMENTÁRIA'!$B$16:$I$721,8,FALSE)</f>
        <v>34.1</v>
      </c>
      <c r="G329" s="267">
        <f>ROUND(E329*F329,2)</f>
        <v>1075.51</v>
      </c>
      <c r="H329" s="262">
        <f t="shared" ref="H329:H392" si="15">(G329*100)/SUM($G$8:$G$519)</f>
        <v>1.8358822399436165E-2</v>
      </c>
      <c r="I329" s="262">
        <f t="shared" si="14"/>
        <v>98.551930664006946</v>
      </c>
      <c r="J329" s="257" t="str">
        <f t="shared" ref="J329:J392" si="16">IF(I329&lt;80,"A",IF(I329&lt;95,"B","C"))</f>
        <v>C</v>
      </c>
    </row>
    <row r="330" spans="1:10" ht="14.25">
      <c r="A330" s="263">
        <v>89413</v>
      </c>
      <c r="B330" s="257" t="str">
        <f>VLOOKUP(A330,'3 - PLAN. ORÇAMENTÁRIA'!$B$16:$E$721,3,FALSE)</f>
        <v>SINAPI</v>
      </c>
      <c r="C330" s="264" t="s">
        <v>2201</v>
      </c>
      <c r="D330" s="257" t="str">
        <f>VLOOKUP(A330,'3 - PLAN. ORÇAMENTÁRIA'!$B$16:$E$721,4,FALSE)</f>
        <v>UN</v>
      </c>
      <c r="E330" s="266">
        <f>SUMIF('3 - PLAN. ORÇAMENTÁRIA'!$C$15:$C$721,C330,'3 - PLAN. ORÇAMENTÁRIA'!$F$15:$F$721)</f>
        <v>67</v>
      </c>
      <c r="F330" s="267">
        <f>VLOOKUP(A330,'3 - PLAN. ORÇAMENTÁRIA'!$B$16:$I$721,8,FALSE)</f>
        <v>16.04</v>
      </c>
      <c r="G330" s="267">
        <f>ROUND(E330*F330,2)</f>
        <v>1074.68</v>
      </c>
      <c r="H330" s="262">
        <f t="shared" si="15"/>
        <v>1.8344654402307797E-2</v>
      </c>
      <c r="I330" s="262">
        <f t="shared" ref="I330:I393" si="17">H330+I329</f>
        <v>98.570275318409259</v>
      </c>
      <c r="J330" s="257" t="str">
        <f t="shared" si="16"/>
        <v>C</v>
      </c>
    </row>
    <row r="331" spans="1:10" ht="14.25">
      <c r="A331" s="263">
        <v>104920</v>
      </c>
      <c r="B331" s="257" t="str">
        <f>VLOOKUP(A331,'3 - PLAN. ORÇAMENTÁRIA'!$B$16:$E$721,3,FALSE)</f>
        <v>SINAPI</v>
      </c>
      <c r="C331" s="264" t="s">
        <v>2913</v>
      </c>
      <c r="D331" s="257" t="str">
        <f>VLOOKUP(A331,'3 - PLAN. ORÇAMENTÁRIA'!$B$16:$E$721,4,FALSE)</f>
        <v>KG</v>
      </c>
      <c r="E331" s="266">
        <f>SUMIF('3 - PLAN. ORÇAMENTÁRIA'!$C$15:$C$721,C331,'3 - PLAN. ORÇAMENTÁRIA'!$F$15:$F$721)</f>
        <v>74</v>
      </c>
      <c r="F331" s="267">
        <f>VLOOKUP(A331,'3 - PLAN. ORÇAMENTÁRIA'!$B$16:$I$721,8,FALSE)</f>
        <v>14.26</v>
      </c>
      <c r="G331" s="267">
        <f>ROUND(E331*F331,2)</f>
        <v>1055.24</v>
      </c>
      <c r="H331" s="262">
        <f t="shared" si="15"/>
        <v>1.8012816011734916E-2</v>
      </c>
      <c r="I331" s="262">
        <f t="shared" si="17"/>
        <v>98.588288134420992</v>
      </c>
      <c r="J331" s="257" t="str">
        <f t="shared" si="16"/>
        <v>C</v>
      </c>
    </row>
    <row r="332" spans="1:10" ht="14.25">
      <c r="A332" s="263">
        <v>93670</v>
      </c>
      <c r="B332" s="257" t="str">
        <f>VLOOKUP(A332,'3 - PLAN. ORÇAMENTÁRIA'!$B$16:$E$721,3,FALSE)</f>
        <v>SINAPI</v>
      </c>
      <c r="C332" s="264" t="s">
        <v>2356</v>
      </c>
      <c r="D332" s="257" t="str">
        <f>VLOOKUP(A332,'3 - PLAN. ORÇAMENTÁRIA'!$B$16:$E$721,4,FALSE)</f>
        <v>UN</v>
      </c>
      <c r="E332" s="266">
        <f>SUMIF('3 - PLAN. ORÇAMENTÁRIA'!$C$15:$C$721,C332,'3 - PLAN. ORÇAMENTÁRIA'!$F$15:$F$721)</f>
        <v>8</v>
      </c>
      <c r="F332" s="267">
        <f>VLOOKUP(A332,'3 - PLAN. ORÇAMENTÁRIA'!$B$16:$I$721,8,FALSE)</f>
        <v>130.77000000000001</v>
      </c>
      <c r="G332" s="267">
        <f>ROUND(E332*F332,2)</f>
        <v>1046.1600000000001</v>
      </c>
      <c r="H332" s="262">
        <f t="shared" si="15"/>
        <v>1.7857821537125774E-2</v>
      </c>
      <c r="I332" s="262">
        <f t="shared" si="17"/>
        <v>98.606145955958112</v>
      </c>
      <c r="J332" s="257" t="str">
        <f t="shared" si="16"/>
        <v>C</v>
      </c>
    </row>
    <row r="333" spans="1:10" ht="14.25">
      <c r="A333" s="263">
        <v>89554</v>
      </c>
      <c r="B333" s="257" t="str">
        <f>VLOOKUP(A333,'3 - PLAN. ORÇAMENTÁRIA'!$B$16:$E$721,3,FALSE)</f>
        <v>SINAPI</v>
      </c>
      <c r="C333" s="264" t="s">
        <v>3304</v>
      </c>
      <c r="D333" s="257" t="str">
        <f>VLOOKUP(A333,'3 - PLAN. ORÇAMENTÁRIA'!$B$16:$E$721,4,FALSE)</f>
        <v>UN</v>
      </c>
      <c r="E333" s="266">
        <f>SUMIF('3 - PLAN. ORÇAMENTÁRIA'!$C$15:$C$721,C333,'3 - PLAN. ORÇAMENTÁRIA'!$F$15:$F$721)</f>
        <v>29</v>
      </c>
      <c r="F333" s="267">
        <f>VLOOKUP(A333,'3 - PLAN. ORÇAMENTÁRIA'!$B$16:$I$721,8,FALSE)</f>
        <v>36.03</v>
      </c>
      <c r="G333" s="267">
        <f>ROUND(E333*F333,2)</f>
        <v>1044.8699999999999</v>
      </c>
      <c r="H333" s="262">
        <f t="shared" si="15"/>
        <v>1.7835801397010593E-2</v>
      </c>
      <c r="I333" s="262">
        <f t="shared" si="17"/>
        <v>98.623981757355125</v>
      </c>
      <c r="J333" s="257" t="str">
        <f t="shared" si="16"/>
        <v>C</v>
      </c>
    </row>
    <row r="334" spans="1:10" ht="14.25">
      <c r="A334" s="263">
        <v>102500</v>
      </c>
      <c r="B334" s="257" t="str">
        <f>VLOOKUP(A334,'3 - PLAN. ORÇAMENTÁRIA'!$B$16:$E$721,3,FALSE)</f>
        <v>SINAPI</v>
      </c>
      <c r="C334" s="264" t="s">
        <v>2215</v>
      </c>
      <c r="D334" s="257" t="str">
        <f>VLOOKUP(A334,'3 - PLAN. ORÇAMENTÁRIA'!$B$16:$E$721,4,FALSE)</f>
        <v>M</v>
      </c>
      <c r="E334" s="266">
        <f>SUMIF('3 - PLAN. ORÇAMENTÁRIA'!$C$15:$C$721,C334,'3 - PLAN. ORÇAMENTÁRIA'!$F$15:$F$721)</f>
        <v>172.34</v>
      </c>
      <c r="F334" s="267">
        <f>VLOOKUP(A334,'3 - PLAN. ORÇAMENTÁRIA'!$B$16:$I$721,8,FALSE)</f>
        <v>5.96</v>
      </c>
      <c r="G334" s="267">
        <f>ROUND(E334*F334,2)</f>
        <v>1027.1500000000001</v>
      </c>
      <c r="H334" s="262">
        <f t="shared" si="15"/>
        <v>1.7533323193257951E-2</v>
      </c>
      <c r="I334" s="262">
        <f t="shared" si="17"/>
        <v>98.641515080548388</v>
      </c>
      <c r="J334" s="257" t="str">
        <f t="shared" si="16"/>
        <v>C</v>
      </c>
    </row>
    <row r="335" spans="1:10" ht="14.25">
      <c r="A335" s="263" t="s">
        <v>1960</v>
      </c>
      <c r="B335" s="257" t="str">
        <f>VLOOKUP(A335,'3 - PLAN. ORÇAMENTÁRIA'!$B$16:$E$721,3,FALSE)</f>
        <v>PRÓPRIO</v>
      </c>
      <c r="C335" s="265" t="str">
        <f>VLOOKUP(A335,'3 - PLAN. ORÇAMENTÁRIA'!$B$16:$E$721,2,FALSE)</f>
        <v>DISPENSER PAPEL HIGIÊNICO EM ABS PARA ROLÃO 300 / 600 M, COM VISOR REF. 95544/SINAPI</v>
      </c>
      <c r="D335" s="257" t="str">
        <f>VLOOKUP(A335,'3 - PLAN. ORÇAMENTÁRIA'!$B$16:$E$721,4,FALSE)</f>
        <v>UN</v>
      </c>
      <c r="E335" s="266">
        <f>SUMIF('3 - PLAN. ORÇAMENTÁRIA'!$C$15:$C$721,C335,'3 - PLAN. ORÇAMENTÁRIA'!$F$15:$F$721)</f>
        <v>10</v>
      </c>
      <c r="F335" s="267">
        <f>VLOOKUP(A335,'3 - PLAN. ORÇAMENTÁRIA'!$B$16:$I$721,8,FALSE)</f>
        <v>101.55</v>
      </c>
      <c r="G335" s="267">
        <f>ROUND(E335*F335,2)</f>
        <v>1015.5</v>
      </c>
      <c r="H335" s="262">
        <f t="shared" si="15"/>
        <v>1.7334459137179035E-2</v>
      </c>
      <c r="I335" s="262">
        <f t="shared" si="17"/>
        <v>98.658849539685562</v>
      </c>
      <c r="J335" s="257" t="str">
        <f t="shared" si="16"/>
        <v>C</v>
      </c>
    </row>
    <row r="336" spans="1:10" ht="28.5">
      <c r="A336" s="263" t="s">
        <v>1991</v>
      </c>
      <c r="B336" s="257" t="str">
        <f>VLOOKUP(A336,'3 - PLAN. ORÇAMENTÁRIA'!$B$16:$E$721,3,FALSE)</f>
        <v>PRÓPRIO</v>
      </c>
      <c r="C336" s="265" t="str">
        <f>VLOOKUP(A336,'3 - PLAN. ORÇAMENTÁRIA'!$B$16:$E$721,2,FALSE)</f>
        <v>SOLDA EXOTÉRMICA CONEXÃO CABO-CABO HORIZONTAL EM T, BITOLA DO CABO DE 16-16MM² A 50-35MM², 70-35MM² E 95-35MM² REF. 42.20.150/SP OBRAS</v>
      </c>
      <c r="D336" s="257" t="str">
        <f>VLOOKUP(A336,'3 - PLAN. ORÇAMENTÁRIA'!$B$16:$E$721,4,FALSE)</f>
        <v>UN</v>
      </c>
      <c r="E336" s="266">
        <f>SUMIF('3 - PLAN. ORÇAMENTÁRIA'!$C$15:$C$721,C336,'3 - PLAN. ORÇAMENTÁRIA'!$F$15:$F$721)</f>
        <v>21</v>
      </c>
      <c r="F336" s="267">
        <f>VLOOKUP(A336,'3 - PLAN. ORÇAMENTÁRIA'!$B$16:$I$721,8,FALSE)</f>
        <v>47.53</v>
      </c>
      <c r="G336" s="267">
        <f>ROUND(E336*F336,2)</f>
        <v>998.13</v>
      </c>
      <c r="H336" s="262">
        <f t="shared" si="15"/>
        <v>1.7037955390046787E-2</v>
      </c>
      <c r="I336" s="262">
        <f t="shared" si="17"/>
        <v>98.675887495075614</v>
      </c>
      <c r="J336" s="257" t="str">
        <f t="shared" si="16"/>
        <v>C</v>
      </c>
    </row>
    <row r="337" spans="1:10" ht="14.25">
      <c r="A337" s="263" t="s">
        <v>2939</v>
      </c>
      <c r="B337" s="257" t="str">
        <f>VLOOKUP(A337,'3 - PLAN. ORÇAMENTÁRIA'!$B$16:$E$721,3,FALSE)</f>
        <v>PRÓPRIO</v>
      </c>
      <c r="C337" s="265" t="str">
        <f>VLOOKUP(A337,'3 - PLAN. ORÇAMENTÁRIA'!$B$16:$E$721,2,FALSE)</f>
        <v>EXECUÇÃO DE SOLDA CONTÍNUA (JUNÇÃO ALVENARIA E PILARES METÁLICOS) REF. S13072/ORSE</v>
      </c>
      <c r="D337" s="257" t="str">
        <f>VLOOKUP(A337,'3 - PLAN. ORÇAMENTÁRIA'!$B$16:$E$721,4,FALSE)</f>
        <v>M</v>
      </c>
      <c r="E337" s="266">
        <f>SUMIF('3 - PLAN. ORÇAMENTÁRIA'!$C$15:$C$721,C337,'3 - PLAN. ORÇAMENTÁRIA'!$F$15:$F$721)</f>
        <v>48</v>
      </c>
      <c r="F337" s="267">
        <f>VLOOKUP(A337,'3 - PLAN. ORÇAMENTÁRIA'!$B$16:$I$721,8,FALSE)</f>
        <v>20.47</v>
      </c>
      <c r="G337" s="267">
        <f>ROUND(E337*F337,2)</f>
        <v>982.56</v>
      </c>
      <c r="H337" s="262">
        <f t="shared" si="15"/>
        <v>1.6772177419819432E-2</v>
      </c>
      <c r="I337" s="262">
        <f t="shared" si="17"/>
        <v>98.692659672495438</v>
      </c>
      <c r="J337" s="257" t="str">
        <f t="shared" si="16"/>
        <v>C</v>
      </c>
    </row>
    <row r="338" spans="1:10" ht="14.25">
      <c r="A338" s="263">
        <v>88488</v>
      </c>
      <c r="B338" s="257" t="str">
        <f>VLOOKUP(A338,'3 - PLAN. ORÇAMENTÁRIA'!$B$16:$E$721,3,FALSE)</f>
        <v>SINAPI</v>
      </c>
      <c r="C338" s="264" t="s">
        <v>307</v>
      </c>
      <c r="D338" s="257" t="str">
        <f>VLOOKUP(A338,'3 - PLAN. ORÇAMENTÁRIA'!$B$16:$E$721,4,FALSE)</f>
        <v>M2</v>
      </c>
      <c r="E338" s="266">
        <f>SUMIF('3 - PLAN. ORÇAMENTÁRIA'!$C$15:$C$721,C338,'3 - PLAN. ORÇAMENTÁRIA'!$F$15:$F$721)</f>
        <v>48.7</v>
      </c>
      <c r="F338" s="267">
        <f>VLOOKUP(A338,'3 - PLAN. ORÇAMENTÁRIA'!$B$16:$I$721,8,FALSE)</f>
        <v>20.11</v>
      </c>
      <c r="G338" s="267">
        <f>ROUND(E338*F338,2)</f>
        <v>979.36</v>
      </c>
      <c r="H338" s="262">
        <f t="shared" si="15"/>
        <v>1.6717553816432949E-2</v>
      </c>
      <c r="I338" s="262">
        <f t="shared" si="17"/>
        <v>98.709377226311872</v>
      </c>
      <c r="J338" s="257" t="str">
        <f t="shared" si="16"/>
        <v>C</v>
      </c>
    </row>
    <row r="339" spans="1:10" ht="14.25">
      <c r="A339" s="263" t="s">
        <v>1900</v>
      </c>
      <c r="B339" s="257" t="str">
        <f>VLOOKUP(A339,'3 - PLAN. ORÇAMENTÁRIA'!$B$16:$E$721,3,FALSE)</f>
        <v>PRÓPRIO</v>
      </c>
      <c r="C339" s="265" t="str">
        <f>VLOOKUP(A339,'3 - PLAN. ORÇAMENTÁRIA'!$B$16:$E$721,2,FALSE)</f>
        <v>PELÍCULA ADESIVA PARA VIDROS - USO INTERNO REF. 32.06.240/SP OBRAS</v>
      </c>
      <c r="D339" s="257" t="str">
        <f>VLOOKUP(A339,'3 - PLAN. ORÇAMENTÁRIA'!$B$16:$E$721,4,FALSE)</f>
        <v>M2</v>
      </c>
      <c r="E339" s="266">
        <f>SUMIF('3 - PLAN. ORÇAMENTÁRIA'!$C$15:$C$721,C339,'3 - PLAN. ORÇAMENTÁRIA'!$F$15:$F$721)</f>
        <v>9.89</v>
      </c>
      <c r="F339" s="267">
        <f>VLOOKUP(A339,'3 - PLAN. ORÇAMENTÁRIA'!$B$16:$I$721,8,FALSE)</f>
        <v>98.56</v>
      </c>
      <c r="G339" s="267">
        <f>ROUND(E339*F339,2)</f>
        <v>974.76</v>
      </c>
      <c r="H339" s="262">
        <f t="shared" si="15"/>
        <v>1.6639032386564882E-2</v>
      </c>
      <c r="I339" s="262">
        <f t="shared" si="17"/>
        <v>98.726016258698436</v>
      </c>
      <c r="J339" s="257" t="str">
        <f t="shared" si="16"/>
        <v>C</v>
      </c>
    </row>
    <row r="340" spans="1:10" ht="28.5">
      <c r="A340" s="263">
        <v>104922</v>
      </c>
      <c r="B340" s="257" t="str">
        <f>VLOOKUP(A340,'3 - PLAN. ORÇAMENTÁRIA'!$B$16:$E$721,3,FALSE)</f>
        <v>SINAPI</v>
      </c>
      <c r="C340" s="264" t="s">
        <v>2433</v>
      </c>
      <c r="D340" s="257" t="str">
        <f>VLOOKUP(A340,'3 - PLAN. ORÇAMENTÁRIA'!$B$16:$E$721,4,FALSE)</f>
        <v>KG</v>
      </c>
      <c r="E340" s="266">
        <f>SUMIF('3 - PLAN. ORÇAMENTÁRIA'!$C$15:$C$721,C340,'3 - PLAN. ORÇAMENTÁRIA'!$F$15:$F$721)</f>
        <v>65</v>
      </c>
      <c r="F340" s="267">
        <f>VLOOKUP(A340,'3 - PLAN. ORÇAMENTÁRIA'!$B$16:$I$721,8,FALSE)</f>
        <v>14.72</v>
      </c>
      <c r="G340" s="267">
        <f>ROUND(E340*F340,2)</f>
        <v>956.8</v>
      </c>
      <c r="H340" s="262">
        <f t="shared" si="15"/>
        <v>1.633245741255825E-2</v>
      </c>
      <c r="I340" s="262">
        <f t="shared" si="17"/>
        <v>98.742348716110996</v>
      </c>
      <c r="J340" s="257" t="str">
        <f t="shared" si="16"/>
        <v>C</v>
      </c>
    </row>
    <row r="341" spans="1:10" ht="14.25">
      <c r="A341" s="263" t="s">
        <v>1962</v>
      </c>
      <c r="B341" s="257" t="str">
        <f>VLOOKUP(A341,'3 - PLAN. ORÇAMENTÁRIA'!$B$16:$E$721,3,FALSE)</f>
        <v>PRÓPRIO</v>
      </c>
      <c r="C341" s="265" t="str">
        <f>VLOOKUP(A341,'3 - PLAN. ORÇAMENTÁRIA'!$B$16:$E$721,2,FALSE)</f>
        <v>DISPENSER TOALHEIRO EM ABS, PARA FOLHAS REF. 95544/SINAPI</v>
      </c>
      <c r="D341" s="257" t="str">
        <f>VLOOKUP(A341,'3 - PLAN. ORÇAMENTÁRIA'!$B$16:$E$721,4,FALSE)</f>
        <v>UN</v>
      </c>
      <c r="E341" s="266">
        <f>SUMIF('3 - PLAN. ORÇAMENTÁRIA'!$C$15:$C$721,C341,'3 - PLAN. ORÇAMENTÁRIA'!$F$15:$F$721)</f>
        <v>10</v>
      </c>
      <c r="F341" s="267">
        <f>VLOOKUP(A341,'3 - PLAN. ORÇAMENTÁRIA'!$B$16:$I$721,8,FALSE)</f>
        <v>95.42</v>
      </c>
      <c r="G341" s="267">
        <f>ROUND(E341*F341,2)</f>
        <v>954.2</v>
      </c>
      <c r="H341" s="262">
        <f t="shared" si="15"/>
        <v>1.6288075734806732E-2</v>
      </c>
      <c r="I341" s="262">
        <f t="shared" si="17"/>
        <v>98.758636791845802</v>
      </c>
      <c r="J341" s="257" t="str">
        <f t="shared" si="16"/>
        <v>C</v>
      </c>
    </row>
    <row r="342" spans="1:10" ht="14.25">
      <c r="A342" s="263" t="s">
        <v>3608</v>
      </c>
      <c r="B342" s="257" t="str">
        <f>VLOOKUP(A342,'3 - PLAN. ORÇAMENTÁRIA'!$B$16:$E$721,3,FALSE)</f>
        <v>PRÓPRIO</v>
      </c>
      <c r="C342" s="265" t="str">
        <f>VLOOKUP(A342,'3 - PLAN. ORÇAMENTÁRIA'!$B$16:$E$721,2,FALSE)</f>
        <v>RALO HEMISFÉRICO EM F° F°, TIPO ABACAXI Ø 100MM REF. S04283/ORSE</v>
      </c>
      <c r="D342" s="257" t="str">
        <f>VLOOKUP(A342,'3 - PLAN. ORÇAMENTÁRIA'!$B$16:$E$721,4,FALSE)</f>
        <v>UN</v>
      </c>
      <c r="E342" s="266">
        <f>SUMIF('3 - PLAN. ORÇAMENTÁRIA'!$C$15:$C$721,C342,'3 - PLAN. ORÇAMENTÁRIA'!$F$15:$F$721)</f>
        <v>18</v>
      </c>
      <c r="F342" s="267">
        <f>VLOOKUP(A342,'3 - PLAN. ORÇAMENTÁRIA'!$B$16:$I$721,8,FALSE)</f>
        <v>52.51</v>
      </c>
      <c r="G342" s="267">
        <f>ROUND(E342*F342,2)</f>
        <v>945.18</v>
      </c>
      <c r="H342" s="262">
        <f t="shared" si="15"/>
        <v>1.6134105452761085E-2</v>
      </c>
      <c r="I342" s="262">
        <f t="shared" si="17"/>
        <v>98.774770897298566</v>
      </c>
      <c r="J342" s="257" t="str">
        <f t="shared" si="16"/>
        <v>C</v>
      </c>
    </row>
    <row r="343" spans="1:10" ht="14.25">
      <c r="A343" s="263" t="s">
        <v>1910</v>
      </c>
      <c r="B343" s="257" t="str">
        <f>VLOOKUP(A343,'3 - PLAN. ORÇAMENTÁRIA'!$B$16:$E$721,3,FALSE)</f>
        <v>PRÓPRIO</v>
      </c>
      <c r="C343" s="265" t="str">
        <f>VLOOKUP(A343,'3 - PLAN. ORÇAMENTÁRIA'!$B$16:$E$721,2,FALSE)</f>
        <v>RODAPÉ EM GRANITO BRANCO SIENA 10CM X 2CM REF. 98685/SINAPI</v>
      </c>
      <c r="D343" s="257" t="str">
        <f>VLOOKUP(A343,'3 - PLAN. ORÇAMENTÁRIA'!$B$16:$E$721,4,FALSE)</f>
        <v>M</v>
      </c>
      <c r="E343" s="266">
        <f>SUMIF('3 - PLAN. ORÇAMENTÁRIA'!$C$15:$C$721,C343,'3 - PLAN. ORÇAMENTÁRIA'!$F$15:$F$721)</f>
        <v>4.63</v>
      </c>
      <c r="F343" s="267">
        <f>VLOOKUP(A343,'3 - PLAN. ORÇAMENTÁRIA'!$B$16:$I$721,8,FALSE)</f>
        <v>203.81</v>
      </c>
      <c r="G343" s="267">
        <f>ROUND(E343*F343,2)</f>
        <v>943.64</v>
      </c>
      <c r="H343" s="262">
        <f t="shared" si="15"/>
        <v>1.6107817843631338E-2</v>
      </c>
      <c r="I343" s="262">
        <f t="shared" si="17"/>
        <v>98.790878715142199</v>
      </c>
      <c r="J343" s="257" t="str">
        <f t="shared" si="16"/>
        <v>C</v>
      </c>
    </row>
    <row r="344" spans="1:10" ht="28.5">
      <c r="A344" s="263" t="s">
        <v>4114</v>
      </c>
      <c r="B344" s="257" t="str">
        <f>VLOOKUP(A344,'3 - PLAN. ORÇAMENTÁRIA'!$B$16:$E$721,3,FALSE)</f>
        <v>PRÓPRIO</v>
      </c>
      <c r="C344" s="265" t="str">
        <f>VLOOKUP(A344,'3 - PLAN. ORÇAMENTÁRIA'!$B$16:$E$721,2,FALSE)</f>
        <v>PINTURA DE ACABAMENTO COM APLICAÇÃO DE 01 DEMÃO DE VERNIZ ACRÍLICO PARA PROTEÇÃO DE SUPERFÍCIES EM CONCRETO APARENTE REF. S03733/ORSE</v>
      </c>
      <c r="D344" s="257" t="str">
        <f>VLOOKUP(A344,'3 - PLAN. ORÇAMENTÁRIA'!$B$16:$E$721,4,FALSE)</f>
        <v>M2</v>
      </c>
      <c r="E344" s="266">
        <f>SUMIF('3 - PLAN. ORÇAMENTÁRIA'!$C$15:$C$721,C344,'3 - PLAN. ORÇAMENTÁRIA'!$F$15:$F$721)</f>
        <v>46.19</v>
      </c>
      <c r="F344" s="267">
        <f>VLOOKUP(A344,'3 - PLAN. ORÇAMENTÁRIA'!$B$16:$I$721,8,FALSE)</f>
        <v>20.36</v>
      </c>
      <c r="G344" s="267">
        <f>ROUND(E344*F344,2)</f>
        <v>940.43</v>
      </c>
      <c r="H344" s="262">
        <f t="shared" si="15"/>
        <v>1.6053023541484274E-2</v>
      </c>
      <c r="I344" s="262">
        <f t="shared" si="17"/>
        <v>98.806931738683687</v>
      </c>
      <c r="J344" s="257" t="str">
        <f t="shared" si="16"/>
        <v>C</v>
      </c>
    </row>
    <row r="345" spans="1:10" ht="28.5">
      <c r="A345" s="263">
        <v>96370</v>
      </c>
      <c r="B345" s="257" t="str">
        <f>VLOOKUP(A345,'3 - PLAN. ORÇAMENTÁRIA'!$B$16:$E$721,3,FALSE)</f>
        <v>SINAPI</v>
      </c>
      <c r="C345" s="264" t="s">
        <v>3934</v>
      </c>
      <c r="D345" s="257" t="str">
        <f>VLOOKUP(A345,'3 - PLAN. ORÇAMENTÁRIA'!$B$16:$E$721,4,FALSE)</f>
        <v>M2</v>
      </c>
      <c r="E345" s="266">
        <f>SUMIF('3 - PLAN. ORÇAMENTÁRIA'!$C$15:$C$721,C345,'3 - PLAN. ORÇAMENTÁRIA'!$F$15:$F$721)</f>
        <v>13.95</v>
      </c>
      <c r="F345" s="267">
        <f>VLOOKUP(A345,'3 - PLAN. ORÇAMENTÁRIA'!$B$16:$I$721,8,FALSE)</f>
        <v>67.36</v>
      </c>
      <c r="G345" s="267">
        <f>ROUND(E345*F345,2)</f>
        <v>939.67</v>
      </c>
      <c r="H345" s="262">
        <f t="shared" si="15"/>
        <v>1.6040050435679985E-2</v>
      </c>
      <c r="I345" s="262">
        <f t="shared" si="17"/>
        <v>98.822971789119364</v>
      </c>
      <c r="J345" s="257" t="str">
        <f t="shared" si="16"/>
        <v>C</v>
      </c>
    </row>
    <row r="346" spans="1:10" ht="28.5">
      <c r="A346" s="263" t="s">
        <v>2000</v>
      </c>
      <c r="B346" s="257" t="str">
        <f>VLOOKUP(A346,'3 - PLAN. ORÇAMENTÁRIA'!$B$16:$E$721,3,FALSE)</f>
        <v>PRÓPRIO</v>
      </c>
      <c r="C346" s="265" t="str">
        <f>VLOOKUP(A346,'3 - PLAN. ORÇAMENTÁRIA'!$B$16:$E$721,2,FALSE)</f>
        <v>GRELHA DE INSUFLAÇÃO DE AR EM ALUMÍNIO ANODIZADO, DE DUPLA DEFLEXÃO, TAMANHO: ACIMA DE 0,10 M² ATÉ 0,50 M² REF. 61.10.565/SP OBRAS</v>
      </c>
      <c r="D346" s="257" t="str">
        <f>VLOOKUP(A346,'3 - PLAN. ORÇAMENTÁRIA'!$B$16:$E$721,4,FALSE)</f>
        <v>M2</v>
      </c>
      <c r="E346" s="266">
        <f>SUMIF('3 - PLAN. ORÇAMENTÁRIA'!$C$15:$C$721,C346,'3 - PLAN. ORÇAMENTÁRIA'!$F$15:$F$721)</f>
        <v>0.33</v>
      </c>
      <c r="F346" s="267">
        <f>VLOOKUP(A346,'3 - PLAN. ORÇAMENTÁRIA'!$B$16:$I$721,8,FALSE)</f>
        <v>2772.11</v>
      </c>
      <c r="G346" s="267">
        <f>ROUND(E346*F346,2)</f>
        <v>914.8</v>
      </c>
      <c r="H346" s="262">
        <f t="shared" si="15"/>
        <v>1.5615522618110667E-2</v>
      </c>
      <c r="I346" s="262">
        <f t="shared" si="17"/>
        <v>98.83858731173747</v>
      </c>
      <c r="J346" s="257" t="str">
        <f t="shared" si="16"/>
        <v>C</v>
      </c>
    </row>
    <row r="347" spans="1:10" ht="14.25">
      <c r="A347" s="263" t="s">
        <v>1920</v>
      </c>
      <c r="B347" s="257" t="str">
        <f>VLOOKUP(A347,'3 - PLAN. ORÇAMENTÁRIA'!$B$16:$E$721,3,FALSE)</f>
        <v>PRÓPRIO</v>
      </c>
      <c r="C347" s="265" t="str">
        <f>VLOOKUP(A347,'3 - PLAN. ORÇAMENTÁRIA'!$B$16:$E$721,2,FALSE)</f>
        <v>CHUVEIRO C/DESVIADOR E DUCHA MANUAL EM LATÃO CROMADO DN 15MM REF. 100860/SINAPI</v>
      </c>
      <c r="D347" s="257" t="str">
        <f>VLOOKUP(A347,'3 - PLAN. ORÇAMENTÁRIA'!$B$16:$E$721,4,FALSE)</f>
        <v>CJ</v>
      </c>
      <c r="E347" s="266">
        <f>SUMIF('3 - PLAN. ORÇAMENTÁRIA'!$C$15:$C$721,C347,'3 - PLAN. ORÇAMENTÁRIA'!$F$15:$F$721)</f>
        <v>2</v>
      </c>
      <c r="F347" s="267">
        <f>VLOOKUP(A347,'3 - PLAN. ORÇAMENTÁRIA'!$B$16:$I$721,8,FALSE)</f>
        <v>455.54</v>
      </c>
      <c r="G347" s="267">
        <f>ROUND(E347*F347,2)</f>
        <v>911.08</v>
      </c>
      <c r="H347" s="262">
        <f t="shared" si="15"/>
        <v>1.5552022679173881E-2</v>
      </c>
      <c r="I347" s="262">
        <f t="shared" si="17"/>
        <v>98.854139334416644</v>
      </c>
      <c r="J347" s="257" t="str">
        <f t="shared" si="16"/>
        <v>C</v>
      </c>
    </row>
    <row r="348" spans="1:10" ht="14.25">
      <c r="A348" s="263" t="s">
        <v>4002</v>
      </c>
      <c r="B348" s="257" t="str">
        <f>VLOOKUP(A348,'3 - PLAN. ORÇAMENTÁRIA'!$B$16:$E$721,3,FALSE)</f>
        <v>PRÓPRIO</v>
      </c>
      <c r="C348" s="265" t="str">
        <f>VLOOKUP(A348,'3 - PLAN. ORÇAMENTÁRIA'!$B$16:$E$721,2,FALSE)</f>
        <v>CANTONEIRA ALUMÍNIO ANODIZADO COLORIDO, 1 1/2" X 1 1/2" X 1/4 REF. S01910/ORSE</v>
      </c>
      <c r="D348" s="257" t="str">
        <f>VLOOKUP(A348,'3 - PLAN. ORÇAMENTÁRIA'!$B$16:$E$721,4,FALSE)</f>
        <v>M</v>
      </c>
      <c r="E348" s="266">
        <f>SUMIF('3 - PLAN. ORÇAMENTÁRIA'!$C$15:$C$721,C348,'3 - PLAN. ORÇAMENTÁRIA'!$F$15:$F$721)</f>
        <v>16.86</v>
      </c>
      <c r="F348" s="267">
        <f>VLOOKUP(A348,'3 - PLAN. ORÇAMENTÁRIA'!$B$16:$I$721,8,FALSE)</f>
        <v>53.99</v>
      </c>
      <c r="G348" s="267">
        <f>ROUND(E348*F348,2)</f>
        <v>910.27</v>
      </c>
      <c r="H348" s="262">
        <f t="shared" si="15"/>
        <v>1.5538196079566679E-2</v>
      </c>
      <c r="I348" s="262">
        <f t="shared" si="17"/>
        <v>98.869677530496205</v>
      </c>
      <c r="J348" s="257" t="str">
        <f t="shared" si="16"/>
        <v>C</v>
      </c>
    </row>
    <row r="349" spans="1:10" ht="14.25">
      <c r="A349" s="263">
        <v>96545</v>
      </c>
      <c r="B349" s="257" t="str">
        <f>VLOOKUP(A349,'3 - PLAN. ORÇAMENTÁRIA'!$B$16:$E$721,3,FALSE)</f>
        <v>SINAPI</v>
      </c>
      <c r="C349" s="264" t="s">
        <v>1224</v>
      </c>
      <c r="D349" s="257" t="str">
        <f>VLOOKUP(A349,'3 - PLAN. ORÇAMENTÁRIA'!$B$16:$E$721,4,FALSE)</f>
        <v>KG</v>
      </c>
      <c r="E349" s="266">
        <f>SUMIF('3 - PLAN. ORÇAMENTÁRIA'!$C$15:$C$721,C349,'3 - PLAN. ORÇAMENTÁRIA'!$F$15:$F$721)</f>
        <v>42</v>
      </c>
      <c r="F349" s="267">
        <f>VLOOKUP(A349,'3 - PLAN. ORÇAMENTÁRIA'!$B$16:$I$721,8,FALSE)</f>
        <v>21.38</v>
      </c>
      <c r="G349" s="267">
        <f>ROUND(E349*F349,2)</f>
        <v>897.96</v>
      </c>
      <c r="H349" s="262">
        <f t="shared" si="15"/>
        <v>1.5328065905289304E-2</v>
      </c>
      <c r="I349" s="262">
        <f t="shared" si="17"/>
        <v>98.885005596401498</v>
      </c>
      <c r="J349" s="257" t="str">
        <f t="shared" si="16"/>
        <v>C</v>
      </c>
    </row>
    <row r="350" spans="1:10" ht="14.25">
      <c r="A350" s="263" t="s">
        <v>2332</v>
      </c>
      <c r="B350" s="257" t="str">
        <f>VLOOKUP(A350,'3 - PLAN. ORÇAMENTÁRIA'!$B$16:$E$721,3,FALSE)</f>
        <v>PRÓPRIO</v>
      </c>
      <c r="C350" s="265" t="str">
        <f>VLOOKUP(A350,'3 - PLAN. ORÇAMENTÁRIA'!$B$16:$E$721,2,FALSE)</f>
        <v>CUBA DE EMBUTIR QUADRADA EM LOUÇA BRANCA, *30 x 30*CM, EXCLUSIVE TORNEIRA REF. 100852/SINAPI</v>
      </c>
      <c r="D350" s="257" t="str">
        <f>VLOOKUP(A350,'3 - PLAN. ORÇAMENTÁRIA'!$B$16:$E$721,4,FALSE)</f>
        <v>UN</v>
      </c>
      <c r="E350" s="266">
        <f>SUMIF('3 - PLAN. ORÇAMENTÁRIA'!$C$15:$C$721,C350,'3 - PLAN. ORÇAMENTÁRIA'!$F$15:$F$721)</f>
        <v>1</v>
      </c>
      <c r="F350" s="267">
        <f>VLOOKUP(A350,'3 - PLAN. ORÇAMENTÁRIA'!$B$16:$I$721,8,FALSE)</f>
        <v>890.15</v>
      </c>
      <c r="G350" s="267">
        <f>ROUND(E350*F350,2)</f>
        <v>890.15</v>
      </c>
      <c r="H350" s="262">
        <f t="shared" si="15"/>
        <v>1.5194750173274169E-2</v>
      </c>
      <c r="I350" s="262">
        <f t="shared" si="17"/>
        <v>98.900200346574778</v>
      </c>
      <c r="J350" s="257" t="str">
        <f t="shared" si="16"/>
        <v>C</v>
      </c>
    </row>
    <row r="351" spans="1:10" ht="14.25">
      <c r="A351" s="263" t="s">
        <v>1961</v>
      </c>
      <c r="B351" s="257" t="str">
        <f>VLOOKUP(A351,'3 - PLAN. ORÇAMENTÁRIA'!$B$16:$E$721,3,FALSE)</f>
        <v>PRÓPRIO</v>
      </c>
      <c r="C351" s="265" t="str">
        <f>VLOOKUP(A351,'3 - PLAN. ORÇAMENTÁRIA'!$B$16:$E$721,2,FALSE)</f>
        <v>SABONETEIRA TIPO DISPENSER, PARA REFIL DE 800 ML REF. 95545/SINAPI</v>
      </c>
      <c r="D351" s="257" t="str">
        <f>VLOOKUP(A351,'3 - PLAN. ORÇAMENTÁRIA'!$B$16:$E$721,4,FALSE)</f>
        <v>UN</v>
      </c>
      <c r="E351" s="266">
        <f>SUMIF('3 - PLAN. ORÇAMENTÁRIA'!$C$15:$C$721,C351,'3 - PLAN. ORÇAMENTÁRIA'!$F$15:$F$721)</f>
        <v>10</v>
      </c>
      <c r="F351" s="267">
        <f>VLOOKUP(A351,'3 - PLAN. ORÇAMENTÁRIA'!$B$16:$I$721,8,FALSE)</f>
        <v>87.39</v>
      </c>
      <c r="G351" s="267">
        <f>ROUND(E351*F351,2)</f>
        <v>873.9</v>
      </c>
      <c r="H351" s="262">
        <f t="shared" si="15"/>
        <v>1.4917364687327189E-2</v>
      </c>
      <c r="I351" s="262">
        <f t="shared" si="17"/>
        <v>98.915117711262099</v>
      </c>
      <c r="J351" s="257" t="str">
        <f t="shared" si="16"/>
        <v>C</v>
      </c>
    </row>
    <row r="352" spans="1:10" ht="14.25">
      <c r="A352" s="263" t="s">
        <v>2261</v>
      </c>
      <c r="B352" s="257" t="str">
        <f>VLOOKUP(A352,'3 - PLAN. ORÇAMENTÁRIA'!$B$16:$E$721,3,FALSE)</f>
        <v>PRÓPRIO</v>
      </c>
      <c r="C352" s="265" t="str">
        <f>VLOOKUP(A352,'3 - PLAN. ORÇAMENTÁRIA'!$B$16:$E$721,2,FALSE)</f>
        <v>FORNECIMENTO DE PEÇAS DIVERSAS PARA ESTRUTURA EM MADEIRA (BANCO EXTERNO) REF. 15.20.020/SP OBRAS</v>
      </c>
      <c r="D352" s="257" t="str">
        <f>VLOOKUP(A352,'3 - PLAN. ORÇAMENTÁRIA'!$B$16:$E$721,4,FALSE)</f>
        <v>M3</v>
      </c>
      <c r="E352" s="266">
        <f>SUMIF('3 - PLAN. ORÇAMENTÁRIA'!$C$15:$C$721,C352,'3 - PLAN. ORÇAMENTÁRIA'!$F$15:$F$721)</f>
        <v>0.12</v>
      </c>
      <c r="F352" s="267">
        <f>VLOOKUP(A352,'3 - PLAN. ORÇAMENTÁRIA'!$B$16:$I$721,8,FALSE)</f>
        <v>7273.86</v>
      </c>
      <c r="G352" s="267">
        <f>ROUND(E352*F352,2)</f>
        <v>872.86</v>
      </c>
      <c r="H352" s="262">
        <f t="shared" si="15"/>
        <v>1.4899612016226582E-2</v>
      </c>
      <c r="I352" s="262">
        <f t="shared" si="17"/>
        <v>98.930017323278321</v>
      </c>
      <c r="J352" s="257" t="str">
        <f t="shared" si="16"/>
        <v>C</v>
      </c>
    </row>
    <row r="353" spans="1:10" ht="28.5">
      <c r="A353" s="263">
        <v>37560</v>
      </c>
      <c r="B353" s="257" t="str">
        <f>VLOOKUP(A353,'3 - PLAN. ORÇAMENTÁRIA'!$B$16:$E$721,3,FALSE)</f>
        <v>SINAPI</v>
      </c>
      <c r="C353" s="264" t="s">
        <v>405</v>
      </c>
      <c r="D353" s="257" t="str">
        <f>VLOOKUP(A353,'3 - PLAN. ORÇAMENTÁRIA'!$B$16:$E$721,4,FALSE)</f>
        <v>UN</v>
      </c>
      <c r="E353" s="266">
        <f>SUMIF('3 - PLAN. ORÇAMENTÁRIA'!$C$15:$C$721,C353,'3 - PLAN. ORÇAMENTÁRIA'!$F$15:$F$721)</f>
        <v>14</v>
      </c>
      <c r="F353" s="267">
        <f>VLOOKUP(A353,'3 - PLAN. ORÇAMENTÁRIA'!$B$16:$I$721,8,FALSE)</f>
        <v>60.15</v>
      </c>
      <c r="G353" s="267">
        <f>ROUND(E353*F353,2)</f>
        <v>842.1</v>
      </c>
      <c r="H353" s="262">
        <f t="shared" si="15"/>
        <v>1.437454262867402E-2</v>
      </c>
      <c r="I353" s="262">
        <f t="shared" si="17"/>
        <v>98.944391865906994</v>
      </c>
      <c r="J353" s="257" t="str">
        <f t="shared" si="16"/>
        <v>C</v>
      </c>
    </row>
    <row r="354" spans="1:10" ht="14.25">
      <c r="A354" s="263">
        <v>91865</v>
      </c>
      <c r="B354" s="257" t="str">
        <f>VLOOKUP(A354,'3 - PLAN. ORÇAMENTÁRIA'!$B$16:$E$721,3,FALSE)</f>
        <v>SINAPI</v>
      </c>
      <c r="C354" s="264" t="s">
        <v>505</v>
      </c>
      <c r="D354" s="257" t="str">
        <f>VLOOKUP(A354,'3 - PLAN. ORÇAMENTÁRIA'!$B$16:$E$721,4,FALSE)</f>
        <v>M</v>
      </c>
      <c r="E354" s="266">
        <f>SUMIF('3 - PLAN. ORÇAMENTÁRIA'!$C$15:$C$721,C354,'3 - PLAN. ORÇAMENTÁRIA'!$F$15:$F$721)</f>
        <v>31.11</v>
      </c>
      <c r="F354" s="267">
        <f>VLOOKUP(A354,'3 - PLAN. ORÇAMENTÁRIA'!$B$16:$I$721,8,FALSE)</f>
        <v>26.93</v>
      </c>
      <c r="G354" s="267">
        <f>ROUND(E354*F354,2)</f>
        <v>837.79</v>
      </c>
      <c r="H354" s="262">
        <f t="shared" si="15"/>
        <v>1.4300971462862851E-2</v>
      </c>
      <c r="I354" s="262">
        <f t="shared" si="17"/>
        <v>98.958692837369853</v>
      </c>
      <c r="J354" s="257" t="str">
        <f t="shared" si="16"/>
        <v>C</v>
      </c>
    </row>
    <row r="355" spans="1:10" ht="28.5">
      <c r="A355" s="263">
        <v>90373</v>
      </c>
      <c r="B355" s="257" t="str">
        <f>VLOOKUP(A355,'3 - PLAN. ORÇAMENTÁRIA'!$B$16:$E$721,3,FALSE)</f>
        <v>SINAPI</v>
      </c>
      <c r="C355" s="264" t="s">
        <v>2287</v>
      </c>
      <c r="D355" s="257" t="str">
        <f>VLOOKUP(A355,'3 - PLAN. ORÇAMENTÁRIA'!$B$16:$E$721,4,FALSE)</f>
        <v>UN</v>
      </c>
      <c r="E355" s="266">
        <f>SUMIF('3 - PLAN. ORÇAMENTÁRIA'!$C$15:$C$721,C355,'3 - PLAN. ORÇAMENTÁRIA'!$F$15:$F$721)</f>
        <v>49</v>
      </c>
      <c r="F355" s="267">
        <f>VLOOKUP(A355,'3 - PLAN. ORÇAMENTÁRIA'!$B$16:$I$721,8,FALSE)</f>
        <v>17.09</v>
      </c>
      <c r="G355" s="267">
        <f>ROUND(E355*F355,2)</f>
        <v>837.41</v>
      </c>
      <c r="H355" s="262">
        <f t="shared" si="15"/>
        <v>1.4294484909960705E-2</v>
      </c>
      <c r="I355" s="262">
        <f t="shared" si="17"/>
        <v>98.97298732227982</v>
      </c>
      <c r="J355" s="257" t="str">
        <f t="shared" si="16"/>
        <v>C</v>
      </c>
    </row>
    <row r="356" spans="1:10" ht="28.5">
      <c r="A356" s="263">
        <v>92029</v>
      </c>
      <c r="B356" s="257" t="str">
        <f>VLOOKUP(A356,'3 - PLAN. ORÇAMENTÁRIA'!$B$16:$E$721,3,FALSE)</f>
        <v>SINAPI</v>
      </c>
      <c r="C356" s="264" t="s">
        <v>558</v>
      </c>
      <c r="D356" s="257" t="str">
        <f>VLOOKUP(A356,'3 - PLAN. ORÇAMENTÁRIA'!$B$16:$E$721,4,FALSE)</f>
        <v>UN</v>
      </c>
      <c r="E356" s="266">
        <f>SUMIF('3 - PLAN. ORÇAMENTÁRIA'!$C$15:$C$721,C356,'3 - PLAN. ORÇAMENTÁRIA'!$F$15:$F$721)</f>
        <v>10</v>
      </c>
      <c r="F356" s="267">
        <f>VLOOKUP(A356,'3 - PLAN. ORÇAMENTÁRIA'!$B$16:$I$721,8,FALSE)</f>
        <v>83.37</v>
      </c>
      <c r="G356" s="267">
        <f>ROUND(E356*F356,2)</f>
        <v>833.7</v>
      </c>
      <c r="H356" s="262">
        <f t="shared" si="15"/>
        <v>1.4231155669784503E-2</v>
      </c>
      <c r="I356" s="262">
        <f t="shared" si="17"/>
        <v>98.987218477949611</v>
      </c>
      <c r="J356" s="257" t="str">
        <f t="shared" si="16"/>
        <v>C</v>
      </c>
    </row>
    <row r="357" spans="1:10" ht="14.25">
      <c r="A357" s="263" t="s">
        <v>1922</v>
      </c>
      <c r="B357" s="257" t="str">
        <f>VLOOKUP(A357,'3 - PLAN. ORÇAMENTÁRIA'!$B$16:$E$721,3,FALSE)</f>
        <v>PRÓPRIO</v>
      </c>
      <c r="C357" s="265" t="str">
        <f>VLOOKUP(A357,'3 - PLAN. ORÇAMENTÁRIA'!$B$16:$E$721,2,FALSE)</f>
        <v>BARRA DE APOIO LATERAL EM "U", EM AÇO INOX 1.1/4 - 30 CM REF. 230178/GOINFRA CIVIL</v>
      </c>
      <c r="D357" s="257" t="str">
        <f>VLOOKUP(A357,'3 - PLAN. ORÇAMENTÁRIA'!$B$16:$E$721,4,FALSE)</f>
        <v>UN</v>
      </c>
      <c r="E357" s="266">
        <f>SUMIF('3 - PLAN. ORÇAMENTÁRIA'!$C$15:$C$721,C357,'3 - PLAN. ORÇAMENTÁRIA'!$F$15:$F$721)</f>
        <v>4</v>
      </c>
      <c r="F357" s="267">
        <f>VLOOKUP(A357,'3 - PLAN. ORÇAMENTÁRIA'!$B$16:$I$721,8,FALSE)</f>
        <v>206.98</v>
      </c>
      <c r="G357" s="267">
        <f>ROUND(E357*F357,2)</f>
        <v>827.92</v>
      </c>
      <c r="H357" s="262">
        <f t="shared" si="15"/>
        <v>1.4132491786167668E-2</v>
      </c>
      <c r="I357" s="262">
        <f t="shared" si="17"/>
        <v>99.001350969735782</v>
      </c>
      <c r="J357" s="257" t="str">
        <f t="shared" si="16"/>
        <v>C</v>
      </c>
    </row>
    <row r="358" spans="1:10" ht="14.25">
      <c r="A358" s="263" t="s">
        <v>1998</v>
      </c>
      <c r="B358" s="257" t="str">
        <f>VLOOKUP(A358,'3 - PLAN. ORÇAMENTÁRIA'!$B$16:$E$721,3,FALSE)</f>
        <v>PRÓPRIO</v>
      </c>
      <c r="C358" s="265" t="str">
        <f>VLOOKUP(A358,'3 - PLAN. ORÇAMENTÁRIA'!$B$16:$E$721,2,FALSE)</f>
        <v>RÉGUA COM 8 TOMADAS 2P+T 250 V, COM CABO TIPO FILTRO DE LINHA REF. P.13.000.030526/SP OBRAS</v>
      </c>
      <c r="D358" s="257" t="str">
        <f>VLOOKUP(A358,'3 - PLAN. ORÇAMENTÁRIA'!$B$16:$E$721,4,FALSE)</f>
        <v>UN</v>
      </c>
      <c r="E358" s="266">
        <f>SUMIF('3 - PLAN. ORÇAMENTÁRIA'!$C$15:$C$721,C358,'3 - PLAN. ORÇAMENTÁRIA'!$F$15:$F$721)</f>
        <v>7</v>
      </c>
      <c r="F358" s="267">
        <f>VLOOKUP(A358,'3 - PLAN. ORÇAMENTÁRIA'!$B$16:$I$721,8,FALSE)</f>
        <v>118.08</v>
      </c>
      <c r="G358" s="267">
        <f>ROUND(E358*F358,2)</f>
        <v>826.56</v>
      </c>
      <c r="H358" s="262">
        <f t="shared" si="15"/>
        <v>1.4109276754728414E-2</v>
      </c>
      <c r="I358" s="262">
        <f t="shared" si="17"/>
        <v>99.015460246490505</v>
      </c>
      <c r="J358" s="257" t="str">
        <f t="shared" si="16"/>
        <v>C</v>
      </c>
    </row>
    <row r="359" spans="1:10" ht="14.25">
      <c r="A359" s="263">
        <v>102501</v>
      </c>
      <c r="B359" s="257" t="str">
        <f>VLOOKUP(A359,'3 - PLAN. ORÇAMENTÁRIA'!$B$16:$E$721,3,FALSE)</f>
        <v>SINAPI</v>
      </c>
      <c r="C359" s="264" t="s">
        <v>3252</v>
      </c>
      <c r="D359" s="257" t="str">
        <f>VLOOKUP(A359,'3 - PLAN. ORÇAMENTÁRIA'!$B$16:$E$721,4,FALSE)</f>
        <v>M2</v>
      </c>
      <c r="E359" s="266">
        <f>SUMIF('3 - PLAN. ORÇAMENTÁRIA'!$C$15:$C$721,C359,'3 - PLAN. ORÇAMENTÁRIA'!$F$15:$F$721)</f>
        <v>24.16</v>
      </c>
      <c r="F359" s="267">
        <f>VLOOKUP(A359,'3 - PLAN. ORÇAMENTÁRIA'!$B$16:$I$721,8,FALSE)</f>
        <v>33.78</v>
      </c>
      <c r="G359" s="267">
        <f>ROUND(E359*F359,2)</f>
        <v>816.12</v>
      </c>
      <c r="H359" s="262">
        <f t="shared" si="15"/>
        <v>1.3931067248680014E-2</v>
      </c>
      <c r="I359" s="262">
        <f t="shared" si="17"/>
        <v>99.029391313739183</v>
      </c>
      <c r="J359" s="257" t="str">
        <f t="shared" si="16"/>
        <v>C</v>
      </c>
    </row>
    <row r="360" spans="1:10" ht="14.25">
      <c r="A360" s="263" t="s">
        <v>3941</v>
      </c>
      <c r="B360" s="257" t="str">
        <f>VLOOKUP(A360,'3 - PLAN. ORÇAMENTÁRIA'!$B$16:$E$721,3,FALSE)</f>
        <v>COTAÇÃO</v>
      </c>
      <c r="C360" s="265" t="str">
        <f>VLOOKUP(A360,'3 - PLAN. ORÇAMENTÁRIA'!$B$16:$E$721,2,FALSE)</f>
        <v>PLANTIO DE ARBUSTO AGAPANTUS - CONFORME PROJETO DE PAISAGISMO</v>
      </c>
      <c r="D360" s="257" t="str">
        <f>VLOOKUP(A360,'3 - PLAN. ORÇAMENTÁRIA'!$B$16:$E$721,4,FALSE)</f>
        <v>UN</v>
      </c>
      <c r="E360" s="266">
        <f>SUMIF('3 - PLAN. ORÇAMENTÁRIA'!$C$15:$C$721,C360,'3 - PLAN. ORÇAMENTÁRIA'!$F$15:$F$721)</f>
        <v>53</v>
      </c>
      <c r="F360" s="267">
        <f>VLOOKUP(A360,'3 - PLAN. ORÇAMENTÁRIA'!$B$16:$I$721,8,FALSE)</f>
        <v>15.28</v>
      </c>
      <c r="G360" s="267">
        <f>ROUND(E360*F360,2)</f>
        <v>809.84</v>
      </c>
      <c r="H360" s="262">
        <f t="shared" si="15"/>
        <v>1.3823868427034043E-2</v>
      </c>
      <c r="I360" s="262">
        <f t="shared" si="17"/>
        <v>99.043215182166222</v>
      </c>
      <c r="J360" s="257" t="str">
        <f t="shared" si="16"/>
        <v>C</v>
      </c>
    </row>
    <row r="361" spans="1:10" ht="14.25">
      <c r="A361" s="263" t="s">
        <v>1985</v>
      </c>
      <c r="B361" s="257" t="str">
        <f>VLOOKUP(A361,'3 - PLAN. ORÇAMENTÁRIA'!$B$16:$E$721,3,FALSE)</f>
        <v>PRÓPRIO</v>
      </c>
      <c r="C361" s="265" t="str">
        <f>VLOOKUP(A361,'3 - PLAN. ORÇAMENTÁRIA'!$B$16:$E$721,2,FALSE)</f>
        <v>TERMINAL DE PRESSÃO/COMPRESSÃO PARA CABO DE 16 MM² REF. 39.10.080/SP OBRAS</v>
      </c>
      <c r="D361" s="257" t="str">
        <f>VLOOKUP(A361,'3 - PLAN. ORÇAMENTÁRIA'!$B$16:$E$721,4,FALSE)</f>
        <v>UN</v>
      </c>
      <c r="E361" s="266">
        <f>SUMIF('3 - PLAN. ORÇAMENTÁRIA'!$C$15:$C$721,C361,'3 - PLAN. ORÇAMENTÁRIA'!$F$15:$F$721)</f>
        <v>35</v>
      </c>
      <c r="F361" s="267">
        <f>VLOOKUP(A361,'3 - PLAN. ORÇAMENTÁRIA'!$B$16:$I$721,8,FALSE)</f>
        <v>22.8</v>
      </c>
      <c r="G361" s="267">
        <f>ROUND(E361*F361,2)</f>
        <v>798</v>
      </c>
      <c r="H361" s="262">
        <f t="shared" si="15"/>
        <v>1.3621761094504059E-2</v>
      </c>
      <c r="I361" s="262">
        <f t="shared" si="17"/>
        <v>99.05683694326072</v>
      </c>
      <c r="J361" s="257" t="str">
        <f t="shared" si="16"/>
        <v>C</v>
      </c>
    </row>
    <row r="362" spans="1:10" ht="28.5">
      <c r="A362" s="263">
        <v>103014</v>
      </c>
      <c r="B362" s="257" t="str">
        <f>VLOOKUP(A362,'3 - PLAN. ORÇAMENTÁRIA'!$B$16:$E$721,3,FALSE)</f>
        <v>SINAPI</v>
      </c>
      <c r="C362" s="265" t="s">
        <v>4111</v>
      </c>
      <c r="D362" s="257" t="str">
        <f>VLOOKUP(A362,'3 - PLAN. ORÇAMENTÁRIA'!$B$16:$E$721,4,FALSE)</f>
        <v>UN</v>
      </c>
      <c r="E362" s="266">
        <f>SUMIF('3 - PLAN. ORÇAMENTÁRIA'!$C$15:$C$721,C362,'3 - PLAN. ORÇAMENTÁRIA'!$F$15:$F$721)</f>
        <v>3</v>
      </c>
      <c r="F362" s="267">
        <f>VLOOKUP(A362,'3 - PLAN. ORÇAMENTÁRIA'!$B$16:$I$721,8,FALSE)</f>
        <v>265.38</v>
      </c>
      <c r="G362" s="267">
        <f>ROUND(E362*F362,2)</f>
        <v>796.14</v>
      </c>
      <c r="H362" s="262">
        <f t="shared" si="15"/>
        <v>1.3590011125035665E-2</v>
      </c>
      <c r="I362" s="262">
        <f t="shared" si="17"/>
        <v>99.070426954385752</v>
      </c>
      <c r="J362" s="257" t="str">
        <f t="shared" si="16"/>
        <v>C</v>
      </c>
    </row>
    <row r="363" spans="1:10" ht="28.5">
      <c r="A363" s="263">
        <v>89797</v>
      </c>
      <c r="B363" s="257" t="str">
        <f>VLOOKUP(A363,'3 - PLAN. ORÇAMENTÁRIA'!$B$16:$E$721,3,FALSE)</f>
        <v>SINAPI</v>
      </c>
      <c r="C363" s="264" t="s">
        <v>491</v>
      </c>
      <c r="D363" s="257" t="str">
        <f>VLOOKUP(A363,'3 - PLAN. ORÇAMENTÁRIA'!$B$16:$E$721,4,FALSE)</f>
        <v>UN</v>
      </c>
      <c r="E363" s="266">
        <f>SUMIF('3 - PLAN. ORÇAMENTÁRIA'!$C$15:$C$721,C363,'3 - PLAN. ORÇAMENTÁRIA'!$F$15:$F$721)</f>
        <v>12</v>
      </c>
      <c r="F363" s="267">
        <f>VLOOKUP(A363,'3 - PLAN. ORÇAMENTÁRIA'!$B$16:$I$721,8,FALSE)</f>
        <v>65.56</v>
      </c>
      <c r="G363" s="267">
        <f>ROUND(E363*F363,2)</f>
        <v>786.72</v>
      </c>
      <c r="H363" s="262">
        <f t="shared" si="15"/>
        <v>1.3429212892566707E-2</v>
      </c>
      <c r="I363" s="262">
        <f t="shared" si="17"/>
        <v>99.083856167278313</v>
      </c>
      <c r="J363" s="257" t="str">
        <f t="shared" si="16"/>
        <v>C</v>
      </c>
    </row>
    <row r="364" spans="1:10" ht="14.25">
      <c r="A364" s="263">
        <v>101894</v>
      </c>
      <c r="B364" s="257" t="str">
        <f>VLOOKUP(A364,'3 - PLAN. ORÇAMENTÁRIA'!$B$16:$E$721,3,FALSE)</f>
        <v>SINAPI</v>
      </c>
      <c r="C364" s="264" t="s">
        <v>529</v>
      </c>
      <c r="D364" s="257" t="str">
        <f>VLOOKUP(A364,'3 - PLAN. ORÇAMENTÁRIA'!$B$16:$E$721,4,FALSE)</f>
        <v>UN</v>
      </c>
      <c r="E364" s="266">
        <f>SUMIF('3 - PLAN. ORÇAMENTÁRIA'!$C$15:$C$721,C364,'3 - PLAN. ORÇAMENTÁRIA'!$F$15:$F$721)</f>
        <v>3</v>
      </c>
      <c r="F364" s="267">
        <f>VLOOKUP(A364,'3 - PLAN. ORÇAMENTÁRIA'!$B$16:$I$721,8,FALSE)</f>
        <v>260.2</v>
      </c>
      <c r="G364" s="267">
        <f>ROUND(E364*F364,2)</f>
        <v>780.6</v>
      </c>
      <c r="H364" s="262">
        <f t="shared" si="15"/>
        <v>1.3324745251090059E-2</v>
      </c>
      <c r="I364" s="262">
        <f t="shared" si="17"/>
        <v>99.097180912529396</v>
      </c>
      <c r="J364" s="257" t="str">
        <f t="shared" si="16"/>
        <v>C</v>
      </c>
    </row>
    <row r="365" spans="1:10" ht="28.5">
      <c r="A365" s="263">
        <v>98511</v>
      </c>
      <c r="B365" s="257" t="str">
        <f>VLOOKUP(A365,'3 - PLAN. ORÇAMENTÁRIA'!$B$16:$E$721,3,FALSE)</f>
        <v>SINAPI</v>
      </c>
      <c r="C365" s="264" t="s">
        <v>2214</v>
      </c>
      <c r="D365" s="257" t="str">
        <f>VLOOKUP(A365,'3 - PLAN. ORÇAMENTÁRIA'!$B$16:$E$721,4,FALSE)</f>
        <v>UN</v>
      </c>
      <c r="E365" s="266">
        <f>SUMIF('3 - PLAN. ORÇAMENTÁRIA'!$C$15:$C$721,C365,'3 - PLAN. ORÇAMENTÁRIA'!$F$15:$F$721)</f>
        <v>4</v>
      </c>
      <c r="F365" s="267">
        <f>VLOOKUP(A365,'3 - PLAN. ORÇAMENTÁRIA'!$B$16:$I$721,8,FALSE)</f>
        <v>192.87</v>
      </c>
      <c r="G365" s="267">
        <f>ROUND(E365*F365,2)</f>
        <v>771.48</v>
      </c>
      <c r="H365" s="262">
        <f t="shared" si="15"/>
        <v>1.3169067981438584E-2</v>
      </c>
      <c r="I365" s="262">
        <f t="shared" si="17"/>
        <v>99.110349980510833</v>
      </c>
      <c r="J365" s="257" t="str">
        <f t="shared" si="16"/>
        <v>C</v>
      </c>
    </row>
    <row r="366" spans="1:10" ht="28.5">
      <c r="A366" s="263">
        <v>95648</v>
      </c>
      <c r="B366" s="257" t="str">
        <f>VLOOKUP(A366,'3 - PLAN. ORÇAMENTÁRIA'!$B$16:$E$721,3,FALSE)</f>
        <v>SINAPI</v>
      </c>
      <c r="C366" s="264" t="s">
        <v>146</v>
      </c>
      <c r="D366" s="257" t="str">
        <f>VLOOKUP(A366,'3 - PLAN. ORÇAMENTÁRIA'!$B$16:$E$721,4,FALSE)</f>
        <v>UN</v>
      </c>
      <c r="E366" s="266">
        <f>SUMIF('3 - PLAN. ORÇAMENTÁRIA'!$C$15:$C$721,C366,'3 - PLAN. ORÇAMENTÁRIA'!$F$15:$F$721)</f>
        <v>1</v>
      </c>
      <c r="F366" s="267">
        <f>VLOOKUP(A366,'3 - PLAN. ORÇAMENTÁRIA'!$B$16:$I$721,8,FALSE)</f>
        <v>750.35</v>
      </c>
      <c r="G366" s="267">
        <f>ROUND(E366*F366,2)</f>
        <v>750.35</v>
      </c>
      <c r="H366" s="262">
        <f t="shared" si="15"/>
        <v>1.2808381500327218E-2</v>
      </c>
      <c r="I366" s="262">
        <f t="shared" si="17"/>
        <v>99.123158362011154</v>
      </c>
      <c r="J366" s="257" t="str">
        <f t="shared" si="16"/>
        <v>C</v>
      </c>
    </row>
    <row r="367" spans="1:10" ht="14.25">
      <c r="A367" s="263" t="s">
        <v>4140</v>
      </c>
      <c r="B367" s="257" t="str">
        <f>VLOOKUP(A367,'3 - PLAN. ORÇAMENTÁRIA'!$B$16:$E$721,3,FALSE)</f>
        <v>COTAÇÃO</v>
      </c>
      <c r="C367" s="265" t="str">
        <f>VLOOKUP(A367,'3 - PLAN. ORÇAMENTÁRIA'!$B$16:$E$721,2,FALSE)</f>
        <v>PLANTIO DE ARBUSTOS HEMEROCALLIS - CONFORME PROJETO DE PAISAGISMO</v>
      </c>
      <c r="D367" s="257" t="str">
        <f>VLOOKUP(A367,'3 - PLAN. ORÇAMENTÁRIA'!$B$16:$E$721,4,FALSE)</f>
        <v>UN</v>
      </c>
      <c r="E367" s="266">
        <f>SUMIF('3 - PLAN. ORÇAMENTÁRIA'!$C$15:$C$721,C367,'3 - PLAN. ORÇAMENTÁRIA'!$F$15:$F$721)</f>
        <v>121</v>
      </c>
      <c r="F367" s="267">
        <f>VLOOKUP(A367,'3 - PLAN. ORÇAMENTÁRIA'!$B$16:$I$721,8,FALSE)</f>
        <v>6.11</v>
      </c>
      <c r="G367" s="267">
        <f>ROUND(E367*F367,2)</f>
        <v>739.31</v>
      </c>
      <c r="H367" s="262">
        <f t="shared" si="15"/>
        <v>1.2619930068643854E-2</v>
      </c>
      <c r="I367" s="262">
        <f t="shared" si="17"/>
        <v>99.135778292079792</v>
      </c>
      <c r="J367" s="257" t="str">
        <f t="shared" si="16"/>
        <v>C</v>
      </c>
    </row>
    <row r="368" spans="1:10" ht="14.25">
      <c r="A368" s="263">
        <v>104004</v>
      </c>
      <c r="B368" s="257" t="str">
        <f>VLOOKUP(A368,'3 - PLAN. ORÇAMENTÁRIA'!$B$16:$E$721,3,FALSE)</f>
        <v>SINAPI</v>
      </c>
      <c r="C368" s="264" t="s">
        <v>478</v>
      </c>
      <c r="D368" s="257" t="str">
        <f>VLOOKUP(A368,'3 - PLAN. ORÇAMENTÁRIA'!$B$16:$E$721,4,FALSE)</f>
        <v>UN</v>
      </c>
      <c r="E368" s="266">
        <f>SUMIF('3 - PLAN. ORÇAMENTÁRIA'!$C$15:$C$721,C368,'3 - PLAN. ORÇAMENTÁRIA'!$F$15:$F$721)</f>
        <v>19</v>
      </c>
      <c r="F368" s="267">
        <f>VLOOKUP(A368,'3 - PLAN. ORÇAMENTÁRIA'!$B$16:$I$721,8,FALSE)</f>
        <v>38.82</v>
      </c>
      <c r="G368" s="267">
        <f>ROUND(E368*F368,2)</f>
        <v>737.58</v>
      </c>
      <c r="H368" s="262">
        <f t="shared" si="15"/>
        <v>1.2590399183063036E-2</v>
      </c>
      <c r="I368" s="262">
        <f t="shared" si="17"/>
        <v>99.14836869126286</v>
      </c>
      <c r="J368" s="257" t="str">
        <f t="shared" si="16"/>
        <v>C</v>
      </c>
    </row>
    <row r="369" spans="1:10" ht="28.5">
      <c r="A369" s="263">
        <v>95796</v>
      </c>
      <c r="B369" s="257" t="str">
        <f>VLOOKUP(A369,'3 - PLAN. ORÇAMENTÁRIA'!$B$16:$E$721,3,FALSE)</f>
        <v>SINAPI</v>
      </c>
      <c r="C369" s="264" t="s">
        <v>2667</v>
      </c>
      <c r="D369" s="257" t="str">
        <f>VLOOKUP(A369,'3 - PLAN. ORÇAMENTÁRIA'!$B$16:$E$721,4,FALSE)</f>
        <v>UN</v>
      </c>
      <c r="E369" s="266">
        <f>SUMIF('3 - PLAN. ORÇAMENTÁRIA'!$C$15:$C$721,C369,'3 - PLAN. ORÇAMENTÁRIA'!$F$15:$F$721)</f>
        <v>13</v>
      </c>
      <c r="F369" s="267">
        <f>VLOOKUP(A369,'3 - PLAN. ORÇAMENTÁRIA'!$B$16:$I$721,8,FALSE)</f>
        <v>56.66</v>
      </c>
      <c r="G369" s="267">
        <f>ROUND(E369*F369,2)</f>
        <v>736.58</v>
      </c>
      <c r="H369" s="262">
        <f t="shared" si="15"/>
        <v>1.2573329307004761E-2</v>
      </c>
      <c r="I369" s="262">
        <f t="shared" si="17"/>
        <v>99.160942020569863</v>
      </c>
      <c r="J369" s="257" t="str">
        <f t="shared" si="16"/>
        <v>C</v>
      </c>
    </row>
    <row r="370" spans="1:10" ht="14.25">
      <c r="A370" s="263" t="s">
        <v>4122</v>
      </c>
      <c r="B370" s="257" t="str">
        <f>VLOOKUP(A370,'3 - PLAN. ORÇAMENTÁRIA'!$B$16:$E$721,3,FALSE)</f>
        <v>PRÓPRIO</v>
      </c>
      <c r="C370" s="265" t="str">
        <f>VLOOKUP(A370,'3 - PLAN. ORÇAMENTÁRIA'!$B$16:$E$721,2,FALSE)</f>
        <v>PORTA DE SHAFT EM PLACA MDF 6MM REF. S08856/ORSE</v>
      </c>
      <c r="D370" s="257" t="str">
        <f>VLOOKUP(A370,'3 - PLAN. ORÇAMENTÁRIA'!$B$16:$E$721,4,FALSE)</f>
        <v>M2</v>
      </c>
      <c r="E370" s="266">
        <f>SUMIF('3 - PLAN. ORÇAMENTÁRIA'!$C$15:$C$721,C370,'3 - PLAN. ORÇAMENTÁRIA'!$F$15:$F$721)</f>
        <v>5.93</v>
      </c>
      <c r="F370" s="267">
        <f>VLOOKUP(A370,'3 - PLAN. ORÇAMENTÁRIA'!$B$16:$I$721,8,FALSE)</f>
        <v>118.93</v>
      </c>
      <c r="G370" s="267">
        <f>ROUND(E370*F370,2)</f>
        <v>705.25</v>
      </c>
      <c r="H370" s="262">
        <f t="shared" si="15"/>
        <v>1.2038530090098981E-2</v>
      </c>
      <c r="I370" s="262">
        <f t="shared" si="17"/>
        <v>99.172980550659958</v>
      </c>
      <c r="J370" s="257" t="str">
        <f t="shared" si="16"/>
        <v>C</v>
      </c>
    </row>
    <row r="371" spans="1:10" ht="28.5">
      <c r="A371" s="263" t="s">
        <v>2952</v>
      </c>
      <c r="B371" s="257" t="str">
        <f>VLOOKUP(A371,'3 - PLAN. ORÇAMENTÁRIA'!$B$16:$E$721,3,FALSE)</f>
        <v>PRÓPRIO</v>
      </c>
      <c r="C371" s="265" t="str">
        <f>VLOOKUP(A371,'3 - PLAN. ORÇAMENTÁRIA'!$B$16:$E$721,2,FALSE)</f>
        <v>PISO PODOTÁTIL DE ALERTA OU DIRECIONAL, DE CONCRETO, *25 X 25* CM, ASSENTADO SOBRE ARGAMASSA. AF_03/2024 REF. 104658/SINAPI</v>
      </c>
      <c r="D371" s="257" t="str">
        <f>VLOOKUP(A371,'3 - PLAN. ORÇAMENTÁRIA'!$B$16:$E$721,4,FALSE)</f>
        <v>M2</v>
      </c>
      <c r="E371" s="266">
        <f>SUMIF('3 - PLAN. ORÇAMENTÁRIA'!$C$15:$C$721,C371,'3 - PLAN. ORÇAMENTÁRIA'!$F$15:$F$721)</f>
        <v>3.38</v>
      </c>
      <c r="F371" s="267">
        <f>VLOOKUP(A371,'3 - PLAN. ORÇAMENTÁRIA'!$B$16:$I$721,8,FALSE)</f>
        <v>208.53</v>
      </c>
      <c r="G371" s="267">
        <f>ROUND(E371*F371,2)</f>
        <v>704.83</v>
      </c>
      <c r="H371" s="262">
        <f t="shared" si="15"/>
        <v>1.2031360742154506E-2</v>
      </c>
      <c r="I371" s="262">
        <f t="shared" si="17"/>
        <v>99.185011911402114</v>
      </c>
      <c r="J371" s="257" t="str">
        <f t="shared" si="16"/>
        <v>C</v>
      </c>
    </row>
    <row r="372" spans="1:10" ht="14.25">
      <c r="A372" s="263" t="s">
        <v>4080</v>
      </c>
      <c r="B372" s="257" t="str">
        <f>VLOOKUP(A372,'3 - PLAN. ORÇAMENTÁRIA'!$B$16:$E$721,3,FALSE)</f>
        <v>PRÓPRIO</v>
      </c>
      <c r="C372" s="265" t="str">
        <f>VLOOKUP(A372,'3 - PLAN. ORÇAMENTÁRIA'!$B$16:$E$721,2,FALSE)</f>
        <v>SUPORTE MÃO FRANCESA EM PERFIL TREFILADO "T" (32X32X3,2MM) REF. 100862/SINAPI</v>
      </c>
      <c r="D372" s="257" t="str">
        <f>VLOOKUP(A372,'3 - PLAN. ORÇAMENTÁRIA'!$B$16:$E$721,4,FALSE)</f>
        <v>UN</v>
      </c>
      <c r="E372" s="266">
        <f>SUMIF('3 - PLAN. ORÇAMENTÁRIA'!$C$15:$C$721,C372,'3 - PLAN. ORÇAMENTÁRIA'!$F$15:$F$721)</f>
        <v>7</v>
      </c>
      <c r="F372" s="267">
        <f>VLOOKUP(A372,'3 - PLAN. ORÇAMENTÁRIA'!$B$16:$I$721,8,FALSE)</f>
        <v>100.64</v>
      </c>
      <c r="G372" s="267">
        <f>ROUND(E372*F372,2)</f>
        <v>704.48</v>
      </c>
      <c r="H372" s="262">
        <f t="shared" si="15"/>
        <v>1.2025386285534109E-2</v>
      </c>
      <c r="I372" s="262">
        <f t="shared" si="17"/>
        <v>99.197037297687643</v>
      </c>
      <c r="J372" s="257" t="str">
        <f t="shared" si="16"/>
        <v>C</v>
      </c>
    </row>
    <row r="373" spans="1:10" ht="14.25">
      <c r="A373" s="263" t="s">
        <v>3259</v>
      </c>
      <c r="B373" s="257" t="str">
        <f>VLOOKUP(A373,'3 - PLAN. ORÇAMENTÁRIA'!$B$16:$E$721,3,FALSE)</f>
        <v>PRÓPRIO</v>
      </c>
      <c r="C373" s="265" t="str">
        <f>VLOOKUP(A373,'3 - PLAN. ORÇAMENTÁRIA'!$B$16:$E$721,2,FALSE)</f>
        <v>LUMINÁRIA PLAFON (EMBUTIR) - 24 W REF. 103788/SINAPI</v>
      </c>
      <c r="D373" s="257" t="str">
        <f>VLOOKUP(A373,'3 - PLAN. ORÇAMENTÁRIA'!$B$16:$E$721,4,FALSE)</f>
        <v>UN</v>
      </c>
      <c r="E373" s="266">
        <f>SUMIF('3 - PLAN. ORÇAMENTÁRIA'!$C$15:$C$721,C373,'3 - PLAN. ORÇAMENTÁRIA'!$F$15:$F$721)</f>
        <v>6</v>
      </c>
      <c r="F373" s="267">
        <f>VLOOKUP(A373,'3 - PLAN. ORÇAMENTÁRIA'!$B$16:$I$721,8,FALSE)</f>
        <v>117.24</v>
      </c>
      <c r="G373" s="267">
        <f>ROUND(E373*F373,2)</f>
        <v>703.44</v>
      </c>
      <c r="H373" s="262">
        <f t="shared" si="15"/>
        <v>1.2007633614433503E-2</v>
      </c>
      <c r="I373" s="262">
        <f t="shared" si="17"/>
        <v>99.209044931302074</v>
      </c>
      <c r="J373" s="257" t="str">
        <f t="shared" si="16"/>
        <v>C</v>
      </c>
    </row>
    <row r="374" spans="1:10" ht="14.25">
      <c r="A374" s="263">
        <v>99826</v>
      </c>
      <c r="B374" s="257" t="str">
        <f>VLOOKUP(A374,'3 - PLAN. ORÇAMENTÁRIA'!$B$16:$E$721,3,FALSE)</f>
        <v>SINAPI</v>
      </c>
      <c r="C374" s="264" t="s">
        <v>2627</v>
      </c>
      <c r="D374" s="257" t="str">
        <f>VLOOKUP(A374,'3 - PLAN. ORÇAMENTÁRIA'!$B$16:$E$721,4,FALSE)</f>
        <v>M2</v>
      </c>
      <c r="E374" s="266">
        <f>SUMIF('3 - PLAN. ORÇAMENTÁRIA'!$C$15:$C$721,C374,'3 - PLAN. ORÇAMENTÁRIA'!$F$15:$F$721)</f>
        <v>335.16</v>
      </c>
      <c r="F374" s="267">
        <f>VLOOKUP(A374,'3 - PLAN. ORÇAMENTÁRIA'!$B$16:$I$721,8,FALSE)</f>
        <v>2.09</v>
      </c>
      <c r="G374" s="267">
        <f>ROUND(E374*F374,2)</f>
        <v>700.48</v>
      </c>
      <c r="H374" s="262">
        <f t="shared" si="15"/>
        <v>1.1957106781301005E-2</v>
      </c>
      <c r="I374" s="262">
        <f t="shared" si="17"/>
        <v>99.22100203808337</v>
      </c>
      <c r="J374" s="257" t="str">
        <f t="shared" si="16"/>
        <v>C</v>
      </c>
    </row>
    <row r="375" spans="1:10" ht="14.25">
      <c r="A375" s="263" t="s">
        <v>1987</v>
      </c>
      <c r="B375" s="257" t="str">
        <f>VLOOKUP(A375,'3 - PLAN. ORÇAMENTÁRIA'!$B$16:$E$721,3,FALSE)</f>
        <v>PRÓPRIO</v>
      </c>
      <c r="C375" s="265" t="str">
        <f>VLOOKUP(A375,'3 - PLAN. ORÇAMENTÁRIA'!$B$16:$E$721,2,FALSE)</f>
        <v>CAPTOR TIPO TERMINAL AÉREO, H= 300 MM EM ALUMÍNIO REF. 42.01.086/SP OBRAS</v>
      </c>
      <c r="D375" s="257" t="str">
        <f>VLOOKUP(A375,'3 - PLAN. ORÇAMENTÁRIA'!$B$16:$E$721,4,FALSE)</f>
        <v>UN</v>
      </c>
      <c r="E375" s="266">
        <f>SUMIF('3 - PLAN. ORÇAMENTÁRIA'!$C$15:$C$721,C375,'3 - PLAN. ORÇAMENTÁRIA'!$F$15:$F$721)</f>
        <v>31</v>
      </c>
      <c r="F375" s="267">
        <f>VLOOKUP(A375,'3 - PLAN. ORÇAMENTÁRIA'!$B$16:$I$721,8,FALSE)</f>
        <v>22.5</v>
      </c>
      <c r="G375" s="267">
        <f>ROUND(E375*F375,2)</f>
        <v>697.5</v>
      </c>
      <c r="H375" s="262">
        <f t="shared" si="15"/>
        <v>1.1906238550647343E-2</v>
      </c>
      <c r="I375" s="262">
        <f t="shared" si="17"/>
        <v>99.232908276634021</v>
      </c>
      <c r="J375" s="257" t="str">
        <f t="shared" si="16"/>
        <v>C</v>
      </c>
    </row>
    <row r="376" spans="1:10" ht="14.25">
      <c r="A376" s="263">
        <v>89801</v>
      </c>
      <c r="B376" s="257" t="str">
        <f>VLOOKUP(A376,'3 - PLAN. ORÇAMENTÁRIA'!$B$16:$E$721,3,FALSE)</f>
        <v>SINAPI</v>
      </c>
      <c r="C376" s="264" t="s">
        <v>493</v>
      </c>
      <c r="D376" s="257" t="str">
        <f>VLOOKUP(A376,'3 - PLAN. ORÇAMENTÁRIA'!$B$16:$E$721,4,FALSE)</f>
        <v>UN</v>
      </c>
      <c r="E376" s="266">
        <f>SUMIF('3 - PLAN. ORÇAMENTÁRIA'!$C$15:$C$721,C376,'3 - PLAN. ORÇAMENTÁRIA'!$F$15:$F$721)</f>
        <v>57</v>
      </c>
      <c r="F376" s="267">
        <f>VLOOKUP(A376,'3 - PLAN. ORÇAMENTÁRIA'!$B$16:$I$721,8,FALSE)</f>
        <v>12.2</v>
      </c>
      <c r="G376" s="267">
        <f>ROUND(E376*F376,2)</f>
        <v>695.4</v>
      </c>
      <c r="H376" s="262">
        <f t="shared" si="15"/>
        <v>1.1870391810924965E-2</v>
      </c>
      <c r="I376" s="262">
        <f t="shared" si="17"/>
        <v>99.244778668444951</v>
      </c>
      <c r="J376" s="257" t="str">
        <f t="shared" si="16"/>
        <v>C</v>
      </c>
    </row>
    <row r="377" spans="1:10" ht="28.5">
      <c r="A377" s="263">
        <v>97667</v>
      </c>
      <c r="B377" s="257" t="str">
        <f>VLOOKUP(A377,'3 - PLAN. ORÇAMENTÁRIA'!$B$16:$E$721,3,FALSE)</f>
        <v>SINAPI</v>
      </c>
      <c r="C377" s="264" t="s">
        <v>419</v>
      </c>
      <c r="D377" s="257" t="str">
        <f>VLOOKUP(A377,'3 - PLAN. ORÇAMENTÁRIA'!$B$16:$E$721,4,FALSE)</f>
        <v>M</v>
      </c>
      <c r="E377" s="266">
        <f>SUMIF('3 - PLAN. ORÇAMENTÁRIA'!$C$15:$C$721,C377,'3 - PLAN. ORÇAMENTÁRIA'!$F$15:$F$721)</f>
        <v>64.77</v>
      </c>
      <c r="F377" s="267">
        <f>VLOOKUP(A377,'3 - PLAN. ORÇAMENTÁRIA'!$B$16:$I$721,8,FALSE)</f>
        <v>10.73</v>
      </c>
      <c r="G377" s="267">
        <f>ROUND(E377*F377,2)</f>
        <v>694.98</v>
      </c>
      <c r="H377" s="262">
        <f t="shared" si="15"/>
        <v>1.1863222462980489E-2</v>
      </c>
      <c r="I377" s="262">
        <f t="shared" si="17"/>
        <v>99.256641890907929</v>
      </c>
      <c r="J377" s="257" t="str">
        <f t="shared" si="16"/>
        <v>C</v>
      </c>
    </row>
    <row r="378" spans="1:10" ht="14.25">
      <c r="A378" s="263" t="s">
        <v>1989</v>
      </c>
      <c r="B378" s="257" t="str">
        <f>VLOOKUP(A378,'3 - PLAN. ORÇAMENTÁRIA'!$B$16:$E$721,3,FALSE)</f>
        <v>PRÓPRIO</v>
      </c>
      <c r="C378" s="265" t="str">
        <f>VLOOKUP(A378,'3 - PLAN. ORÇAMENTÁRIA'!$B$16:$E$721,2,FALSE)</f>
        <v>FORNECIMENTO E INSTALAÇÃO DE MINI RACK DE PAREDE 19" x 9U REF. S08439/ORSE</v>
      </c>
      <c r="D378" s="257" t="str">
        <f>VLOOKUP(A378,'3 - PLAN. ORÇAMENTÁRIA'!$B$16:$E$721,4,FALSE)</f>
        <v>UN</v>
      </c>
      <c r="E378" s="266">
        <f>SUMIF('3 - PLAN. ORÇAMENTÁRIA'!$C$15:$C$721,C378,'3 - PLAN. ORÇAMENTÁRIA'!$F$15:$F$721)</f>
        <v>1</v>
      </c>
      <c r="F378" s="267">
        <f>VLOOKUP(A378,'3 - PLAN. ORÇAMENTÁRIA'!$B$16:$I$721,8,FALSE)</f>
        <v>694.42</v>
      </c>
      <c r="G378" s="267">
        <f>ROUND(E378*F378,2)</f>
        <v>694.42</v>
      </c>
      <c r="H378" s="262">
        <f t="shared" si="15"/>
        <v>1.1853663332387854E-2</v>
      </c>
      <c r="I378" s="262">
        <f t="shared" si="17"/>
        <v>99.268495554240317</v>
      </c>
      <c r="J378" s="257" t="str">
        <f t="shared" si="16"/>
        <v>C</v>
      </c>
    </row>
    <row r="379" spans="1:10" ht="14.25">
      <c r="A379" s="263">
        <v>96544</v>
      </c>
      <c r="B379" s="257" t="str">
        <f>VLOOKUP(A379,'3 - PLAN. ORÇAMENTÁRIA'!$B$16:$E$721,3,FALSE)</f>
        <v>SINAPI</v>
      </c>
      <c r="C379" s="264" t="s">
        <v>243</v>
      </c>
      <c r="D379" s="257" t="str">
        <f>VLOOKUP(A379,'3 - PLAN. ORÇAMENTÁRIA'!$B$16:$E$721,4,FALSE)</f>
        <v>KG</v>
      </c>
      <c r="E379" s="266">
        <f>SUMIF('3 - PLAN. ORÇAMENTÁRIA'!$C$15:$C$721,C379,'3 - PLAN. ORÇAMENTÁRIA'!$F$15:$F$721)</f>
        <v>29</v>
      </c>
      <c r="F379" s="267">
        <f>VLOOKUP(A379,'3 - PLAN. ORÇAMENTÁRIA'!$B$16:$I$721,8,FALSE)</f>
        <v>23.85</v>
      </c>
      <c r="G379" s="267">
        <f>ROUND(E379*F379,2)</f>
        <v>691.65</v>
      </c>
      <c r="H379" s="262">
        <f t="shared" si="15"/>
        <v>1.180637977570643E-2</v>
      </c>
      <c r="I379" s="262">
        <f t="shared" si="17"/>
        <v>99.280301934016023</v>
      </c>
      <c r="J379" s="257" t="str">
        <f t="shared" si="16"/>
        <v>C</v>
      </c>
    </row>
    <row r="380" spans="1:10" ht="14.25">
      <c r="A380" s="263" t="s">
        <v>3864</v>
      </c>
      <c r="B380" s="257" t="str">
        <f>VLOOKUP(A380,'3 - PLAN. ORÇAMENTÁRIA'!$B$16:$E$721,3,FALSE)</f>
        <v>COTAÇÃO</v>
      </c>
      <c r="C380" s="265" t="str">
        <f>VLOOKUP(A380,'3 - PLAN. ORÇAMENTÁRIA'!$B$16:$E$721,2,FALSE)</f>
        <v>TAPETE SINALIZADOR DE ESPAÇO RESERVADO PARA CADEIRANTE</v>
      </c>
      <c r="D380" s="257" t="str">
        <f>VLOOKUP(A380,'3 - PLAN. ORÇAMENTÁRIA'!$B$16:$E$721,4,FALSE)</f>
        <v>UN</v>
      </c>
      <c r="E380" s="266">
        <f>SUMIF('3 - PLAN. ORÇAMENTÁRIA'!$C$15:$C$721,C380,'3 - PLAN. ORÇAMENTÁRIA'!$F$15:$F$721)</f>
        <v>1</v>
      </c>
      <c r="F380" s="267">
        <f>VLOOKUP(A380,'3 - PLAN. ORÇAMENTÁRIA'!$B$16:$I$721,8,FALSE)</f>
        <v>690.58</v>
      </c>
      <c r="G380" s="267">
        <f>ROUND(E380*F380,2)</f>
        <v>690.58</v>
      </c>
      <c r="H380" s="262">
        <f t="shared" si="15"/>
        <v>1.1788115008324076E-2</v>
      </c>
      <c r="I380" s="262">
        <f t="shared" si="17"/>
        <v>99.292090049024353</v>
      </c>
      <c r="J380" s="257" t="str">
        <f t="shared" si="16"/>
        <v>C</v>
      </c>
    </row>
    <row r="381" spans="1:10" ht="28.5">
      <c r="A381" s="263">
        <v>91955</v>
      </c>
      <c r="B381" s="257" t="str">
        <f>VLOOKUP(A381,'3 - PLAN. ORÇAMENTÁRIA'!$B$16:$E$721,3,FALSE)</f>
        <v>SINAPI</v>
      </c>
      <c r="C381" s="264" t="s">
        <v>553</v>
      </c>
      <c r="D381" s="257" t="str">
        <f>VLOOKUP(A381,'3 - PLAN. ORÇAMENTÁRIA'!$B$16:$E$721,4,FALSE)</f>
        <v>UN</v>
      </c>
      <c r="E381" s="266">
        <f>SUMIF('3 - PLAN. ORÇAMENTÁRIA'!$C$15:$C$721,C381,'3 - PLAN. ORÇAMENTÁRIA'!$F$15:$F$721)</f>
        <v>13</v>
      </c>
      <c r="F381" s="267">
        <f>VLOOKUP(A381,'3 - PLAN. ORÇAMENTÁRIA'!$B$16:$I$721,8,FALSE)</f>
        <v>52.83</v>
      </c>
      <c r="G381" s="267">
        <f>ROUND(E381*F381,2)</f>
        <v>686.79</v>
      </c>
      <c r="H381" s="262">
        <f t="shared" si="15"/>
        <v>1.172342017806321E-2</v>
      </c>
      <c r="I381" s="262">
        <f t="shared" si="17"/>
        <v>99.30381346920241</v>
      </c>
      <c r="J381" s="257" t="str">
        <f t="shared" si="16"/>
        <v>C</v>
      </c>
    </row>
    <row r="382" spans="1:10" ht="28.5">
      <c r="A382" s="263">
        <v>92000</v>
      </c>
      <c r="B382" s="257" t="str">
        <f>VLOOKUP(A382,'3 - PLAN. ORÇAMENTÁRIA'!$B$16:$E$721,3,FALSE)</f>
        <v>SINAPI</v>
      </c>
      <c r="C382" s="264" t="s">
        <v>545</v>
      </c>
      <c r="D382" s="257" t="str">
        <f>VLOOKUP(A382,'3 - PLAN. ORÇAMENTÁRIA'!$B$16:$E$721,4,FALSE)</f>
        <v>UN</v>
      </c>
      <c r="E382" s="266">
        <f>SUMIF('3 - PLAN. ORÇAMENTÁRIA'!$C$15:$C$721,C382,'3 - PLAN. ORÇAMENTÁRIA'!$F$15:$F$721)</f>
        <v>15</v>
      </c>
      <c r="F382" s="267">
        <f>VLOOKUP(A382,'3 - PLAN. ORÇAMENTÁRIA'!$B$16:$I$721,8,FALSE)</f>
        <v>45.77</v>
      </c>
      <c r="G382" s="267">
        <f>ROUND(E382*F382,2)</f>
        <v>686.55</v>
      </c>
      <c r="H382" s="262">
        <f t="shared" si="15"/>
        <v>1.1719323407809224E-2</v>
      </c>
      <c r="I382" s="262">
        <f t="shared" si="17"/>
        <v>99.315532792610213</v>
      </c>
      <c r="J382" s="257" t="str">
        <f t="shared" si="16"/>
        <v>C</v>
      </c>
    </row>
    <row r="383" spans="1:10" ht="28.5">
      <c r="A383" s="263" t="s">
        <v>1978</v>
      </c>
      <c r="B383" s="257" t="str">
        <f>VLOOKUP(A383,'3 - PLAN. ORÇAMENTÁRIA'!$B$16:$E$721,3,FALSE)</f>
        <v>PRÓPRIO</v>
      </c>
      <c r="C383" s="265" t="str">
        <f>VLOOKUP(A383,'3 - PLAN. ORÇAMENTÁRIA'!$B$16:$E$721,2,FALSE)</f>
        <v>CONDULETE DE ALUMÍNIO, TIPO T, PARA ELETRODUTO DE AÇO GALVANIZADO DN 50 MM (2''), APARENTE - FORNECIMENTO E INSTALAÇÃO. AF_10/2022 ref. 95797/SINAPI</v>
      </c>
      <c r="D383" s="257" t="str">
        <f>VLOOKUP(A383,'3 - PLAN. ORÇAMENTÁRIA'!$B$16:$E$721,4,FALSE)</f>
        <v>UN</v>
      </c>
      <c r="E383" s="266">
        <f>SUMIF('3 - PLAN. ORÇAMENTÁRIA'!$C$15:$C$721,C383,'3 - PLAN. ORÇAMENTÁRIA'!$F$15:$F$721)</f>
        <v>5</v>
      </c>
      <c r="F383" s="267">
        <f>VLOOKUP(A383,'3 - PLAN. ORÇAMENTÁRIA'!$B$16:$I$721,8,FALSE)</f>
        <v>136.65</v>
      </c>
      <c r="G383" s="267">
        <f>ROUND(E383*F383,2)</f>
        <v>683.25</v>
      </c>
      <c r="H383" s="262">
        <f t="shared" si="15"/>
        <v>1.1662992816816915E-2</v>
      </c>
      <c r="I383" s="262">
        <f t="shared" si="17"/>
        <v>99.327195785427037</v>
      </c>
      <c r="J383" s="257" t="str">
        <f t="shared" si="16"/>
        <v>C</v>
      </c>
    </row>
    <row r="384" spans="1:10" ht="28.5">
      <c r="A384" s="263">
        <v>95789</v>
      </c>
      <c r="B384" s="257" t="str">
        <f>VLOOKUP(A384,'3 - PLAN. ORÇAMENTÁRIA'!$B$16:$E$721,3,FALSE)</f>
        <v>SINAPI</v>
      </c>
      <c r="C384" s="264" t="s">
        <v>2666</v>
      </c>
      <c r="D384" s="257" t="str">
        <f>VLOOKUP(A384,'3 - PLAN. ORÇAMENTÁRIA'!$B$16:$E$721,4,FALSE)</f>
        <v>UN</v>
      </c>
      <c r="E384" s="266">
        <f>SUMIF('3 - PLAN. ORÇAMENTÁRIA'!$C$15:$C$721,C384,'3 - PLAN. ORÇAMENTÁRIA'!$F$15:$F$721)</f>
        <v>14</v>
      </c>
      <c r="F384" s="267">
        <f>VLOOKUP(A384,'3 - PLAN. ORÇAMENTÁRIA'!$B$16:$I$721,8,FALSE)</f>
        <v>48.28</v>
      </c>
      <c r="G384" s="267">
        <f>ROUND(E384*F384,2)</f>
        <v>675.92</v>
      </c>
      <c r="H384" s="262">
        <f t="shared" si="15"/>
        <v>1.1537870625309752E-2</v>
      </c>
      <c r="I384" s="262">
        <f t="shared" si="17"/>
        <v>99.338733656052341</v>
      </c>
      <c r="J384" s="257" t="str">
        <f t="shared" si="16"/>
        <v>C</v>
      </c>
    </row>
    <row r="385" spans="1:10" ht="28.5">
      <c r="A385" s="263" t="s">
        <v>4191</v>
      </c>
      <c r="B385" s="257" t="str">
        <f>VLOOKUP(A385,'3 - PLAN. ORÇAMENTÁRIA'!$B$16:$E$721,3,FALSE)</f>
        <v>PRÓPRIO</v>
      </c>
      <c r="C385" s="265" t="str">
        <f>VLOOKUP(A385,'3 - PLAN. ORÇAMENTÁRIA'!$B$16:$E$721,2,FALSE)</f>
        <v>CONCRETAGEM DE PILARES, FCK = 30 MPA, COM USO DE BOMBA - LANÇAMENTO, ADENSAMENTO E ACABAMENTO. AF_02/2022_PS REF. 103672/SINAPI</v>
      </c>
      <c r="D385" s="257" t="str">
        <f>VLOOKUP(A385,'3 - PLAN. ORÇAMENTÁRIA'!$B$16:$E$721,4,FALSE)</f>
        <v>M3</v>
      </c>
      <c r="E385" s="266">
        <f>SUMIF('3 - PLAN. ORÇAMENTÁRIA'!$C$15:$C$721,C385,'3 - PLAN. ORÇAMENTÁRIA'!$F$15:$F$721)</f>
        <v>0.86</v>
      </c>
      <c r="F385" s="267">
        <f>VLOOKUP(A385,'3 - PLAN. ORÇAMENTÁRIA'!$B$16:$I$721,8,FALSE)</f>
        <v>783.8</v>
      </c>
      <c r="G385" s="267">
        <f>ROUND(E385*F385,2)</f>
        <v>674.07</v>
      </c>
      <c r="H385" s="262">
        <f t="shared" si="15"/>
        <v>1.1506291354601943E-2</v>
      </c>
      <c r="I385" s="262">
        <f t="shared" si="17"/>
        <v>99.350239947406948</v>
      </c>
      <c r="J385" s="257" t="str">
        <f t="shared" si="16"/>
        <v>C</v>
      </c>
    </row>
    <row r="386" spans="1:10" ht="14.25">
      <c r="A386" s="263">
        <v>89802</v>
      </c>
      <c r="B386" s="257" t="str">
        <f>VLOOKUP(A386,'3 - PLAN. ORÇAMENTÁRIA'!$B$16:$E$721,3,FALSE)</f>
        <v>SINAPI</v>
      </c>
      <c r="C386" s="264" t="s">
        <v>496</v>
      </c>
      <c r="D386" s="257" t="str">
        <f>VLOOKUP(A386,'3 - PLAN. ORÇAMENTÁRIA'!$B$16:$E$721,4,FALSE)</f>
        <v>UN</v>
      </c>
      <c r="E386" s="266">
        <f>SUMIF('3 - PLAN. ORÇAMENTÁRIA'!$C$15:$C$721,C386,'3 - PLAN. ORÇAMENTÁRIA'!$F$15:$F$721)</f>
        <v>51</v>
      </c>
      <c r="F386" s="267">
        <f>VLOOKUP(A386,'3 - PLAN. ORÇAMENTÁRIA'!$B$16:$I$721,8,FALSE)</f>
        <v>13.15</v>
      </c>
      <c r="G386" s="267">
        <f>ROUND(E386*F386,2)</f>
        <v>670.65</v>
      </c>
      <c r="H386" s="262">
        <f t="shared" si="15"/>
        <v>1.144791237848264E-2</v>
      </c>
      <c r="I386" s="262">
        <f t="shared" si="17"/>
        <v>99.361687859785434</v>
      </c>
      <c r="J386" s="257" t="str">
        <f t="shared" si="16"/>
        <v>C</v>
      </c>
    </row>
    <row r="387" spans="1:10" ht="14.25">
      <c r="A387" s="263">
        <v>89576</v>
      </c>
      <c r="B387" s="257" t="str">
        <f>VLOOKUP(A387,'3 - PLAN. ORÇAMENTÁRIA'!$B$16:$E$721,3,FALSE)</f>
        <v>SINAPI</v>
      </c>
      <c r="C387" s="264" t="s">
        <v>3328</v>
      </c>
      <c r="D387" s="257" t="str">
        <f>VLOOKUP(A387,'3 - PLAN. ORÇAMENTÁRIA'!$B$16:$E$721,4,FALSE)</f>
        <v>M</v>
      </c>
      <c r="E387" s="266">
        <f>SUMIF('3 - PLAN. ORÇAMENTÁRIA'!$C$15:$C$721,C387,'3 - PLAN. ORÇAMENTÁRIA'!$F$15:$F$721)</f>
        <v>19.12</v>
      </c>
      <c r="F387" s="267">
        <f>VLOOKUP(A387,'3 - PLAN. ORÇAMENTÁRIA'!$B$16:$I$721,8,FALSE)</f>
        <v>34.54</v>
      </c>
      <c r="G387" s="267">
        <f>ROUND(E387*F387,2)</f>
        <v>660.4</v>
      </c>
      <c r="H387" s="262">
        <f t="shared" si="15"/>
        <v>1.1272946148885313E-2</v>
      </c>
      <c r="I387" s="262">
        <f t="shared" si="17"/>
        <v>99.372960805934312</v>
      </c>
      <c r="J387" s="257" t="str">
        <f t="shared" si="16"/>
        <v>C</v>
      </c>
    </row>
    <row r="388" spans="1:10" ht="14.25">
      <c r="A388" s="263">
        <v>89813</v>
      </c>
      <c r="B388" s="257" t="str">
        <f>VLOOKUP(A388,'3 - PLAN. ORÇAMENTÁRIA'!$B$16:$E$721,3,FALSE)</f>
        <v>SINAPI</v>
      </c>
      <c r="C388" s="264" t="s">
        <v>490</v>
      </c>
      <c r="D388" s="257" t="str">
        <f>VLOOKUP(A388,'3 - PLAN. ORÇAMENTÁRIA'!$B$16:$E$721,4,FALSE)</f>
        <v>UN</v>
      </c>
      <c r="E388" s="266">
        <f>SUMIF('3 - PLAN. ORÇAMENTÁRIA'!$C$15:$C$721,C388,'3 - PLAN. ORÇAMENTÁRIA'!$F$15:$F$721)</f>
        <v>87</v>
      </c>
      <c r="F388" s="267">
        <f>VLOOKUP(A388,'3 - PLAN. ORÇAMENTÁRIA'!$B$16:$I$721,8,FALSE)</f>
        <v>7.57</v>
      </c>
      <c r="G388" s="267">
        <f>ROUND(E388*F388,2)</f>
        <v>658.59</v>
      </c>
      <c r="H388" s="262">
        <f t="shared" si="15"/>
        <v>1.1242049673219835E-2</v>
      </c>
      <c r="I388" s="262">
        <f t="shared" si="17"/>
        <v>99.384202855607526</v>
      </c>
      <c r="J388" s="257" t="str">
        <f t="shared" si="16"/>
        <v>C</v>
      </c>
    </row>
    <row r="389" spans="1:10" ht="14.25">
      <c r="A389" s="263">
        <v>98509</v>
      </c>
      <c r="B389" s="257" t="str">
        <f>VLOOKUP(A389,'3 - PLAN. ORÇAMENTÁRIA'!$B$16:$E$721,3,FALSE)</f>
        <v>SINAPI</v>
      </c>
      <c r="C389" s="264" t="s">
        <v>3660</v>
      </c>
      <c r="D389" s="257" t="str">
        <f>VLOOKUP(A389,'3 - PLAN. ORÇAMENTÁRIA'!$B$16:$E$721,4,FALSE)</f>
        <v>UN</v>
      </c>
      <c r="E389" s="266">
        <f>SUMIF('3 - PLAN. ORÇAMENTÁRIA'!$C$15:$C$721,C389,'3 - PLAN. ORÇAMENTÁRIA'!$F$15:$F$721)</f>
        <v>10</v>
      </c>
      <c r="F389" s="267">
        <f>VLOOKUP(A389,'3 - PLAN. ORÇAMENTÁRIA'!$B$16:$I$721,8,FALSE)</f>
        <v>62.9</v>
      </c>
      <c r="G389" s="267">
        <f>ROUND(E389*F389,2)</f>
        <v>629</v>
      </c>
      <c r="H389" s="262">
        <f t="shared" si="15"/>
        <v>1.0736952040655454E-2</v>
      </c>
      <c r="I389" s="262">
        <f t="shared" si="17"/>
        <v>99.394939807648186</v>
      </c>
      <c r="J389" s="257" t="str">
        <f t="shared" si="16"/>
        <v>C</v>
      </c>
    </row>
    <row r="390" spans="1:10" ht="14.25">
      <c r="A390" s="263">
        <v>102607</v>
      </c>
      <c r="B390" s="257" t="str">
        <f>VLOOKUP(A390,'3 - PLAN. ORÇAMENTÁRIA'!$B$16:$E$721,3,FALSE)</f>
        <v>SINAPI</v>
      </c>
      <c r="C390" s="264" t="s">
        <v>152</v>
      </c>
      <c r="D390" s="257" t="str">
        <f>VLOOKUP(A390,'3 - PLAN. ORÇAMENTÁRIA'!$B$16:$E$721,4,FALSE)</f>
        <v>UN</v>
      </c>
      <c r="E390" s="266">
        <f>SUMIF('3 - PLAN. ORÇAMENTÁRIA'!$C$15:$C$721,C390,'3 - PLAN. ORÇAMENTÁRIA'!$F$15:$F$721)</f>
        <v>1</v>
      </c>
      <c r="F390" s="267">
        <f>VLOOKUP(A390,'3 - PLAN. ORÇAMENTÁRIA'!$B$16:$I$721,8,FALSE)</f>
        <v>619.98</v>
      </c>
      <c r="G390" s="267">
        <f>ROUND(E390*F390,2)</f>
        <v>619.98</v>
      </c>
      <c r="H390" s="262">
        <f t="shared" si="15"/>
        <v>1.0582981758609807E-2</v>
      </c>
      <c r="I390" s="262">
        <f t="shared" si="17"/>
        <v>99.405522789406788</v>
      </c>
      <c r="J390" s="257" t="str">
        <f t="shared" si="16"/>
        <v>C</v>
      </c>
    </row>
    <row r="391" spans="1:10" ht="14.25">
      <c r="A391" s="263" t="s">
        <v>2015</v>
      </c>
      <c r="B391" s="257" t="str">
        <f>VLOOKUP(A391,'3 - PLAN. ORÇAMENTÁRIA'!$B$16:$E$721,3,FALSE)</f>
        <v>PRÓPRIO</v>
      </c>
      <c r="C391" s="265" t="str">
        <f>VLOOKUP(A391,'3 - PLAN. ORÇAMENTÁRIA'!$B$16:$E$721,2,FALSE)</f>
        <v>CABO PARALELO 2 X 2,5MM2 PARA SOM REF. I08331/ORSE</v>
      </c>
      <c r="D391" s="257" t="str">
        <f>VLOOKUP(A391,'3 - PLAN. ORÇAMENTÁRIA'!$B$16:$E$721,4,FALSE)</f>
        <v>M</v>
      </c>
      <c r="E391" s="266">
        <f>SUMIF('3 - PLAN. ORÇAMENTÁRIA'!$C$15:$C$721,C391,'3 - PLAN. ORÇAMENTÁRIA'!$F$15:$F$721)</f>
        <v>85.76</v>
      </c>
      <c r="F391" s="267">
        <f>VLOOKUP(A391,'3 - PLAN. ORÇAMENTÁRIA'!$B$16:$I$721,8,FALSE)</f>
        <v>7.21</v>
      </c>
      <c r="G391" s="267">
        <f>ROUND(E391*F391,2)</f>
        <v>618.33000000000004</v>
      </c>
      <c r="H391" s="262">
        <f t="shared" si="15"/>
        <v>1.0554816463113653E-2</v>
      </c>
      <c r="I391" s="262">
        <f t="shared" si="17"/>
        <v>99.416077605869901</v>
      </c>
      <c r="J391" s="257" t="str">
        <f t="shared" si="16"/>
        <v>C</v>
      </c>
    </row>
    <row r="392" spans="1:10" ht="28.5">
      <c r="A392" s="263">
        <v>90695</v>
      </c>
      <c r="B392" s="257" t="str">
        <f>VLOOKUP(A392,'3 - PLAN. ORÇAMENTÁRIA'!$B$16:$E$721,3,FALSE)</f>
        <v>SINAPI</v>
      </c>
      <c r="C392" s="264" t="s">
        <v>2965</v>
      </c>
      <c r="D392" s="257" t="str">
        <f>VLOOKUP(A392,'3 - PLAN. ORÇAMENTÁRIA'!$B$16:$E$721,4,FALSE)</f>
        <v>M</v>
      </c>
      <c r="E392" s="266">
        <f>SUMIF('3 - PLAN. ORÇAMENTÁRIA'!$C$15:$C$721,C392,'3 - PLAN. ORÇAMENTÁRIA'!$F$15:$F$721)</f>
        <v>5.35</v>
      </c>
      <c r="F392" s="267">
        <f>VLOOKUP(A392,'3 - PLAN. ORÇAMENTÁRIA'!$B$16:$I$721,8,FALSE)</f>
        <v>113.25</v>
      </c>
      <c r="G392" s="267">
        <f>ROUND(E392*F392,2)</f>
        <v>605.89</v>
      </c>
      <c r="H392" s="262">
        <f t="shared" si="15"/>
        <v>1.0342467204948701E-2</v>
      </c>
      <c r="I392" s="262">
        <f t="shared" si="17"/>
        <v>99.426420073074851</v>
      </c>
      <c r="J392" s="257" t="str">
        <f t="shared" si="16"/>
        <v>C</v>
      </c>
    </row>
    <row r="393" spans="1:10" ht="14.25">
      <c r="A393" s="263" t="s">
        <v>1993</v>
      </c>
      <c r="B393" s="257" t="str">
        <f>VLOOKUP(A393,'3 - PLAN. ORÇAMENTÁRIA'!$B$16:$E$721,3,FALSE)</f>
        <v>PRÓPRIO</v>
      </c>
      <c r="C393" s="265" t="str">
        <f>VLOOKUP(A393,'3 - PLAN. ORÇAMENTÁRIA'!$B$16:$E$721,2,FALSE)</f>
        <v>CAIXA DE EQUALIZAÇÃO, DE EMBUTIR, EM AÇO COM BARRAMENTO, DE 400 X 400 MM E TAMPA REF. 42.05.370/SP OBRAS</v>
      </c>
      <c r="D393" s="257" t="str">
        <f>VLOOKUP(A393,'3 - PLAN. ORÇAMENTÁRIA'!$B$16:$E$721,4,FALSE)</f>
        <v>UN</v>
      </c>
      <c r="E393" s="266">
        <f>SUMIF('3 - PLAN. ORÇAMENTÁRIA'!$C$15:$C$721,C393,'3 - PLAN. ORÇAMENTÁRIA'!$F$15:$F$721)</f>
        <v>1</v>
      </c>
      <c r="F393" s="267">
        <f>VLOOKUP(A393,'3 - PLAN. ORÇAMENTÁRIA'!$B$16:$I$721,8,FALSE)</f>
        <v>602.66</v>
      </c>
      <c r="G393" s="267">
        <f>ROUND(E393*F393,2)</f>
        <v>602.66</v>
      </c>
      <c r="H393" s="262">
        <f t="shared" ref="H393:H456" si="18">(G393*100)/SUM($G$8:$G$519)</f>
        <v>1.028733150528047E-2</v>
      </c>
      <c r="I393" s="262">
        <f t="shared" si="17"/>
        <v>99.436707404580133</v>
      </c>
      <c r="J393" s="257" t="str">
        <f t="shared" ref="J393:J456" si="19">IF(I393&lt;80,"A",IF(I393&lt;95,"B","C"))</f>
        <v>C</v>
      </c>
    </row>
    <row r="394" spans="1:10" ht="28.5">
      <c r="A394" s="263">
        <v>87553</v>
      </c>
      <c r="B394" s="257" t="str">
        <f>VLOOKUP(A394,'3 - PLAN. ORÇAMENTÁRIA'!$B$16:$E$721,3,FALSE)</f>
        <v>SINAPI</v>
      </c>
      <c r="C394" s="264" t="s">
        <v>3978</v>
      </c>
      <c r="D394" s="257" t="str">
        <f>VLOOKUP(A394,'3 - PLAN. ORÇAMENTÁRIA'!$B$16:$E$721,4,FALSE)</f>
        <v>M2</v>
      </c>
      <c r="E394" s="266">
        <f>SUMIF('3 - PLAN. ORÇAMENTÁRIA'!$C$15:$C$721,C394,'3 - PLAN. ORÇAMENTÁRIA'!$F$15:$F$721)</f>
        <v>20.29</v>
      </c>
      <c r="F394" s="267">
        <f>VLOOKUP(A394,'3 - PLAN. ORÇAMENTÁRIA'!$B$16:$I$721,8,FALSE)</f>
        <v>29.69</v>
      </c>
      <c r="G394" s="267">
        <f>ROUND(E394*F394,2)</f>
        <v>602.41</v>
      </c>
      <c r="H394" s="262">
        <f t="shared" si="18"/>
        <v>1.0283064036265901E-2</v>
      </c>
      <c r="I394" s="262">
        <f t="shared" ref="I394:I457" si="20">H394+I393</f>
        <v>99.446990468616406</v>
      </c>
      <c r="J394" s="257" t="str">
        <f t="shared" si="19"/>
        <v>C</v>
      </c>
    </row>
    <row r="395" spans="1:10" ht="14.25">
      <c r="A395" s="500">
        <v>98521</v>
      </c>
      <c r="B395" s="216" t="str">
        <f>VLOOKUP(A395,'3 - PLAN. ORÇAMENTÁRIA'!$B$16:$E$721,3,FALSE)</f>
        <v>SINAPI</v>
      </c>
      <c r="C395" s="265" t="s">
        <v>4152</v>
      </c>
      <c r="D395" s="216" t="str">
        <f>VLOOKUP(A395,'3 - PLAN. ORÇAMENTÁRIA'!$B$16:$E$721,4,FALSE)</f>
        <v>M2</v>
      </c>
      <c r="E395" s="501">
        <f>SUMIF('3 - PLAN. ORÇAMENTÁRIA'!$C$15:$C$721,C395,'3 - PLAN. ORÇAMENTÁRIA'!$F$15:$F$721)</f>
        <v>1192.93</v>
      </c>
      <c r="F395" s="502">
        <f>VLOOKUP(A395,'3 - PLAN. ORÇAMENTÁRIA'!$B$16:$I$721,8,FALSE)</f>
        <v>0.49</v>
      </c>
      <c r="G395" s="502">
        <f>ROUND(E395*F395,2)</f>
        <v>584.54</v>
      </c>
      <c r="H395" s="262">
        <f t="shared" si="18"/>
        <v>9.9780253511045133E-3</v>
      </c>
      <c r="I395" s="262">
        <f t="shared" si="20"/>
        <v>99.456968493967508</v>
      </c>
      <c r="J395" s="257" t="str">
        <f t="shared" si="19"/>
        <v>C</v>
      </c>
    </row>
    <row r="396" spans="1:10" ht="14.25">
      <c r="A396" s="263" t="s">
        <v>4065</v>
      </c>
      <c r="B396" s="257" t="str">
        <f>VLOOKUP(A396,'3 - PLAN. ORÇAMENTÁRIA'!$B$16:$E$721,3,FALSE)</f>
        <v>PRÓPRIO</v>
      </c>
      <c r="C396" s="265" t="str">
        <f>VLOOKUP(A396,'3 - PLAN. ORÇAMENTÁRIA'!$B$16:$E$721,2,FALSE)</f>
        <v>AS BUILT AR-CONDICIONADO REF. I07325/ORSE</v>
      </c>
      <c r="D396" s="257" t="str">
        <f>VLOOKUP(A396,'3 - PLAN. ORÇAMENTÁRIA'!$B$16:$E$721,4,FALSE)</f>
        <v>M2</v>
      </c>
      <c r="E396" s="266">
        <f>SUMIF('3 - PLAN. ORÇAMENTÁRIA'!$C$15:$C$721,C396,'3 - PLAN. ORÇAMENTÁRIA'!$F$15:$F$721)</f>
        <v>472.68</v>
      </c>
      <c r="F396" s="267">
        <f>VLOOKUP(A396,'3 - PLAN. ORÇAMENTÁRIA'!$B$16:$I$721,8,FALSE)</f>
        <v>1.22</v>
      </c>
      <c r="G396" s="267">
        <f>ROUND(E396*F396,2)</f>
        <v>576.66999999999996</v>
      </c>
      <c r="H396" s="262">
        <f t="shared" si="18"/>
        <v>9.8436854265258819E-3</v>
      </c>
      <c r="I396" s="262">
        <f t="shared" si="20"/>
        <v>99.46681217939404</v>
      </c>
      <c r="J396" s="257" t="str">
        <f t="shared" si="19"/>
        <v>C</v>
      </c>
    </row>
    <row r="397" spans="1:10" ht="14.25">
      <c r="A397" s="263" t="s">
        <v>4067</v>
      </c>
      <c r="B397" s="257" t="str">
        <f>VLOOKUP(A397,'3 - PLAN. ORÇAMENTÁRIA'!$B$16:$E$721,3,FALSE)</f>
        <v>PRÓPRIO</v>
      </c>
      <c r="C397" s="265" t="str">
        <f>VLOOKUP(A397,'3 - PLAN. ORÇAMENTÁRIA'!$B$16:$E$721,2,FALSE)</f>
        <v>AS BUILT ESTRUTURA REF. I07325/ORSE</v>
      </c>
      <c r="D397" s="257" t="str">
        <f>VLOOKUP(A397,'3 - PLAN. ORÇAMENTÁRIA'!$B$16:$E$721,4,FALSE)</f>
        <v>M2</v>
      </c>
      <c r="E397" s="266">
        <f>SUMIF('3 - PLAN. ORÇAMENTÁRIA'!$C$15:$C$721,C397,'3 - PLAN. ORÇAMENTÁRIA'!$F$15:$F$721)</f>
        <v>472.68</v>
      </c>
      <c r="F397" s="267">
        <f>VLOOKUP(A397,'3 - PLAN. ORÇAMENTÁRIA'!$B$16:$I$721,8,FALSE)</f>
        <v>1.22</v>
      </c>
      <c r="G397" s="267">
        <f>ROUND(E397*F397,2)</f>
        <v>576.66999999999996</v>
      </c>
      <c r="H397" s="262">
        <f t="shared" si="18"/>
        <v>9.8436854265258819E-3</v>
      </c>
      <c r="I397" s="262">
        <f t="shared" si="20"/>
        <v>99.476655864820572</v>
      </c>
      <c r="J397" s="257" t="str">
        <f t="shared" si="19"/>
        <v>C</v>
      </c>
    </row>
    <row r="398" spans="1:10" ht="14.25">
      <c r="A398" s="263" t="s">
        <v>4069</v>
      </c>
      <c r="B398" s="257" t="str">
        <f>VLOOKUP(A398,'3 - PLAN. ORÇAMENTÁRIA'!$B$16:$E$721,3,FALSE)</f>
        <v>PRÓPRIO</v>
      </c>
      <c r="C398" s="265" t="str">
        <f>VLOOKUP(A398,'3 - PLAN. ORÇAMENTÁRIA'!$B$16:$E$721,2,FALSE)</f>
        <v>AS BUILT TELEMÁTICA REF. I07325/ORSE</v>
      </c>
      <c r="D398" s="257" t="str">
        <f>VLOOKUP(A398,'3 - PLAN. ORÇAMENTÁRIA'!$B$16:$E$721,4,FALSE)</f>
        <v>M2</v>
      </c>
      <c r="E398" s="266">
        <f>SUMIF('3 - PLAN. ORÇAMENTÁRIA'!$C$15:$C$721,C398,'3 - PLAN. ORÇAMENTÁRIA'!$F$15:$F$721)</f>
        <v>472.68</v>
      </c>
      <c r="F398" s="267">
        <f>VLOOKUP(A398,'3 - PLAN. ORÇAMENTÁRIA'!$B$16:$I$721,8,FALSE)</f>
        <v>1.22</v>
      </c>
      <c r="G398" s="267">
        <f>ROUND(E398*F398,2)</f>
        <v>576.66999999999996</v>
      </c>
      <c r="H398" s="262">
        <f t="shared" si="18"/>
        <v>9.8436854265258819E-3</v>
      </c>
      <c r="I398" s="262">
        <f t="shared" si="20"/>
        <v>99.486499550247103</v>
      </c>
      <c r="J398" s="257" t="str">
        <f t="shared" si="19"/>
        <v>C</v>
      </c>
    </row>
    <row r="399" spans="1:10" ht="14.25">
      <c r="A399" s="263" t="s">
        <v>4070</v>
      </c>
      <c r="B399" s="257" t="str">
        <f>VLOOKUP(A399,'3 - PLAN. ORÇAMENTÁRIA'!$B$16:$E$721,3,FALSE)</f>
        <v>PRÓPRIO</v>
      </c>
      <c r="C399" s="265" t="str">
        <f>VLOOKUP(A399,'3 - PLAN. ORÇAMENTÁRIA'!$B$16:$E$721,2,FALSE)</f>
        <v>AS BUILT INCÊNDIO REF. I07325/ORSE</v>
      </c>
      <c r="D399" s="257" t="str">
        <f>VLOOKUP(A399,'3 - PLAN. ORÇAMENTÁRIA'!$B$16:$E$721,4,FALSE)</f>
        <v>M2</v>
      </c>
      <c r="E399" s="266">
        <f>SUMIF('3 - PLAN. ORÇAMENTÁRIA'!$C$15:$C$721,C399,'3 - PLAN. ORÇAMENTÁRIA'!$F$15:$F$721)</f>
        <v>472.68</v>
      </c>
      <c r="F399" s="267">
        <f>VLOOKUP(A399,'3 - PLAN. ORÇAMENTÁRIA'!$B$16:$I$721,8,FALSE)</f>
        <v>1.22</v>
      </c>
      <c r="G399" s="267">
        <f>ROUND(E399*F399,2)</f>
        <v>576.66999999999996</v>
      </c>
      <c r="H399" s="262">
        <f t="shared" si="18"/>
        <v>9.8436854265258819E-3</v>
      </c>
      <c r="I399" s="262">
        <f t="shared" si="20"/>
        <v>99.496343235673635</v>
      </c>
      <c r="J399" s="257" t="str">
        <f t="shared" si="19"/>
        <v>C</v>
      </c>
    </row>
    <row r="400" spans="1:10" ht="14.25">
      <c r="A400" s="263" t="s">
        <v>4071</v>
      </c>
      <c r="B400" s="257" t="str">
        <f>VLOOKUP(A400,'3 - PLAN. ORÇAMENTÁRIA'!$B$16:$E$721,3,FALSE)</f>
        <v>PRÓPRIO</v>
      </c>
      <c r="C400" s="265" t="str">
        <f>VLOOKUP(A400,'3 - PLAN. ORÇAMENTÁRIA'!$B$16:$E$721,2,FALSE)</f>
        <v>AS BUILT IMPERMEABILIZAÇÃO REF. I07325/ORSE</v>
      </c>
      <c r="D400" s="257" t="str">
        <f>VLOOKUP(A400,'3 - PLAN. ORÇAMENTÁRIA'!$B$16:$E$721,4,FALSE)</f>
        <v>M2</v>
      </c>
      <c r="E400" s="266">
        <f>SUMIF('3 - PLAN. ORÇAMENTÁRIA'!$C$15:$C$721,C400,'3 - PLAN. ORÇAMENTÁRIA'!$F$15:$F$721)</f>
        <v>472.68</v>
      </c>
      <c r="F400" s="267">
        <f>VLOOKUP(A400,'3 - PLAN. ORÇAMENTÁRIA'!$B$16:$I$721,8,FALSE)</f>
        <v>1.22</v>
      </c>
      <c r="G400" s="267">
        <f>ROUND(E400*F400,2)</f>
        <v>576.66999999999996</v>
      </c>
      <c r="H400" s="262">
        <f t="shared" si="18"/>
        <v>9.8436854265258819E-3</v>
      </c>
      <c r="I400" s="262">
        <f t="shared" si="20"/>
        <v>99.506186921100166</v>
      </c>
      <c r="J400" s="257" t="str">
        <f t="shared" si="19"/>
        <v>C</v>
      </c>
    </row>
    <row r="401" spans="1:10" ht="14.25">
      <c r="A401" s="263" t="s">
        <v>1988</v>
      </c>
      <c r="B401" s="257" t="str">
        <f>VLOOKUP(A401,'3 - PLAN. ORÇAMENTÁRIA'!$B$16:$E$721,3,FALSE)</f>
        <v>PRÓPRIO</v>
      </c>
      <c r="C401" s="265" t="str">
        <f>VLOOKUP(A401,'3 - PLAN. ORÇAMENTÁRIA'!$B$16:$E$721,2,FALSE)</f>
        <v>TERMINAL DE PRESSÃO/COMPRESSÃO PARA CABO DE 50 MM² REF. 39.10.160/SP OBRAS</v>
      </c>
      <c r="D401" s="257" t="str">
        <f>VLOOKUP(A401,'3 - PLAN. ORÇAMENTÁRIA'!$B$16:$E$721,4,FALSE)</f>
        <v>UN</v>
      </c>
      <c r="E401" s="266">
        <f>SUMIF('3 - PLAN. ORÇAMENTÁRIA'!$C$15:$C$721,C401,'3 - PLAN. ORÇAMENTÁRIA'!$F$15:$F$721)</f>
        <v>33</v>
      </c>
      <c r="F401" s="267">
        <f>VLOOKUP(A401,'3 - PLAN. ORÇAMENTÁRIA'!$B$16:$I$721,8,FALSE)</f>
        <v>17.27</v>
      </c>
      <c r="G401" s="267">
        <f>ROUND(E401*F401,2)</f>
        <v>569.91</v>
      </c>
      <c r="H401" s="262">
        <f t="shared" si="18"/>
        <v>9.728293064371939E-3</v>
      </c>
      <c r="I401" s="262">
        <f t="shared" si="20"/>
        <v>99.515915214164536</v>
      </c>
      <c r="J401" s="257" t="str">
        <f t="shared" si="19"/>
        <v>C</v>
      </c>
    </row>
    <row r="402" spans="1:10" ht="14.25">
      <c r="A402" s="263">
        <v>89445</v>
      </c>
      <c r="B402" s="257" t="str">
        <f>VLOOKUP(A402,'3 - PLAN. ORÇAMENTÁRIA'!$B$16:$E$721,3,FALSE)</f>
        <v>SINAPI</v>
      </c>
      <c r="C402" s="264" t="s">
        <v>2286</v>
      </c>
      <c r="D402" s="257" t="str">
        <f>VLOOKUP(A402,'3 - PLAN. ORÇAMENTÁRIA'!$B$16:$E$721,4,FALSE)</f>
        <v>UN</v>
      </c>
      <c r="E402" s="266">
        <f>SUMIF('3 - PLAN. ORÇAMENTÁRIA'!$C$15:$C$721,C402,'3 - PLAN. ORÇAMENTÁRIA'!$F$15:$F$721)</f>
        <v>23</v>
      </c>
      <c r="F402" s="267">
        <f>VLOOKUP(A402,'3 - PLAN. ORÇAMENTÁRIA'!$B$16:$I$721,8,FALSE)</f>
        <v>24.74</v>
      </c>
      <c r="G402" s="267">
        <f>ROUND(E402*F402,2)</f>
        <v>569.02</v>
      </c>
      <c r="H402" s="262">
        <f t="shared" si="18"/>
        <v>9.7131008746800737E-3</v>
      </c>
      <c r="I402" s="262">
        <f t="shared" si="20"/>
        <v>99.525628315039214</v>
      </c>
      <c r="J402" s="257" t="str">
        <f t="shared" si="19"/>
        <v>C</v>
      </c>
    </row>
    <row r="403" spans="1:10" ht="28.5">
      <c r="A403" s="263" t="s">
        <v>2004</v>
      </c>
      <c r="B403" s="257" t="str">
        <f>VLOOKUP(A403,'3 - PLAN. ORÇAMENTÁRIA'!$B$16:$E$721,3,FALSE)</f>
        <v>PRÓPRIO</v>
      </c>
      <c r="C403" s="265" t="str">
        <f>VLOOKUP(A403,'3 - PLAN. ORÇAMENTÁRIA'!$B$16:$E$721,2,FALSE)</f>
        <v>CUBA DE AÇO INOX 304, DIMENSÕES 34 X 56 X 17CM, PARA INSTALAÇÃO EM BANCADA, C/VÁLVULA CROMADA 3 1/2", REF.94024-207, TRAMONTINA OU SIMILAR REF. 100852/SINAPI</v>
      </c>
      <c r="D403" s="257" t="str">
        <f>VLOOKUP(A403,'3 - PLAN. ORÇAMENTÁRIA'!$B$16:$E$721,4,FALSE)</f>
        <v>UN</v>
      </c>
      <c r="E403" s="266">
        <f>SUMIF('3 - PLAN. ORÇAMENTÁRIA'!$C$15:$C$721,C403,'3 - PLAN. ORÇAMENTÁRIA'!$F$15:$F$721)</f>
        <v>1</v>
      </c>
      <c r="F403" s="267">
        <f>VLOOKUP(A403,'3 - PLAN. ORÇAMENTÁRIA'!$B$16:$I$721,8,FALSE)</f>
        <v>556.55999999999995</v>
      </c>
      <c r="G403" s="267">
        <f>ROUND(E403*F403,2)</f>
        <v>556.55999999999995</v>
      </c>
      <c r="H403" s="262">
        <f t="shared" si="18"/>
        <v>9.5004102189939574E-3</v>
      </c>
      <c r="I403" s="262">
        <f t="shared" si="20"/>
        <v>99.535128725258204</v>
      </c>
      <c r="J403" s="257" t="str">
        <f t="shared" si="19"/>
        <v>C</v>
      </c>
    </row>
    <row r="404" spans="1:10" ht="14.25">
      <c r="A404" s="263">
        <v>91943</v>
      </c>
      <c r="B404" s="257" t="str">
        <f>VLOOKUP(A404,'3 - PLAN. ORÇAMENTÁRIA'!$B$16:$E$721,3,FALSE)</f>
        <v>SINAPI</v>
      </c>
      <c r="C404" s="264" t="s">
        <v>512</v>
      </c>
      <c r="D404" s="257" t="str">
        <f>VLOOKUP(A404,'3 - PLAN. ORÇAMENTÁRIA'!$B$16:$E$721,4,FALSE)</f>
        <v>UN</v>
      </c>
      <c r="E404" s="266">
        <f>SUMIF('3 - PLAN. ORÇAMENTÁRIA'!$C$15:$C$721,C404,'3 - PLAN. ORÇAMENTÁRIA'!$F$15:$F$721)</f>
        <v>19</v>
      </c>
      <c r="F404" s="267">
        <f>VLOOKUP(A404,'3 - PLAN. ORÇAMENTÁRIA'!$B$16:$I$721,8,FALSE)</f>
        <v>28.63</v>
      </c>
      <c r="G404" s="267">
        <f>ROUND(E404*F404,2)</f>
        <v>543.97</v>
      </c>
      <c r="H404" s="262">
        <f t="shared" si="18"/>
        <v>9.285500479420266E-3</v>
      </c>
      <c r="I404" s="262">
        <f t="shared" si="20"/>
        <v>99.544414225737626</v>
      </c>
      <c r="J404" s="257" t="str">
        <f t="shared" si="19"/>
        <v>C</v>
      </c>
    </row>
    <row r="405" spans="1:10" ht="14.25">
      <c r="A405" s="263">
        <v>86887</v>
      </c>
      <c r="B405" s="257" t="str">
        <f>VLOOKUP(A405,'3 - PLAN. ORÇAMENTÁRIA'!$B$16:$E$721,3,FALSE)</f>
        <v>SINAPI</v>
      </c>
      <c r="C405" s="265" t="s">
        <v>4043</v>
      </c>
      <c r="D405" s="257" t="str">
        <f>VLOOKUP(A405,'3 - PLAN. ORÇAMENTÁRIA'!$B$16:$E$721,4,FALSE)</f>
        <v>UN</v>
      </c>
      <c r="E405" s="266">
        <f>SUMIF('3 - PLAN. ORÇAMENTÁRIA'!$C$15:$C$721,C405,'3 - PLAN. ORÇAMENTÁRIA'!$F$15:$F$721)</f>
        <v>10</v>
      </c>
      <c r="F405" s="267">
        <f>VLOOKUP(A405,'3 - PLAN. ORÇAMENTÁRIA'!$B$16:$I$721,8,FALSE)</f>
        <v>51.79</v>
      </c>
      <c r="G405" s="267">
        <f>ROUND(E405*F405,2)</f>
        <v>517.9</v>
      </c>
      <c r="H405" s="262">
        <f t="shared" si="18"/>
        <v>8.8404888105810178E-3</v>
      </c>
      <c r="I405" s="262">
        <f t="shared" si="20"/>
        <v>99.553254714548203</v>
      </c>
      <c r="J405" s="257" t="str">
        <f t="shared" si="19"/>
        <v>C</v>
      </c>
    </row>
    <row r="406" spans="1:10" ht="14.25">
      <c r="A406" s="263">
        <v>89850</v>
      </c>
      <c r="B406" s="257" t="str">
        <f>VLOOKUP(A406,'3 - PLAN. ORÇAMENTÁRIA'!$B$16:$E$721,3,FALSE)</f>
        <v>SINAPI</v>
      </c>
      <c r="C406" s="264" t="s">
        <v>492</v>
      </c>
      <c r="D406" s="257" t="str">
        <f>VLOOKUP(A406,'3 - PLAN. ORÇAMENTÁRIA'!$B$16:$E$721,4,FALSE)</f>
        <v>UN</v>
      </c>
      <c r="E406" s="266">
        <f>SUMIF('3 - PLAN. ORÇAMENTÁRIA'!$C$15:$C$721,C406,'3 - PLAN. ORÇAMENTÁRIA'!$F$15:$F$721)</f>
        <v>12</v>
      </c>
      <c r="F406" s="267">
        <f>VLOOKUP(A406,'3 - PLAN. ORÇAMENTÁRIA'!$B$16:$I$721,8,FALSE)</f>
        <v>40.79</v>
      </c>
      <c r="G406" s="267">
        <f>ROUND(E406*F406,2)</f>
        <v>489.48</v>
      </c>
      <c r="H406" s="262">
        <f t="shared" si="18"/>
        <v>8.3553629330048191E-3</v>
      </c>
      <c r="I406" s="262">
        <f t="shared" si="20"/>
        <v>99.561610077481205</v>
      </c>
      <c r="J406" s="257" t="str">
        <f t="shared" si="19"/>
        <v>C</v>
      </c>
    </row>
    <row r="407" spans="1:10" ht="14.25">
      <c r="A407" s="263">
        <v>98111</v>
      </c>
      <c r="B407" s="257" t="str">
        <f>VLOOKUP(A407,'3 - PLAN. ORÇAMENTÁRIA'!$B$16:$E$721,3,FALSE)</f>
        <v>SINAPI</v>
      </c>
      <c r="C407" s="264" t="s">
        <v>2292</v>
      </c>
      <c r="D407" s="257" t="str">
        <f>VLOOKUP(A407,'3 - PLAN. ORÇAMENTÁRIA'!$B$16:$E$721,4,FALSE)</f>
        <v>UN</v>
      </c>
      <c r="E407" s="266">
        <f>SUMIF('3 - PLAN. ORÇAMENTÁRIA'!$C$15:$C$721,C407,'3 - PLAN. ORÇAMENTÁRIA'!$F$15:$F$721)</f>
        <v>6</v>
      </c>
      <c r="F407" s="267">
        <f>VLOOKUP(A407,'3 - PLAN. ORÇAMENTÁRIA'!$B$16:$I$721,8,FALSE)</f>
        <v>80.55</v>
      </c>
      <c r="G407" s="267">
        <f>ROUND(E407*F407,2)</f>
        <v>483.3</v>
      </c>
      <c r="H407" s="262">
        <f t="shared" si="18"/>
        <v>8.2498710989646756E-3</v>
      </c>
      <c r="I407" s="262">
        <f t="shared" si="20"/>
        <v>99.569859948580174</v>
      </c>
      <c r="J407" s="257" t="str">
        <f t="shared" si="19"/>
        <v>C</v>
      </c>
    </row>
    <row r="408" spans="1:10" ht="14.25">
      <c r="A408" s="263">
        <v>94492</v>
      </c>
      <c r="B408" s="257" t="str">
        <f>VLOOKUP(A408,'3 - PLAN. ORÇAMENTÁRIA'!$B$16:$E$721,3,FALSE)</f>
        <v>SINAPI</v>
      </c>
      <c r="C408" s="264" t="s">
        <v>359</v>
      </c>
      <c r="D408" s="257" t="str">
        <f>VLOOKUP(A408,'3 - PLAN. ORÇAMENTÁRIA'!$B$16:$E$721,4,FALSE)</f>
        <v>UN</v>
      </c>
      <c r="E408" s="266">
        <f>SUMIF('3 - PLAN. ORÇAMENTÁRIA'!$C$15:$C$721,C408,'3 - PLAN. ORÇAMENTÁRIA'!$F$15:$F$721)</f>
        <v>6</v>
      </c>
      <c r="F408" s="267">
        <f>VLOOKUP(A408,'3 - PLAN. ORÇAMENTÁRIA'!$B$16:$I$721,8,FALSE)</f>
        <v>80.34</v>
      </c>
      <c r="G408" s="267">
        <f>ROUND(E408*F408,2)</f>
        <v>482.04</v>
      </c>
      <c r="H408" s="262">
        <f t="shared" si="18"/>
        <v>8.2283630551312475E-3</v>
      </c>
      <c r="I408" s="262">
        <f t="shared" si="20"/>
        <v>99.578088311635298</v>
      </c>
      <c r="J408" s="257" t="str">
        <f t="shared" si="19"/>
        <v>C</v>
      </c>
    </row>
    <row r="409" spans="1:10" ht="14.25">
      <c r="A409" s="263">
        <v>86886</v>
      </c>
      <c r="B409" s="257" t="str">
        <f>VLOOKUP(A409,'3 - PLAN. ORÇAMENTÁRIA'!$B$16:$E$721,3,FALSE)</f>
        <v>SINAPI</v>
      </c>
      <c r="C409" s="265" t="s">
        <v>4052</v>
      </c>
      <c r="D409" s="257" t="str">
        <f>VLOOKUP(A409,'3 - PLAN. ORÇAMENTÁRIA'!$B$16:$E$721,4,FALSE)</f>
        <v>UN</v>
      </c>
      <c r="E409" s="266">
        <f>SUMIF('3 - PLAN. ORÇAMENTÁRIA'!$C$15:$C$721,C409,'3 - PLAN. ORÇAMENTÁRIA'!$F$15:$F$721)</f>
        <v>10</v>
      </c>
      <c r="F409" s="267">
        <f>VLOOKUP(A409,'3 - PLAN. ORÇAMENTÁRIA'!$B$16:$I$721,8,FALSE)</f>
        <v>47.92</v>
      </c>
      <c r="G409" s="267">
        <f>ROUND(E409*F409,2)</f>
        <v>479.2</v>
      </c>
      <c r="H409" s="262">
        <f t="shared" si="18"/>
        <v>8.1798846071257456E-3</v>
      </c>
      <c r="I409" s="262">
        <f t="shared" si="20"/>
        <v>99.586268196242429</v>
      </c>
      <c r="J409" s="257" t="str">
        <f t="shared" si="19"/>
        <v>C</v>
      </c>
    </row>
    <row r="410" spans="1:10" ht="14.25">
      <c r="A410" s="263" t="s">
        <v>2016</v>
      </c>
      <c r="B410" s="257" t="str">
        <f>VLOOKUP(A410,'3 - PLAN. ORÇAMENTÁRIA'!$B$16:$E$721,3,FALSE)</f>
        <v>PRÓPRIO</v>
      </c>
      <c r="C410" s="265" t="str">
        <f>VLOOKUP(A410,'3 - PLAN. ORÇAMENTÁRIA'!$B$16:$E$721,2,FALSE)</f>
        <v>CAIXA DE PASSAGEM POLAR PARA AR CONDICIONADO REF. I12184/ORSE</v>
      </c>
      <c r="D410" s="257" t="str">
        <f>VLOOKUP(A410,'3 - PLAN. ORÇAMENTÁRIA'!$B$16:$E$721,4,FALSE)</f>
        <v>UN</v>
      </c>
      <c r="E410" s="266">
        <f>SUMIF('3 - PLAN. ORÇAMENTÁRIA'!$C$15:$C$721,C410,'3 - PLAN. ORÇAMENTÁRIA'!$F$15:$F$721)</f>
        <v>9</v>
      </c>
      <c r="F410" s="267">
        <f>VLOOKUP(A410,'3 - PLAN. ORÇAMENTÁRIA'!$B$16:$I$721,8,FALSE)</f>
        <v>53.12</v>
      </c>
      <c r="G410" s="267">
        <f>ROUND(E410*F410,2)</f>
        <v>478.08</v>
      </c>
      <c r="H410" s="262">
        <f t="shared" si="18"/>
        <v>8.1607663459404758E-3</v>
      </c>
      <c r="I410" s="262">
        <f t="shared" si="20"/>
        <v>99.594428962588367</v>
      </c>
      <c r="J410" s="257" t="str">
        <f t="shared" si="19"/>
        <v>C</v>
      </c>
    </row>
    <row r="411" spans="1:10" ht="14.25">
      <c r="A411" s="263">
        <v>93673</v>
      </c>
      <c r="B411" s="257" t="str">
        <f>VLOOKUP(A411,'3 - PLAN. ORÇAMENTÁRIA'!$B$16:$E$721,3,FALSE)</f>
        <v>SINAPI</v>
      </c>
      <c r="C411" s="264" t="s">
        <v>1273</v>
      </c>
      <c r="D411" s="257" t="str">
        <f>VLOOKUP(A411,'3 - PLAN. ORÇAMENTÁRIA'!$B$16:$E$721,4,FALSE)</f>
        <v>UN</v>
      </c>
      <c r="E411" s="266">
        <f>SUMIF('3 - PLAN. ORÇAMENTÁRIA'!$C$15:$C$721,C411,'3 - PLAN. ORÇAMENTÁRIA'!$F$15:$F$721)</f>
        <v>3</v>
      </c>
      <c r="F411" s="267">
        <f>VLOOKUP(A411,'3 - PLAN. ORÇAMENTÁRIA'!$B$16:$I$721,8,FALSE)</f>
        <v>158.97999999999999</v>
      </c>
      <c r="G411" s="267">
        <f>ROUND(E411*F411,2)</f>
        <v>476.94</v>
      </c>
      <c r="H411" s="262">
        <f t="shared" si="18"/>
        <v>8.1413066872340414E-3</v>
      </c>
      <c r="I411" s="262">
        <f t="shared" si="20"/>
        <v>99.602570269275603</v>
      </c>
      <c r="J411" s="257" t="str">
        <f t="shared" si="19"/>
        <v>C</v>
      </c>
    </row>
    <row r="412" spans="1:10" ht="14.25">
      <c r="A412" s="263" t="s">
        <v>2176</v>
      </c>
      <c r="B412" s="257" t="str">
        <f>VLOOKUP(A412,'3 - PLAN. ORÇAMENTÁRIA'!$B$16:$E$721,3,FALSE)</f>
        <v>PRÓPRIO</v>
      </c>
      <c r="C412" s="265" t="str">
        <f>VLOOKUP(A412,'3 - PLAN. ORÇAMENTÁRIA'!$B$16:$E$721,2,FALSE)</f>
        <v>DEMOLIÇÃO DE CONSTRUÇÕES PROVISÓRIAS EM MADEIRA REF. 04.50.010/SP EDUCAÇÃO</v>
      </c>
      <c r="D412" s="257" t="str">
        <f>VLOOKUP(A412,'3 - PLAN. ORÇAMENTÁRIA'!$B$16:$E$721,4,FALSE)</f>
        <v>M2</v>
      </c>
      <c r="E412" s="266">
        <f>SUMIF('3 - PLAN. ORÇAMENTÁRIA'!$C$15:$C$721,C412,'3 - PLAN. ORÇAMENTÁRIA'!$F$15:$F$721)</f>
        <v>52.8</v>
      </c>
      <c r="F412" s="267">
        <f>VLOOKUP(A412,'3 - PLAN. ORÇAMENTÁRIA'!$B$16:$I$721,8,FALSE)</f>
        <v>8.7100000000000009</v>
      </c>
      <c r="G412" s="267">
        <f>ROUND(E412*F412,2)</f>
        <v>459.89</v>
      </c>
      <c r="H412" s="262">
        <f t="shared" si="18"/>
        <v>7.8502653004404403E-3</v>
      </c>
      <c r="I412" s="262">
        <f t="shared" si="20"/>
        <v>99.610420534576036</v>
      </c>
      <c r="J412" s="257" t="str">
        <f t="shared" si="19"/>
        <v>C</v>
      </c>
    </row>
    <row r="413" spans="1:10" ht="28.5">
      <c r="A413" s="263">
        <v>94794</v>
      </c>
      <c r="B413" s="257" t="str">
        <f>VLOOKUP(A413,'3 - PLAN. ORÇAMENTÁRIA'!$B$16:$E$721,3,FALSE)</f>
        <v>SINAPI</v>
      </c>
      <c r="C413" s="265" t="s">
        <v>3930</v>
      </c>
      <c r="D413" s="257" t="str">
        <f>VLOOKUP(A413,'3 - PLAN. ORÇAMENTÁRIA'!$B$16:$E$721,4,FALSE)</f>
        <v>UN</v>
      </c>
      <c r="E413" s="266">
        <f>SUMIF('3 - PLAN. ORÇAMENTÁRIA'!$C$15:$C$721,C413,'3 - PLAN. ORÇAMENTÁRIA'!$F$15:$F$721)</f>
        <v>2</v>
      </c>
      <c r="F413" s="267">
        <f>VLOOKUP(A413,'3 - PLAN. ORÇAMENTÁRIA'!$B$16:$I$721,8,FALSE)</f>
        <v>229.42</v>
      </c>
      <c r="G413" s="267">
        <f>ROUND(E413*F413,2)</f>
        <v>458.84</v>
      </c>
      <c r="H413" s="262">
        <f t="shared" si="18"/>
        <v>7.8323419305792504E-3</v>
      </c>
      <c r="I413" s="262">
        <f t="shared" si="20"/>
        <v>99.618252876506617</v>
      </c>
      <c r="J413" s="257" t="str">
        <f t="shared" si="19"/>
        <v>C</v>
      </c>
    </row>
    <row r="414" spans="1:10" ht="14.25">
      <c r="A414" s="263">
        <v>89524</v>
      </c>
      <c r="B414" s="257" t="str">
        <f>VLOOKUP(A414,'3 - PLAN. ORÇAMENTÁRIA'!$B$16:$E$721,3,FALSE)</f>
        <v>SINAPI</v>
      </c>
      <c r="C414" s="264" t="s">
        <v>3310</v>
      </c>
      <c r="D414" s="257" t="str">
        <f>VLOOKUP(A414,'3 - PLAN. ORÇAMENTÁRIA'!$B$16:$E$721,4,FALSE)</f>
        <v>UN</v>
      </c>
      <c r="E414" s="266">
        <f>SUMIF('3 - PLAN. ORÇAMENTÁRIA'!$C$15:$C$721,C414,'3 - PLAN. ORÇAMENTÁRIA'!$F$15:$F$721)</f>
        <v>12</v>
      </c>
      <c r="F414" s="267">
        <f>VLOOKUP(A414,'3 - PLAN. ORÇAMENTÁRIA'!$B$16:$I$721,8,FALSE)</f>
        <v>38.049999999999997</v>
      </c>
      <c r="G414" s="267">
        <f>ROUND(E414*F414,2)</f>
        <v>456.6</v>
      </c>
      <c r="H414" s="262">
        <f t="shared" si="18"/>
        <v>7.7941054082087124E-3</v>
      </c>
      <c r="I414" s="262">
        <f t="shared" si="20"/>
        <v>99.626046981914826</v>
      </c>
      <c r="J414" s="257" t="str">
        <f t="shared" si="19"/>
        <v>C</v>
      </c>
    </row>
    <row r="415" spans="1:10" ht="14.25">
      <c r="A415" s="263">
        <v>37558</v>
      </c>
      <c r="B415" s="257" t="str">
        <f>VLOOKUP(A415,'3 - PLAN. ORÇAMENTÁRIA'!$B$16:$E$721,3,FALSE)</f>
        <v>SINAPI</v>
      </c>
      <c r="C415" s="264" t="s">
        <v>761</v>
      </c>
      <c r="D415" s="257" t="str">
        <f>VLOOKUP(A415,'3 - PLAN. ORÇAMENTÁRIA'!$B$16:$E$721,4,FALSE)</f>
        <v>UN</v>
      </c>
      <c r="E415" s="266">
        <f>SUMIF('3 - PLAN. ORÇAMENTÁRIA'!$C$15:$C$721,C415,'3 - PLAN. ORÇAMENTÁRIA'!$F$15:$F$721)</f>
        <v>8</v>
      </c>
      <c r="F415" s="267">
        <f>VLOOKUP(A415,'3 - PLAN. ORÇAMENTÁRIA'!$B$16:$I$721,8,FALSE)</f>
        <v>56.97</v>
      </c>
      <c r="G415" s="267">
        <f>ROUND(E415*F415,2)</f>
        <v>455.76</v>
      </c>
      <c r="H415" s="262">
        <f t="shared" si="18"/>
        <v>7.7797667123197609E-3</v>
      </c>
      <c r="I415" s="262">
        <f t="shared" si="20"/>
        <v>99.633826748627143</v>
      </c>
      <c r="J415" s="257" t="str">
        <f t="shared" si="19"/>
        <v>C</v>
      </c>
    </row>
    <row r="416" spans="1:10" ht="28.5">
      <c r="A416" s="263">
        <v>101159</v>
      </c>
      <c r="B416" s="257" t="str">
        <f>VLOOKUP(A416,'3 - PLAN. ORÇAMENTÁRIA'!$B$16:$E$721,3,FALSE)</f>
        <v>SINAPI</v>
      </c>
      <c r="C416" s="264" t="s">
        <v>3922</v>
      </c>
      <c r="D416" s="257" t="str">
        <f>VLOOKUP(A416,'3 - PLAN. ORÇAMENTÁRIA'!$B$16:$E$721,4,FALSE)</f>
        <v>M2</v>
      </c>
      <c r="E416" s="266">
        <f>SUMIF('3 - PLAN. ORÇAMENTÁRIA'!$C$15:$C$721,C416,'3 - PLAN. ORÇAMENTÁRIA'!$F$15:$F$721)</f>
        <v>2.5099999999999998</v>
      </c>
      <c r="F416" s="267">
        <f>VLOOKUP(A416,'3 - PLAN. ORÇAMENTÁRIA'!$B$16:$I$721,8,FALSE)</f>
        <v>178.71</v>
      </c>
      <c r="G416" s="267">
        <f>ROUND(E416*F416,2)</f>
        <v>448.56</v>
      </c>
      <c r="H416" s="262">
        <f t="shared" si="18"/>
        <v>7.6568636047001761E-3</v>
      </c>
      <c r="I416" s="262">
        <f t="shared" si="20"/>
        <v>99.641483612231838</v>
      </c>
      <c r="J416" s="257" t="str">
        <f t="shared" si="19"/>
        <v>C</v>
      </c>
    </row>
    <row r="417" spans="1:10" ht="14.25">
      <c r="A417" s="263">
        <v>98510</v>
      </c>
      <c r="B417" s="257" t="str">
        <f>VLOOKUP(A417,'3 - PLAN. ORÇAMENTÁRIA'!$B$16:$E$721,3,FALSE)</f>
        <v>SINAPI</v>
      </c>
      <c r="C417" s="264" t="s">
        <v>1230</v>
      </c>
      <c r="D417" s="257" t="str">
        <f>VLOOKUP(A417,'3 - PLAN. ORÇAMENTÁRIA'!$B$16:$E$721,4,FALSE)</f>
        <v>UN</v>
      </c>
      <c r="E417" s="266">
        <f>SUMIF('3 - PLAN. ORÇAMENTÁRIA'!$C$15:$C$721,C417,'3 - PLAN. ORÇAMENTÁRIA'!$F$15:$F$721)</f>
        <v>4</v>
      </c>
      <c r="F417" s="267">
        <f>VLOOKUP(A417,'3 - PLAN. ORÇAMENTÁRIA'!$B$16:$I$721,8,FALSE)</f>
        <v>110.72</v>
      </c>
      <c r="G417" s="267">
        <f>ROUND(E417*F417,2)</f>
        <v>442.88</v>
      </c>
      <c r="H417" s="262">
        <f t="shared" si="18"/>
        <v>7.5599067086891698E-3</v>
      </c>
      <c r="I417" s="262">
        <f t="shared" si="20"/>
        <v>99.64904351894053</v>
      </c>
      <c r="J417" s="257" t="str">
        <f t="shared" si="19"/>
        <v>C</v>
      </c>
    </row>
    <row r="418" spans="1:10" ht="14.25">
      <c r="A418" s="263">
        <v>89395</v>
      </c>
      <c r="B418" s="257" t="str">
        <f>VLOOKUP(A418,'3 - PLAN. ORÇAMENTÁRIA'!$B$16:$E$721,3,FALSE)</f>
        <v>SINAPI</v>
      </c>
      <c r="C418" s="264" t="s">
        <v>481</v>
      </c>
      <c r="D418" s="257" t="str">
        <f>VLOOKUP(A418,'3 - PLAN. ORÇAMENTÁRIA'!$B$16:$E$721,4,FALSE)</f>
        <v>UN</v>
      </c>
      <c r="E418" s="266">
        <f>SUMIF('3 - PLAN. ORÇAMENTÁRIA'!$C$15:$C$721,C418,'3 - PLAN. ORÇAMENTÁRIA'!$F$15:$F$721)</f>
        <v>25</v>
      </c>
      <c r="F418" s="267">
        <f>VLOOKUP(A418,'3 - PLAN. ORÇAMENTÁRIA'!$B$16:$I$721,8,FALSE)</f>
        <v>17.41</v>
      </c>
      <c r="G418" s="267">
        <f>ROUND(E418*F418,2)</f>
        <v>435.25</v>
      </c>
      <c r="H418" s="262">
        <f t="shared" si="18"/>
        <v>7.4296635543645252E-3</v>
      </c>
      <c r="I418" s="262">
        <f t="shared" si="20"/>
        <v>99.656473182494892</v>
      </c>
      <c r="J418" s="257" t="str">
        <f t="shared" si="19"/>
        <v>C</v>
      </c>
    </row>
    <row r="419" spans="1:10" ht="14.25">
      <c r="A419" s="263">
        <v>89784</v>
      </c>
      <c r="B419" s="257" t="str">
        <f>VLOOKUP(A419,'3 - PLAN. ORÇAMENTÁRIA'!$B$16:$E$721,3,FALSE)</f>
        <v>SINAPI</v>
      </c>
      <c r="C419" s="264" t="s">
        <v>487</v>
      </c>
      <c r="D419" s="257" t="str">
        <f>VLOOKUP(A419,'3 - PLAN. ORÇAMENTÁRIA'!$B$16:$E$721,4,FALSE)</f>
        <v>UN</v>
      </c>
      <c r="E419" s="266">
        <f>SUMIF('3 - PLAN. ORÇAMENTÁRIA'!$C$15:$C$721,C419,'3 - PLAN. ORÇAMENTÁRIA'!$F$15:$F$721)</f>
        <v>14</v>
      </c>
      <c r="F419" s="267">
        <f>VLOOKUP(A419,'3 - PLAN. ORÇAMENTÁRIA'!$B$16:$I$721,8,FALSE)</f>
        <v>30.94</v>
      </c>
      <c r="G419" s="267">
        <f>ROUND(E419*F419,2)</f>
        <v>433.16</v>
      </c>
      <c r="H419" s="262">
        <f t="shared" si="18"/>
        <v>7.3939875134027286E-3</v>
      </c>
      <c r="I419" s="262">
        <f t="shared" si="20"/>
        <v>99.663867170008288</v>
      </c>
      <c r="J419" s="257" t="str">
        <f t="shared" si="19"/>
        <v>C</v>
      </c>
    </row>
    <row r="420" spans="1:10" ht="14.25">
      <c r="A420" s="263" t="s">
        <v>2008</v>
      </c>
      <c r="B420" s="257" t="str">
        <f>VLOOKUP(A420,'3 - PLAN. ORÇAMENTÁRIA'!$B$16:$E$721,3,FALSE)</f>
        <v>PRÓPRIO</v>
      </c>
      <c r="C420" s="265" t="str">
        <f>VLOOKUP(A420,'3 - PLAN. ORÇAMENTÁRIA'!$B$16:$E$721,2,FALSE)</f>
        <v>SINALIZADOR FOTOLUMINESCENTE 7 X 3CM, CANTONEIRA, PARA DEGRAUS DE ESCADA REF. S13788/ORSE</v>
      </c>
      <c r="D420" s="257" t="str">
        <f>VLOOKUP(A420,'3 - PLAN. ORÇAMENTÁRIA'!$B$16:$E$721,4,FALSE)</f>
        <v>UN</v>
      </c>
      <c r="E420" s="266">
        <f>SUMIF('3 - PLAN. ORÇAMENTÁRIA'!$C$15:$C$721,C420,'3 - PLAN. ORÇAMENTÁRIA'!$F$15:$F$721)</f>
        <v>36</v>
      </c>
      <c r="F420" s="267">
        <f>VLOOKUP(A420,'3 - PLAN. ORÇAMENTÁRIA'!$B$16:$I$721,8,FALSE)</f>
        <v>11.99</v>
      </c>
      <c r="G420" s="267">
        <f>ROUND(E420*F420,2)</f>
        <v>431.64</v>
      </c>
      <c r="H420" s="262">
        <f t="shared" si="18"/>
        <v>7.3680413017941501E-3</v>
      </c>
      <c r="I420" s="262">
        <f t="shared" si="20"/>
        <v>99.671235211310076</v>
      </c>
      <c r="J420" s="257" t="str">
        <f t="shared" si="19"/>
        <v>C</v>
      </c>
    </row>
    <row r="421" spans="1:10" ht="14.25">
      <c r="A421" s="263">
        <v>99825</v>
      </c>
      <c r="B421" s="257" t="str">
        <f>VLOOKUP(A421,'3 - PLAN. ORÇAMENTÁRIA'!$B$16:$E$721,3,FALSE)</f>
        <v>SINAPI</v>
      </c>
      <c r="C421" s="264" t="s">
        <v>2633</v>
      </c>
      <c r="D421" s="257" t="str">
        <f>VLOOKUP(A421,'3 - PLAN. ORÇAMENTÁRIA'!$B$16:$E$721,4,FALSE)</f>
        <v>M2</v>
      </c>
      <c r="E421" s="266">
        <f>SUMIF('3 - PLAN. ORÇAMENTÁRIA'!$C$15:$C$721,C421,'3 - PLAN. ORÇAMENTÁRIA'!$F$15:$F$721)</f>
        <v>88.48</v>
      </c>
      <c r="F421" s="267">
        <f>VLOOKUP(A421,'3 - PLAN. ORÇAMENTÁRIA'!$B$16:$I$721,8,FALSE)</f>
        <v>4.6399999999999997</v>
      </c>
      <c r="G421" s="267">
        <f>ROUND(E421*F421,2)</f>
        <v>410.55</v>
      </c>
      <c r="H421" s="262">
        <f t="shared" si="18"/>
        <v>7.0080376157251141E-3</v>
      </c>
      <c r="I421" s="262">
        <f t="shared" si="20"/>
        <v>99.678243248925796</v>
      </c>
      <c r="J421" s="257" t="str">
        <f t="shared" si="19"/>
        <v>C</v>
      </c>
    </row>
    <row r="422" spans="1:10" ht="14.25">
      <c r="A422" s="263">
        <v>94795</v>
      </c>
      <c r="B422" s="257" t="str">
        <f>VLOOKUP(A422,'3 - PLAN. ORÇAMENTÁRIA'!$B$16:$E$721,3,FALSE)</f>
        <v>SINAPI</v>
      </c>
      <c r="C422" s="264" t="s">
        <v>2290</v>
      </c>
      <c r="D422" s="257" t="str">
        <f>VLOOKUP(A422,'3 - PLAN. ORÇAMENTÁRIA'!$B$16:$E$721,4,FALSE)</f>
        <v>UN</v>
      </c>
      <c r="E422" s="266">
        <f>SUMIF('3 - PLAN. ORÇAMENTÁRIA'!$C$15:$C$721,C422,'3 - PLAN. ORÇAMENTÁRIA'!$F$15:$F$721)</f>
        <v>5</v>
      </c>
      <c r="F422" s="267">
        <f>VLOOKUP(A422,'3 - PLAN. ORÇAMENTÁRIA'!$B$16:$I$721,8,FALSE)</f>
        <v>76.62</v>
      </c>
      <c r="G422" s="267">
        <f>ROUND(E422*F422,2)</f>
        <v>383.1</v>
      </c>
      <c r="H422" s="262">
        <f t="shared" si="18"/>
        <v>6.5394695179254447E-3</v>
      </c>
      <c r="I422" s="262">
        <f t="shared" si="20"/>
        <v>99.684782718443728</v>
      </c>
      <c r="J422" s="257" t="str">
        <f t="shared" si="19"/>
        <v>C</v>
      </c>
    </row>
    <row r="423" spans="1:10" ht="42.75">
      <c r="A423" s="263">
        <v>87548</v>
      </c>
      <c r="B423" s="257" t="str">
        <f>VLOOKUP(A423,'3 - PLAN. ORÇAMENTÁRIA'!$B$16:$E$721,3,FALSE)</f>
        <v>SINAPI</v>
      </c>
      <c r="C423" s="264" t="s">
        <v>3923</v>
      </c>
      <c r="D423" s="257" t="str">
        <f>VLOOKUP(A423,'3 - PLAN. ORÇAMENTÁRIA'!$B$16:$E$721,4,FALSE)</f>
        <v>M2</v>
      </c>
      <c r="E423" s="266">
        <f>SUMIF('3 - PLAN. ORÇAMENTÁRIA'!$C$15:$C$721,C423,'3 - PLAN. ORÇAMENTÁRIA'!$F$15:$F$721)</f>
        <v>10.029999999999999</v>
      </c>
      <c r="F423" s="267">
        <f>VLOOKUP(A423,'3 - PLAN. ORÇAMENTÁRIA'!$B$16:$I$721,8,FALSE)</f>
        <v>38.090000000000003</v>
      </c>
      <c r="G423" s="267">
        <f>ROUND(E423*F423,2)</f>
        <v>382.04</v>
      </c>
      <c r="H423" s="262">
        <f t="shared" si="18"/>
        <v>6.5213754493036718E-3</v>
      </c>
      <c r="I423" s="262">
        <f t="shared" si="20"/>
        <v>99.691304093893038</v>
      </c>
      <c r="J423" s="257" t="str">
        <f t="shared" si="19"/>
        <v>C</v>
      </c>
    </row>
    <row r="424" spans="1:10" ht="28.5">
      <c r="A424" s="263">
        <v>101159</v>
      </c>
      <c r="B424" s="257" t="str">
        <f>VLOOKUP(A424,'3 - PLAN. ORÇAMENTÁRIA'!$B$16:$E$721,3,FALSE)</f>
        <v>SINAPI</v>
      </c>
      <c r="C424" s="264" t="s">
        <v>3255</v>
      </c>
      <c r="D424" s="257" t="str">
        <f>VLOOKUP(A424,'3 - PLAN. ORÇAMENTÁRIA'!$B$16:$E$721,4,FALSE)</f>
        <v>M2</v>
      </c>
      <c r="E424" s="266">
        <f>SUMIF('3 - PLAN. ORÇAMENTÁRIA'!$C$15:$C$721,C424,'3 - PLAN. ORÇAMENTÁRIA'!$F$15:$F$721)</f>
        <v>2.13</v>
      </c>
      <c r="F424" s="267">
        <f>VLOOKUP(A424,'3 - PLAN. ORÇAMENTÁRIA'!$B$16:$I$721,8,FALSE)</f>
        <v>178.71</v>
      </c>
      <c r="G424" s="267">
        <f>ROUND(E424*F424,2)</f>
        <v>380.65</v>
      </c>
      <c r="H424" s="262">
        <f t="shared" si="18"/>
        <v>6.4976483215826684E-3</v>
      </c>
      <c r="I424" s="262">
        <f t="shared" si="20"/>
        <v>99.697801742214622</v>
      </c>
      <c r="J424" s="257" t="str">
        <f t="shared" si="19"/>
        <v>C</v>
      </c>
    </row>
    <row r="425" spans="1:10" ht="14.25">
      <c r="A425" s="263">
        <v>99821</v>
      </c>
      <c r="B425" s="257" t="str">
        <f>VLOOKUP(A425,'3 - PLAN. ORÇAMENTÁRIA'!$B$16:$E$721,3,FALSE)</f>
        <v>SINAPI</v>
      </c>
      <c r="C425" s="264" t="s">
        <v>2630</v>
      </c>
      <c r="D425" s="257" t="str">
        <f>VLOOKUP(A425,'3 - PLAN. ORÇAMENTÁRIA'!$B$16:$E$721,4,FALSE)</f>
        <v>M2</v>
      </c>
      <c r="E425" s="266">
        <f>SUMIF('3 - PLAN. ORÇAMENTÁRIA'!$C$15:$C$721,C425,'3 - PLAN. ORÇAMENTÁRIA'!$F$15:$F$721)</f>
        <v>96.36</v>
      </c>
      <c r="F425" s="267">
        <f>VLOOKUP(A425,'3 - PLAN. ORÇAMENTÁRIA'!$B$16:$I$721,8,FALSE)</f>
        <v>3.95</v>
      </c>
      <c r="G425" s="267">
        <f>ROUND(E425*F425,2)</f>
        <v>380.62</v>
      </c>
      <c r="H425" s="262">
        <f t="shared" si="18"/>
        <v>6.4971362253009209E-3</v>
      </c>
      <c r="I425" s="262">
        <f t="shared" si="20"/>
        <v>99.704298878439928</v>
      </c>
      <c r="J425" s="257" t="str">
        <f t="shared" si="19"/>
        <v>C</v>
      </c>
    </row>
    <row r="426" spans="1:10" ht="14.25">
      <c r="A426" s="263" t="s">
        <v>1983</v>
      </c>
      <c r="B426" s="257" t="str">
        <f>VLOOKUP(A426,'3 - PLAN. ORÇAMENTÁRIA'!$B$16:$E$721,3,FALSE)</f>
        <v>PRÓPRIO</v>
      </c>
      <c r="C426" s="265" t="str">
        <f>VLOOKUP(A426,'3 - PLAN. ORÇAMENTÁRIA'!$B$16:$E$721,2,FALSE)</f>
        <v>TERMINAL DE PRESSÃO/COMPRESSÃO PARA CABO DE 70 MM² REF. 39.10.200/ SP OBRAS</v>
      </c>
      <c r="D426" s="257" t="str">
        <f>VLOOKUP(A426,'3 - PLAN. ORÇAMENTÁRIA'!$B$16:$E$721,4,FALSE)</f>
        <v>UN</v>
      </c>
      <c r="E426" s="266">
        <f>SUMIF('3 - PLAN. ORÇAMENTÁRIA'!$C$15:$C$721,C426,'3 - PLAN. ORÇAMENTÁRIA'!$F$15:$F$721)</f>
        <v>20</v>
      </c>
      <c r="F426" s="267">
        <f>VLOOKUP(A426,'3 - PLAN. ORÇAMENTÁRIA'!$B$16:$I$721,8,FALSE)</f>
        <v>18.97</v>
      </c>
      <c r="G426" s="267">
        <f>ROUND(E426*F426,2)</f>
        <v>379.4</v>
      </c>
      <c r="H426" s="262">
        <f t="shared" si="18"/>
        <v>6.4763109765098243E-3</v>
      </c>
      <c r="I426" s="262">
        <f t="shared" si="20"/>
        <v>99.710775189416438</v>
      </c>
      <c r="J426" s="257" t="str">
        <f t="shared" si="19"/>
        <v>C</v>
      </c>
    </row>
    <row r="427" spans="1:10" ht="28.5">
      <c r="A427" s="263">
        <v>94704</v>
      </c>
      <c r="B427" s="257" t="str">
        <f>VLOOKUP(A427,'3 - PLAN. ORÇAMENTÁRIA'!$B$16:$E$721,3,FALSE)</f>
        <v>SINAPI</v>
      </c>
      <c r="C427" s="264" t="s">
        <v>2203</v>
      </c>
      <c r="D427" s="257" t="str">
        <f>VLOOKUP(A427,'3 - PLAN. ORÇAMENTÁRIA'!$B$16:$E$721,4,FALSE)</f>
        <v>UN</v>
      </c>
      <c r="E427" s="266">
        <f>SUMIF('3 - PLAN. ORÇAMENTÁRIA'!$C$15:$C$721,C427,'3 - PLAN. ORÇAMENTÁRIA'!$F$15:$F$721)</f>
        <v>11</v>
      </c>
      <c r="F427" s="267">
        <f>VLOOKUP(A427,'3 - PLAN. ORÇAMENTÁRIA'!$B$16:$I$721,8,FALSE)</f>
        <v>34.47</v>
      </c>
      <c r="G427" s="267">
        <f>ROUND(E427*F427,2)</f>
        <v>379.17</v>
      </c>
      <c r="H427" s="262">
        <f t="shared" si="18"/>
        <v>6.4723849050164206E-3</v>
      </c>
      <c r="I427" s="262">
        <f t="shared" si="20"/>
        <v>99.717247574321448</v>
      </c>
      <c r="J427" s="257" t="str">
        <f t="shared" si="19"/>
        <v>C</v>
      </c>
    </row>
    <row r="428" spans="1:10" ht="28.5">
      <c r="A428" s="263">
        <v>94706</v>
      </c>
      <c r="B428" s="257" t="str">
        <f>VLOOKUP(A428,'3 - PLAN. ORÇAMENTÁRIA'!$B$16:$E$721,3,FALSE)</f>
        <v>SINAPI</v>
      </c>
      <c r="C428" s="264" t="s">
        <v>2202</v>
      </c>
      <c r="D428" s="257" t="str">
        <f>VLOOKUP(A428,'3 - PLAN. ORÇAMENTÁRIA'!$B$16:$E$721,4,FALSE)</f>
        <v>UN</v>
      </c>
      <c r="E428" s="266">
        <f>SUMIF('3 - PLAN. ORÇAMENTÁRIA'!$C$15:$C$721,C428,'3 - PLAN. ORÇAMENTÁRIA'!$F$15:$F$721)</f>
        <v>8</v>
      </c>
      <c r="F428" s="267">
        <f>VLOOKUP(A428,'3 - PLAN. ORÇAMENTÁRIA'!$B$16:$I$721,8,FALSE)</f>
        <v>46.08</v>
      </c>
      <c r="G428" s="267">
        <f>ROUND(E428*F428,2)</f>
        <v>368.64</v>
      </c>
      <c r="H428" s="262">
        <f t="shared" si="18"/>
        <v>6.2926391101227773E-3</v>
      </c>
      <c r="I428" s="262">
        <f t="shared" si="20"/>
        <v>99.723540213431576</v>
      </c>
      <c r="J428" s="257" t="str">
        <f t="shared" si="19"/>
        <v>C</v>
      </c>
    </row>
    <row r="429" spans="1:10" ht="14.25">
      <c r="A429" s="263" t="s">
        <v>1885</v>
      </c>
      <c r="B429" s="257" t="str">
        <f>VLOOKUP(A429,'3 - PLAN. ORÇAMENTÁRIA'!$B$16:$E$721,3,FALSE)</f>
        <v>PRÓPRIO</v>
      </c>
      <c r="C429" s="265" t="str">
        <f>VLOOKUP(A429,'3 - PLAN. ORÇAMENTÁRIA'!$B$16:$E$721,2,FALSE)</f>
        <v>PLACA DE INAUGURAÇÃO DE OBRA EM ALUMÍNIO 0,15 X 0,39 M REF.S03239/ORSE</v>
      </c>
      <c r="D429" s="257" t="str">
        <f>VLOOKUP(A429,'3 - PLAN. ORÇAMENTÁRIA'!$B$16:$E$721,4,FALSE)</f>
        <v>UN</v>
      </c>
      <c r="E429" s="266">
        <f>SUMIF('3 - PLAN. ORÇAMENTÁRIA'!$C$15:$C$721,C429,'3 - PLAN. ORÇAMENTÁRIA'!$F$15:$F$721)</f>
        <v>1</v>
      </c>
      <c r="F429" s="267">
        <f>VLOOKUP(A429,'3 - PLAN. ORÇAMENTÁRIA'!$B$16:$I$721,8,FALSE)</f>
        <v>361.81</v>
      </c>
      <c r="G429" s="267">
        <f>ROUND(E429*F429,2)</f>
        <v>361.81</v>
      </c>
      <c r="H429" s="262">
        <f t="shared" si="18"/>
        <v>6.1760518566447535E-3</v>
      </c>
      <c r="I429" s="262">
        <f t="shared" si="20"/>
        <v>99.729716265288218</v>
      </c>
      <c r="J429" s="257" t="str">
        <f t="shared" si="19"/>
        <v>C</v>
      </c>
    </row>
    <row r="430" spans="1:10" ht="14.25">
      <c r="A430" s="263">
        <v>89443</v>
      </c>
      <c r="B430" s="257" t="str">
        <f>VLOOKUP(A430,'3 - PLAN. ORÇAMENTÁRIA'!$B$16:$E$721,3,FALSE)</f>
        <v>SINAPI</v>
      </c>
      <c r="C430" s="264" t="s">
        <v>1073</v>
      </c>
      <c r="D430" s="257" t="str">
        <f>VLOOKUP(A430,'3 - PLAN. ORÇAMENTÁRIA'!$B$16:$E$721,4,FALSE)</f>
        <v>UN</v>
      </c>
      <c r="E430" s="266">
        <f>SUMIF('3 - PLAN. ORÇAMENTÁRIA'!$C$15:$C$721,C430,'3 - PLAN. ORÇAMENTÁRIA'!$F$15:$F$721)</f>
        <v>16</v>
      </c>
      <c r="F430" s="267">
        <f>VLOOKUP(A430,'3 - PLAN. ORÇAMENTÁRIA'!$B$16:$I$721,8,FALSE)</f>
        <v>22.44</v>
      </c>
      <c r="G430" s="267">
        <f>ROUND(E430*F430,2)</f>
        <v>359.04</v>
      </c>
      <c r="H430" s="262">
        <f t="shared" si="18"/>
        <v>6.1287682999633299E-3</v>
      </c>
      <c r="I430" s="262">
        <f t="shared" si="20"/>
        <v>99.735845033588177</v>
      </c>
      <c r="J430" s="257" t="str">
        <f t="shared" si="19"/>
        <v>C</v>
      </c>
    </row>
    <row r="431" spans="1:10" ht="14.25">
      <c r="A431" s="263">
        <v>88484</v>
      </c>
      <c r="B431" s="257" t="str">
        <f>VLOOKUP(A431,'3 - PLAN. ORÇAMENTÁRIA'!$B$16:$E$721,3,FALSE)</f>
        <v>SINAPI</v>
      </c>
      <c r="C431" s="264" t="s">
        <v>306</v>
      </c>
      <c r="D431" s="257" t="str">
        <f>VLOOKUP(A431,'3 - PLAN. ORÇAMENTÁRIA'!$B$16:$E$721,4,FALSE)</f>
        <v>M2</v>
      </c>
      <c r="E431" s="266">
        <f>SUMIF('3 - PLAN. ORÇAMENTÁRIA'!$C$15:$C$721,C431,'3 - PLAN. ORÇAMENTÁRIA'!$F$15:$F$721)</f>
        <v>48.7</v>
      </c>
      <c r="F431" s="267">
        <f>VLOOKUP(A431,'3 - PLAN. ORÇAMENTÁRIA'!$B$16:$I$721,8,FALSE)</f>
        <v>7.16</v>
      </c>
      <c r="G431" s="267">
        <f>ROUND(E431*F431,2)</f>
        <v>348.69</v>
      </c>
      <c r="H431" s="262">
        <f t="shared" si="18"/>
        <v>5.9520950827601756E-3</v>
      </c>
      <c r="I431" s="262">
        <f t="shared" si="20"/>
        <v>99.741797128670939</v>
      </c>
      <c r="J431" s="257" t="str">
        <f t="shared" si="19"/>
        <v>C</v>
      </c>
    </row>
    <row r="432" spans="1:10" ht="14.25">
      <c r="A432" s="263">
        <v>89711</v>
      </c>
      <c r="B432" s="257" t="str">
        <f>VLOOKUP(A432,'3 - PLAN. ORÇAMENTÁRIA'!$B$16:$E$721,3,FALSE)</f>
        <v>SINAPI</v>
      </c>
      <c r="C432" s="264" t="s">
        <v>500</v>
      </c>
      <c r="D432" s="257" t="str">
        <f>VLOOKUP(A432,'3 - PLAN. ORÇAMENTÁRIA'!$B$16:$E$721,4,FALSE)</f>
        <v>M</v>
      </c>
      <c r="E432" s="266">
        <f>SUMIF('3 - PLAN. ORÇAMENTÁRIA'!$C$15:$C$721,C432,'3 - PLAN. ORÇAMENTÁRIA'!$F$15:$F$721)</f>
        <v>12.19</v>
      </c>
      <c r="F432" s="267">
        <f>VLOOKUP(A432,'3 - PLAN. ORÇAMENTÁRIA'!$B$16:$I$721,8,FALSE)</f>
        <v>28.52</v>
      </c>
      <c r="G432" s="267">
        <f>ROUND(E432*F432,2)</f>
        <v>347.66</v>
      </c>
      <c r="H432" s="262">
        <f t="shared" si="18"/>
        <v>5.9345131104201511E-3</v>
      </c>
      <c r="I432" s="262">
        <f t="shared" si="20"/>
        <v>99.747731641781357</v>
      </c>
      <c r="J432" s="257" t="str">
        <f t="shared" si="19"/>
        <v>C</v>
      </c>
    </row>
    <row r="433" spans="1:10" ht="28.5">
      <c r="A433" s="263">
        <v>92001</v>
      </c>
      <c r="B433" s="257" t="str">
        <f>VLOOKUP(A433,'3 - PLAN. ORÇAMENTÁRIA'!$B$16:$E$721,3,FALSE)</f>
        <v>SINAPI</v>
      </c>
      <c r="C433" s="264" t="s">
        <v>547</v>
      </c>
      <c r="D433" s="257" t="str">
        <f>VLOOKUP(A433,'3 - PLAN. ORÇAMENTÁRIA'!$B$16:$E$721,4,FALSE)</f>
        <v>UN</v>
      </c>
      <c r="E433" s="266">
        <f>SUMIF('3 - PLAN. ORÇAMENTÁRIA'!$C$15:$C$721,C433,'3 - PLAN. ORÇAMENTÁRIA'!$F$15:$F$721)</f>
        <v>7</v>
      </c>
      <c r="F433" s="267">
        <f>VLOOKUP(A433,'3 - PLAN. ORÇAMENTÁRIA'!$B$16:$I$721,8,FALSE)</f>
        <v>49.37</v>
      </c>
      <c r="G433" s="267">
        <f>ROUND(E433*F433,2)</f>
        <v>345.59</v>
      </c>
      <c r="H433" s="262">
        <f t="shared" si="18"/>
        <v>5.8991784669795207E-3</v>
      </c>
      <c r="I433" s="262">
        <f t="shared" si="20"/>
        <v>99.753630820248333</v>
      </c>
      <c r="J433" s="257" t="str">
        <f t="shared" si="19"/>
        <v>C</v>
      </c>
    </row>
    <row r="434" spans="1:10" ht="14.25">
      <c r="A434" s="263">
        <v>86878</v>
      </c>
      <c r="B434" s="257" t="str">
        <f>VLOOKUP(A434,'3 - PLAN. ORÇAMENTÁRIA'!$B$16:$E$721,3,FALSE)</f>
        <v>SINAPI</v>
      </c>
      <c r="C434" s="265" t="s">
        <v>4054</v>
      </c>
      <c r="D434" s="257" t="str">
        <f>VLOOKUP(A434,'3 - PLAN. ORÇAMENTÁRIA'!$B$16:$E$721,4,FALSE)</f>
        <v>UN</v>
      </c>
      <c r="E434" s="266">
        <f>SUMIF('3 - PLAN. ORÇAMENTÁRIA'!$C$15:$C$721,C434,'3 - PLAN. ORÇAMENTÁRIA'!$F$15:$F$721)</f>
        <v>5</v>
      </c>
      <c r="F434" s="267">
        <f>VLOOKUP(A434,'3 - PLAN. ORÇAMENTÁRIA'!$B$16:$I$721,8,FALSE)</f>
        <v>68.98</v>
      </c>
      <c r="G434" s="267">
        <f>ROUND(E434*F434,2)</f>
        <v>344.9</v>
      </c>
      <c r="H434" s="262">
        <f t="shared" si="18"/>
        <v>5.8874002524993106E-3</v>
      </c>
      <c r="I434" s="262">
        <f t="shared" si="20"/>
        <v>99.759518220500837</v>
      </c>
      <c r="J434" s="257" t="str">
        <f t="shared" si="19"/>
        <v>C</v>
      </c>
    </row>
    <row r="435" spans="1:10" ht="14.25">
      <c r="A435" s="263">
        <v>94490</v>
      </c>
      <c r="B435" s="257" t="str">
        <f>VLOOKUP(A435,'3 - PLAN. ORÇAMENTÁRIA'!$B$16:$E$721,3,FALSE)</f>
        <v>SINAPI</v>
      </c>
      <c r="C435" s="264" t="s">
        <v>358</v>
      </c>
      <c r="D435" s="257" t="str">
        <f>VLOOKUP(A435,'3 - PLAN. ORÇAMENTÁRIA'!$B$16:$E$721,4,FALSE)</f>
        <v>UN</v>
      </c>
      <c r="E435" s="266">
        <f>SUMIF('3 - PLAN. ORÇAMENTÁRIA'!$C$15:$C$721,C435,'3 - PLAN. ORÇAMENTÁRIA'!$F$15:$F$721)</f>
        <v>6</v>
      </c>
      <c r="F435" s="267">
        <f>VLOOKUP(A435,'3 - PLAN. ORÇAMENTÁRIA'!$B$16:$I$721,8,FALSE)</f>
        <v>57.3</v>
      </c>
      <c r="G435" s="267">
        <f>ROUND(E435*F435,2)</f>
        <v>343.8</v>
      </c>
      <c r="H435" s="262">
        <f t="shared" si="18"/>
        <v>5.868623388835207E-3</v>
      </c>
      <c r="I435" s="262">
        <f t="shared" si="20"/>
        <v>99.765386843889672</v>
      </c>
      <c r="J435" s="257" t="str">
        <f t="shared" si="19"/>
        <v>C</v>
      </c>
    </row>
    <row r="436" spans="1:10" ht="14.25">
      <c r="A436" s="263" t="s">
        <v>4139</v>
      </c>
      <c r="B436" s="257" t="str">
        <f>VLOOKUP(A436,'3 - PLAN. ORÇAMENTÁRIA'!$B$16:$E$721,3,FALSE)</f>
        <v>COTAÇÃO</v>
      </c>
      <c r="C436" s="265" t="str">
        <f>VLOOKUP(A436,'3 - PLAN. ORÇAMENTÁRIA'!$B$16:$E$721,2,FALSE)</f>
        <v>PLANTIO DE ARBUSTO MORÉIA BRANCA - CONFORME PROJETO DE PAISAGISMO</v>
      </c>
      <c r="D436" s="257" t="str">
        <f>VLOOKUP(A436,'3 - PLAN. ORÇAMENTÁRIA'!$B$16:$E$721,4,FALSE)</f>
        <v>UN</v>
      </c>
      <c r="E436" s="266">
        <f>SUMIF('3 - PLAN. ORÇAMENTÁRIA'!$C$15:$C$721,C436,'3 - PLAN. ORÇAMENTÁRIA'!$F$15:$F$721)</f>
        <v>16</v>
      </c>
      <c r="F436" s="267">
        <f>VLOOKUP(A436,'3 - PLAN. ORÇAMENTÁRIA'!$B$16:$I$721,8,FALSE)</f>
        <v>21.39</v>
      </c>
      <c r="G436" s="267">
        <f>ROUND(E436*F436,2)</f>
        <v>342.24</v>
      </c>
      <c r="H436" s="262">
        <f t="shared" si="18"/>
        <v>5.8419943821842969E-3</v>
      </c>
      <c r="I436" s="262">
        <f t="shared" si="20"/>
        <v>99.771228838271853</v>
      </c>
      <c r="J436" s="257" t="str">
        <f t="shared" si="19"/>
        <v>C</v>
      </c>
    </row>
    <row r="437" spans="1:10" ht="14.25">
      <c r="A437" s="263">
        <v>93655</v>
      </c>
      <c r="B437" s="257" t="str">
        <f>VLOOKUP(A437,'3 - PLAN. ORÇAMENTÁRIA'!$B$16:$E$721,3,FALSE)</f>
        <v>SINAPI</v>
      </c>
      <c r="C437" s="264" t="s">
        <v>521</v>
      </c>
      <c r="D437" s="257" t="str">
        <f>VLOOKUP(A437,'3 - PLAN. ORÇAMENTÁRIA'!$B$16:$E$721,4,FALSE)</f>
        <v>UN</v>
      </c>
      <c r="E437" s="266">
        <f>SUMIF('3 - PLAN. ORÇAMENTÁRIA'!$C$15:$C$721,C437,'3 - PLAN. ORÇAMENTÁRIA'!$F$15:$F$721)</f>
        <v>15</v>
      </c>
      <c r="F437" s="267">
        <f>VLOOKUP(A437,'3 - PLAN. ORÇAMENTÁRIA'!$B$16:$I$721,8,FALSE)</f>
        <v>22.2</v>
      </c>
      <c r="G437" s="267">
        <f>ROUND(E437*F437,2)</f>
        <v>333</v>
      </c>
      <c r="H437" s="262">
        <f t="shared" si="18"/>
        <v>5.6842687274058284E-3</v>
      </c>
      <c r="I437" s="262">
        <f t="shared" si="20"/>
        <v>99.77691310699926</v>
      </c>
      <c r="J437" s="257" t="str">
        <f t="shared" si="19"/>
        <v>C</v>
      </c>
    </row>
    <row r="438" spans="1:10" ht="28.5">
      <c r="A438" s="263" t="s">
        <v>4051</v>
      </c>
      <c r="B438" s="257" t="str">
        <f>VLOOKUP(A438,'3 - PLAN. ORÇAMENTÁRIA'!$B$16:$E$721,3,FALSE)</f>
        <v>PRÓPRIO</v>
      </c>
      <c r="C438" s="265" t="str">
        <f>VLOOKUP(A438,'3 - PLAN. ORÇAMENTÁRIA'!$B$16:$E$721,2,FALSE)</f>
        <v>VÁLVULA DE ESCOAMENTO PARA LAVATÓRIO, DECA 1602C OU SIMILAR - FORNECIMENTO E INSTALAÇÃO REF. 86878/SINAPI</v>
      </c>
      <c r="D438" s="257" t="str">
        <f>VLOOKUP(A438,'3 - PLAN. ORÇAMENTÁRIA'!$B$16:$E$721,4,FALSE)</f>
        <v>UN</v>
      </c>
      <c r="E438" s="266">
        <f>SUMIF('3 - PLAN. ORÇAMENTÁRIA'!$C$15:$C$721,C438,'3 - PLAN. ORÇAMENTÁRIA'!$F$15:$F$721)</f>
        <v>5</v>
      </c>
      <c r="F438" s="267">
        <f>VLOOKUP(A438,'3 - PLAN. ORÇAMENTÁRIA'!$B$16:$I$721,8,FALSE)</f>
        <v>66</v>
      </c>
      <c r="G438" s="267">
        <f>ROUND(E438*F438,2)</f>
        <v>330</v>
      </c>
      <c r="H438" s="262">
        <f t="shared" si="18"/>
        <v>5.6330590992310012E-3</v>
      </c>
      <c r="I438" s="262">
        <f t="shared" si="20"/>
        <v>99.782546166098484</v>
      </c>
      <c r="J438" s="257" t="str">
        <f t="shared" si="19"/>
        <v>C</v>
      </c>
    </row>
    <row r="439" spans="1:10" ht="28.5">
      <c r="A439" s="263">
        <v>87547</v>
      </c>
      <c r="B439" s="257" t="str">
        <f>VLOOKUP(A439,'3 - PLAN. ORÇAMENTÁRIA'!$B$16:$E$721,3,FALSE)</f>
        <v>SINAPI</v>
      </c>
      <c r="C439" s="264" t="s">
        <v>4031</v>
      </c>
      <c r="D439" s="257" t="str">
        <f>VLOOKUP(A439,'3 - PLAN. ORÇAMENTÁRIA'!$B$16:$E$721,4,FALSE)</f>
        <v>M2</v>
      </c>
      <c r="E439" s="266">
        <f>SUMIF('3 - PLAN. ORÇAMENTÁRIA'!$C$15:$C$721,C439,'3 - PLAN. ORÇAMENTÁRIA'!$F$15:$F$721)</f>
        <v>9.42</v>
      </c>
      <c r="F439" s="267">
        <f>VLOOKUP(A439,'3 - PLAN. ORÇAMENTÁRIA'!$B$16:$I$721,8,FALSE)</f>
        <v>34.880000000000003</v>
      </c>
      <c r="G439" s="267">
        <f>ROUND(E439*F439,2)</f>
        <v>328.57</v>
      </c>
      <c r="H439" s="262">
        <f t="shared" si="18"/>
        <v>5.6086491764676671E-3</v>
      </c>
      <c r="I439" s="262">
        <f t="shared" si="20"/>
        <v>99.78815481527495</v>
      </c>
      <c r="J439" s="257" t="str">
        <f t="shared" si="19"/>
        <v>C</v>
      </c>
    </row>
    <row r="440" spans="1:10" ht="14.25">
      <c r="A440" s="263" t="s">
        <v>1889</v>
      </c>
      <c r="B440" s="257" t="str">
        <f>VLOOKUP(A440,'3 - PLAN. ORÇAMENTÁRIA'!$B$16:$E$721,3,FALSE)</f>
        <v>PRÓPRIO</v>
      </c>
      <c r="C440" s="265" t="str">
        <f>VLOOKUP(A440,'3 - PLAN. ORÇAMENTÁRIA'!$B$16:$E$721,2,FALSE)</f>
        <v>LOCAÇÃO DE MURO, INCLUSIVE EXECUÇÃO DE GABARITO DE MADEIRA REF. S04816/ORSE</v>
      </c>
      <c r="D440" s="257" t="str">
        <f>VLOOKUP(A440,'3 - PLAN. ORÇAMENTÁRIA'!$B$16:$E$721,4,FALSE)</f>
        <v>M</v>
      </c>
      <c r="E440" s="266">
        <f>SUMIF('3 - PLAN. ORÇAMENTÁRIA'!$C$15:$C$721,C440,'3 - PLAN. ORÇAMENTÁRIA'!$F$15:$F$721)</f>
        <v>249.02</v>
      </c>
      <c r="F440" s="267">
        <f>VLOOKUP(A440,'3 - PLAN. ORÇAMENTÁRIA'!$B$16:$I$721,8,FALSE)</f>
        <v>1.3</v>
      </c>
      <c r="G440" s="267">
        <f>ROUND(E440*F440,2)</f>
        <v>323.73</v>
      </c>
      <c r="H440" s="262">
        <f t="shared" si="18"/>
        <v>5.5260309763456123E-3</v>
      </c>
      <c r="I440" s="262">
        <f t="shared" si="20"/>
        <v>99.793680846251291</v>
      </c>
      <c r="J440" s="257" t="str">
        <f t="shared" si="19"/>
        <v>C</v>
      </c>
    </row>
    <row r="441" spans="1:10" ht="28.5">
      <c r="A441" s="263" t="s">
        <v>2700</v>
      </c>
      <c r="B441" s="257" t="str">
        <f>VLOOKUP(A441,'3 - PLAN. ORÇAMENTÁRIA'!$B$16:$E$721,3,FALSE)</f>
        <v>PRÓPRIO</v>
      </c>
      <c r="C441" s="265" t="str">
        <f>VLOOKUP(A441,'3 - PLAN. ORÇAMENTÁRIA'!$B$16:$E$721,2,FALSE)</f>
        <v>LAVATÓRIO LOUÇA SUSPENSO 39,5 X 29,5 CM, LINHA IZY, REF. L.15.17, DECA OU SIMILAR, SEM COLUNA, C/ SIFÃO CROMADO, EXCLUSIVE TORNEIRA REF. 86904/SINAPI</v>
      </c>
      <c r="D441" s="257" t="str">
        <f>VLOOKUP(A441,'3 - PLAN. ORÇAMENTÁRIA'!$B$16:$E$721,4,FALSE)</f>
        <v>UN</v>
      </c>
      <c r="E441" s="266">
        <f>SUMIF('3 - PLAN. ORÇAMENTÁRIA'!$C$15:$C$721,C441,'3 - PLAN. ORÇAMENTÁRIA'!$F$15:$F$721)</f>
        <v>1</v>
      </c>
      <c r="F441" s="267">
        <f>VLOOKUP(A441,'3 - PLAN. ORÇAMENTÁRIA'!$B$16:$I$721,8,FALSE)</f>
        <v>313.08999999999997</v>
      </c>
      <c r="G441" s="267">
        <f>ROUND(E441*F441,2)</f>
        <v>313.08999999999997</v>
      </c>
      <c r="H441" s="262">
        <f t="shared" si="18"/>
        <v>5.3444074950855574E-3</v>
      </c>
      <c r="I441" s="262">
        <f t="shared" si="20"/>
        <v>99.799025253746379</v>
      </c>
      <c r="J441" s="257" t="str">
        <f t="shared" si="19"/>
        <v>C</v>
      </c>
    </row>
    <row r="442" spans="1:10" ht="14.25">
      <c r="A442" s="263" t="s">
        <v>4161</v>
      </c>
      <c r="B442" s="257" t="str">
        <f>VLOOKUP(A442,'3 - PLAN. ORÇAMENTÁRIA'!$B$16:$E$721,3,FALSE)</f>
        <v>COTAÇÃO</v>
      </c>
      <c r="C442" s="265" t="str">
        <f>VLOOKUP(A442,'3 - PLAN. ORÇAMENTÁRIA'!$B$16:$E$721,2,FALSE)</f>
        <v>PLANTIO DE ARBUSTO LAVANDA - CONFORME PROJETO DE PAISAGISMO</v>
      </c>
      <c r="D442" s="257" t="str">
        <f>VLOOKUP(A442,'3 - PLAN. ORÇAMENTÁRIA'!$B$16:$E$721,4,FALSE)</f>
        <v>UN</v>
      </c>
      <c r="E442" s="266">
        <f>SUMIF('3 - PLAN. ORÇAMENTÁRIA'!$C$15:$C$721,C442,'3 - PLAN. ORÇAMENTÁRIA'!$F$15:$F$721)</f>
        <v>73</v>
      </c>
      <c r="F442" s="267">
        <f>VLOOKUP(A442,'3 - PLAN. ORÇAMENTÁRIA'!$B$16:$I$721,8,FALSE)</f>
        <v>4.28</v>
      </c>
      <c r="G442" s="267">
        <f>ROUND(E442*F442,2)</f>
        <v>312.44</v>
      </c>
      <c r="H442" s="262">
        <f t="shared" si="18"/>
        <v>5.3333120756476789E-3</v>
      </c>
      <c r="I442" s="262">
        <f t="shared" si="20"/>
        <v>99.804358565822028</v>
      </c>
      <c r="J442" s="257" t="str">
        <f t="shared" si="19"/>
        <v>C</v>
      </c>
    </row>
    <row r="443" spans="1:10" ht="14.25">
      <c r="A443" s="263">
        <v>99806</v>
      </c>
      <c r="B443" s="257" t="str">
        <f>VLOOKUP(A443,'3 - PLAN. ORÇAMENTÁRIA'!$B$16:$E$721,3,FALSE)</f>
        <v>SINAPI</v>
      </c>
      <c r="C443" s="264" t="s">
        <v>2634</v>
      </c>
      <c r="D443" s="257" t="str">
        <f>VLOOKUP(A443,'3 - PLAN. ORÇAMENTÁRIA'!$B$16:$E$721,4,FALSE)</f>
        <v>M2</v>
      </c>
      <c r="E443" s="266">
        <f>SUMIF('3 - PLAN. ORÇAMENTÁRIA'!$C$15:$C$721,C443,'3 - PLAN. ORÇAMENTÁRIA'!$F$15:$F$721)</f>
        <v>268.01</v>
      </c>
      <c r="F443" s="267">
        <f>VLOOKUP(A443,'3 - PLAN. ORÇAMENTÁRIA'!$B$16:$I$721,8,FALSE)</f>
        <v>1.1599999999999999</v>
      </c>
      <c r="G443" s="267">
        <f>ROUND(E443*F443,2)</f>
        <v>310.89</v>
      </c>
      <c r="H443" s="262">
        <f t="shared" si="18"/>
        <v>5.3068537677573519E-3</v>
      </c>
      <c r="I443" s="262">
        <f t="shared" si="20"/>
        <v>99.809665419589791</v>
      </c>
      <c r="J443" s="257" t="str">
        <f t="shared" si="19"/>
        <v>C</v>
      </c>
    </row>
    <row r="444" spans="1:10" ht="28.5">
      <c r="A444" s="263" t="s">
        <v>1976</v>
      </c>
      <c r="B444" s="257" t="str">
        <f>VLOOKUP(A444,'3 - PLAN. ORÇAMENTÁRIA'!$B$16:$E$721,3,FALSE)</f>
        <v>PRÓPRIO</v>
      </c>
      <c r="C444" s="265" t="str">
        <f>VLOOKUP(A444,'3 - PLAN. ORÇAMENTÁRIA'!$B$16:$E$721,2,FALSE)</f>
        <v>CONDULETE DE ALUMÍNIO, TIPO C, PARA ELETRODUTO DE AÇO GALVANIZADO DN 50 MM (2''), APARENTE - FORNECIMENTO E INSTALAÇÃO. AF_10/2022 ref. 95784/SINAPI</v>
      </c>
      <c r="D444" s="257" t="str">
        <f>VLOOKUP(A444,'3 - PLAN. ORÇAMENTÁRIA'!$B$16:$E$721,4,FALSE)</f>
        <v>UN</v>
      </c>
      <c r="E444" s="266">
        <f>SUMIF('3 - PLAN. ORÇAMENTÁRIA'!$C$15:$C$721,C444,'3 - PLAN. ORÇAMENTÁRIA'!$F$15:$F$721)</f>
        <v>5</v>
      </c>
      <c r="F444" s="267">
        <f>VLOOKUP(A444,'3 - PLAN. ORÇAMENTÁRIA'!$B$16:$I$721,8,FALSE)</f>
        <v>59.37</v>
      </c>
      <c r="G444" s="267">
        <f>ROUND(E444*F444,2)</f>
        <v>296.85000000000002</v>
      </c>
      <c r="H444" s="262">
        <f t="shared" si="18"/>
        <v>5.0671927078991602E-3</v>
      </c>
      <c r="I444" s="262">
        <f t="shared" si="20"/>
        <v>99.814732612297689</v>
      </c>
      <c r="J444" s="257" t="str">
        <f t="shared" si="19"/>
        <v>C</v>
      </c>
    </row>
    <row r="445" spans="1:10" ht="14.25">
      <c r="A445" s="263">
        <v>92306</v>
      </c>
      <c r="B445" s="257" t="str">
        <f>VLOOKUP(A445,'3 - PLAN. ORÇAMENTÁRIA'!$B$16:$E$721,3,FALSE)</f>
        <v>SINAPI</v>
      </c>
      <c r="C445" s="265" t="s">
        <v>3633</v>
      </c>
      <c r="D445" s="257" t="str">
        <f>VLOOKUP(A445,'3 - PLAN. ORÇAMENTÁRIA'!$B$16:$E$721,4,FALSE)</f>
        <v>M</v>
      </c>
      <c r="E445" s="266">
        <f>SUMIF('3 - PLAN. ORÇAMENTÁRIA'!$C$15:$C$721,C445,'3 - PLAN. ORÇAMENTÁRIA'!$F$15:$F$721)</f>
        <v>2.4</v>
      </c>
      <c r="F445" s="267">
        <f>VLOOKUP(A445,'3 - PLAN. ORÇAMENTÁRIA'!$B$16:$I$721,8,FALSE)</f>
        <v>122.3</v>
      </c>
      <c r="G445" s="267">
        <f>ROUND(E445*F445,2)</f>
        <v>293.52</v>
      </c>
      <c r="H445" s="262">
        <f t="shared" si="18"/>
        <v>5.0103500206251017E-3</v>
      </c>
      <c r="I445" s="262">
        <f t="shared" si="20"/>
        <v>99.819742962318315</v>
      </c>
      <c r="J445" s="257" t="str">
        <f t="shared" si="19"/>
        <v>C</v>
      </c>
    </row>
    <row r="446" spans="1:10" ht="14.25">
      <c r="A446" s="263" t="s">
        <v>4084</v>
      </c>
      <c r="B446" s="257" t="str">
        <f>VLOOKUP(A446,'3 - PLAN. ORÇAMENTÁRIA'!$B$16:$E$721,3,FALSE)</f>
        <v>COTAÇÃO</v>
      </c>
      <c r="C446" s="265" t="str">
        <f>VLOOKUP(A446,'3 - PLAN. ORÇAMENTÁRIA'!$B$16:$E$721,2,FALSE)</f>
        <v>PLANTIO DE ARBUSTO CLOROFITO - CONFORME PROJETO DE PAISAGISMO</v>
      </c>
      <c r="D446" s="257" t="str">
        <f>VLOOKUP(A446,'3 - PLAN. ORÇAMENTÁRIA'!$B$16:$E$721,4,FALSE)</f>
        <v>UN</v>
      </c>
      <c r="E446" s="266">
        <f>SUMIF('3 - PLAN. ORÇAMENTÁRIA'!$C$15:$C$721,C446,'3 - PLAN. ORÇAMENTÁRIA'!$F$15:$F$721)</f>
        <v>95</v>
      </c>
      <c r="F446" s="267">
        <f>VLOOKUP(A446,'3 - PLAN. ORÇAMENTÁRIA'!$B$16:$I$721,8,FALSE)</f>
        <v>3.06</v>
      </c>
      <c r="G446" s="267">
        <f>ROUND(E446*F446,2)</f>
        <v>290.7</v>
      </c>
      <c r="H446" s="262">
        <f t="shared" si="18"/>
        <v>4.9622129701407643E-3</v>
      </c>
      <c r="I446" s="262">
        <f t="shared" si="20"/>
        <v>99.824705175288457</v>
      </c>
      <c r="J446" s="257" t="str">
        <f t="shared" si="19"/>
        <v>C</v>
      </c>
    </row>
    <row r="447" spans="1:10" ht="14.25">
      <c r="A447" s="263" t="s">
        <v>1997</v>
      </c>
      <c r="B447" s="257" t="str">
        <f>VLOOKUP(A447,'3 - PLAN. ORÇAMENTÁRIA'!$B$16:$E$721,3,FALSE)</f>
        <v>PRÓPRIO</v>
      </c>
      <c r="C447" s="265" t="str">
        <f>VLOOKUP(A447,'3 - PLAN. ORÇAMENTÁRIA'!$B$16:$E$721,2,FALSE)</f>
        <v>GUIA ORGANIZADORA DE CABOS PARA RACK, 19´ 1 U REF. 66.20.150/SP OBRAS</v>
      </c>
      <c r="D447" s="257" t="str">
        <f>VLOOKUP(A447,'3 - PLAN. ORÇAMENTÁRIA'!$B$16:$E$721,4,FALSE)</f>
        <v>UN</v>
      </c>
      <c r="E447" s="266">
        <f>SUMIF('3 - PLAN. ORÇAMENTÁRIA'!$C$15:$C$721,C447,'3 - PLAN. ORÇAMENTÁRIA'!$F$15:$F$721)</f>
        <v>7</v>
      </c>
      <c r="F447" s="267">
        <f>VLOOKUP(A447,'3 - PLAN. ORÇAMENTÁRIA'!$B$16:$I$721,8,FALSE)</f>
        <v>41.15</v>
      </c>
      <c r="G447" s="267">
        <f>ROUND(E447*F447,2)</f>
        <v>288.05</v>
      </c>
      <c r="H447" s="262">
        <f t="shared" si="18"/>
        <v>4.9169777985863328E-3</v>
      </c>
      <c r="I447" s="262">
        <f t="shared" si="20"/>
        <v>99.829622153087044</v>
      </c>
      <c r="J447" s="257" t="str">
        <f t="shared" si="19"/>
        <v>C</v>
      </c>
    </row>
    <row r="448" spans="1:10" ht="14.25">
      <c r="A448" s="263" t="s">
        <v>1977</v>
      </c>
      <c r="B448" s="257" t="str">
        <f>VLOOKUP(A448,'3 - PLAN. ORÇAMENTÁRIA'!$B$16:$E$721,3,FALSE)</f>
        <v>PRÓPRIO</v>
      </c>
      <c r="C448" s="265" t="str">
        <f>VLOOKUP(A448,'3 - PLAN. ORÇAMENTÁRIA'!$B$16:$E$721,2,FALSE)</f>
        <v>TERMINAL DE PRESSÃO/COMPRESSÃO PARA CABO DE 35 MM² REF. 39.10.130/SP OBRAS</v>
      </c>
      <c r="D448" s="257" t="str">
        <f>VLOOKUP(A448,'3 - PLAN. ORÇAMENTÁRIA'!$B$16:$E$721,4,FALSE)</f>
        <v>UN</v>
      </c>
      <c r="E448" s="266">
        <f>SUMIF('3 - PLAN. ORÇAMENTÁRIA'!$C$15:$C$721,C448,'3 - PLAN. ORÇAMENTÁRIA'!$F$15:$F$721)</f>
        <v>20</v>
      </c>
      <c r="F448" s="267">
        <f>VLOOKUP(A448,'3 - PLAN. ORÇAMENTÁRIA'!$B$16:$I$721,8,FALSE)</f>
        <v>14.36</v>
      </c>
      <c r="G448" s="267">
        <f>ROUND(E448*F448,2)</f>
        <v>287.2</v>
      </c>
      <c r="H448" s="262">
        <f t="shared" si="18"/>
        <v>4.902468403936799E-3</v>
      </c>
      <c r="I448" s="262">
        <f t="shared" si="20"/>
        <v>99.834524621490985</v>
      </c>
      <c r="J448" s="257" t="str">
        <f t="shared" si="19"/>
        <v>C</v>
      </c>
    </row>
    <row r="449" spans="1:10" ht="28.5">
      <c r="A449" s="263">
        <v>97599</v>
      </c>
      <c r="B449" s="257" t="str">
        <f>VLOOKUP(A449,'3 - PLAN. ORÇAMENTÁRIA'!$B$16:$E$721,3,FALSE)</f>
        <v>SINAPI</v>
      </c>
      <c r="C449" s="264" t="s">
        <v>2538</v>
      </c>
      <c r="D449" s="257" t="str">
        <f>VLOOKUP(A449,'3 - PLAN. ORÇAMENTÁRIA'!$B$16:$E$721,4,FALSE)</f>
        <v>UN</v>
      </c>
      <c r="E449" s="266">
        <f>SUMIF('3 - PLAN. ORÇAMENTÁRIA'!$C$15:$C$721,C449,'3 - PLAN. ORÇAMENTÁRIA'!$F$15:$F$721)</f>
        <v>12</v>
      </c>
      <c r="F449" s="267">
        <f>VLOOKUP(A449,'3 - PLAN. ORÇAMENTÁRIA'!$B$16:$I$721,8,FALSE)</f>
        <v>23.82</v>
      </c>
      <c r="G449" s="267">
        <f>ROUND(E449*F449,2)</f>
        <v>285.83999999999997</v>
      </c>
      <c r="H449" s="262">
        <f t="shared" si="18"/>
        <v>4.8792533724975433E-3</v>
      </c>
      <c r="I449" s="262">
        <f t="shared" si="20"/>
        <v>99.839403874863478</v>
      </c>
      <c r="J449" s="257" t="str">
        <f t="shared" si="19"/>
        <v>C</v>
      </c>
    </row>
    <row r="450" spans="1:10" ht="14.25">
      <c r="A450" s="263">
        <v>89547</v>
      </c>
      <c r="B450" s="257" t="str">
        <f>VLOOKUP(A450,'3 - PLAN. ORÇAMENTÁRIA'!$B$16:$E$721,3,FALSE)</f>
        <v>SINAPI</v>
      </c>
      <c r="C450" s="264" t="s">
        <v>3305</v>
      </c>
      <c r="D450" s="257" t="str">
        <f>VLOOKUP(A450,'3 - PLAN. ORÇAMENTÁRIA'!$B$16:$E$721,4,FALSE)</f>
        <v>UN</v>
      </c>
      <c r="E450" s="266">
        <f>SUMIF('3 - PLAN. ORÇAMENTÁRIA'!$C$15:$C$721,C450,'3 - PLAN. ORÇAMENTÁRIA'!$F$15:$F$721)</f>
        <v>10</v>
      </c>
      <c r="F450" s="267">
        <f>VLOOKUP(A450,'3 - PLAN. ORÇAMENTÁRIA'!$B$16:$I$721,8,FALSE)</f>
        <v>28.33</v>
      </c>
      <c r="G450" s="267">
        <f>ROUND(E450*F450,2)</f>
        <v>283.3</v>
      </c>
      <c r="H450" s="262">
        <f t="shared" si="18"/>
        <v>4.8358958873095234E-3</v>
      </c>
      <c r="I450" s="262">
        <f t="shared" si="20"/>
        <v>99.844239770750789</v>
      </c>
      <c r="J450" s="257" t="str">
        <f t="shared" si="19"/>
        <v>C</v>
      </c>
    </row>
    <row r="451" spans="1:10" ht="28.5">
      <c r="A451" s="263" t="s">
        <v>3642</v>
      </c>
      <c r="B451" s="257" t="str">
        <f>VLOOKUP(A451,'3 - PLAN. ORÇAMENTÁRIA'!$B$16:$E$721,3,FALSE)</f>
        <v>PRÓPRIO</v>
      </c>
      <c r="C451" s="265" t="str">
        <f>VLOOKUP(A451,'3 - PLAN. ORÇAMENTÁRIA'!$B$16:$E$721,2,FALSE)</f>
        <v>CAIXA DE PASSAGEM PARA CONDICIONAMENTO DE AR TIPO SPLIT, COM SAÍDA DE DRENO ÚNICO NA VERTICAL - 39 X 22 X 6 CM REF. 43.20.130/SP OBRAS</v>
      </c>
      <c r="D451" s="257" t="str">
        <f>VLOOKUP(A451,'3 - PLAN. ORÇAMENTÁRIA'!$B$16:$E$721,4,FALSE)</f>
        <v>UN</v>
      </c>
      <c r="E451" s="266">
        <f>SUMIF('3 - PLAN. ORÇAMENTÁRIA'!$C$15:$C$721,C451,'3 - PLAN. ORÇAMENTÁRIA'!$F$15:$F$721)</f>
        <v>5</v>
      </c>
      <c r="F451" s="267">
        <f>VLOOKUP(A451,'3 - PLAN. ORÇAMENTÁRIA'!$B$16:$I$721,8,FALSE)</f>
        <v>56.49</v>
      </c>
      <c r="G451" s="267">
        <f>ROUND(E451*F451,2)</f>
        <v>282.45</v>
      </c>
      <c r="H451" s="262">
        <f t="shared" si="18"/>
        <v>4.8213864926599887E-3</v>
      </c>
      <c r="I451" s="262">
        <f t="shared" si="20"/>
        <v>99.849061157243455</v>
      </c>
      <c r="J451" s="257" t="str">
        <f t="shared" si="19"/>
        <v>C</v>
      </c>
    </row>
    <row r="452" spans="1:10" ht="28.5">
      <c r="A452" s="263" t="s">
        <v>2144</v>
      </c>
      <c r="B452" s="257" t="str">
        <f>VLOOKUP(A452,'3 - PLAN. ORÇAMENTÁRIA'!$B$16:$E$721,3,FALSE)</f>
        <v>PRÓPRIO</v>
      </c>
      <c r="C452" s="265" t="str">
        <f>VLOOKUP(A452,'3 - PLAN. ORÇAMENTÁRIA'!$B$16:$E$721,2,FALSE)</f>
        <v>CAIXA SIFONADA REDONDA, CORPO GIRATÓRIO, COM 5 ENTRADAS DE 40MM E 1 SAÍDA DE 75MM, D = 150X170X75 MM, COM GRELHA, PVC BRANCO, TIGRE OU SIMILAR REF. S07862/ORSE</v>
      </c>
      <c r="D452" s="257" t="str">
        <f>VLOOKUP(A452,'3 - PLAN. ORÇAMENTÁRIA'!$B$16:$E$721,4,FALSE)</f>
        <v>UN</v>
      </c>
      <c r="E452" s="266">
        <f>SUMIF('3 - PLAN. ORÇAMENTÁRIA'!$C$15:$C$721,C452,'3 - PLAN. ORÇAMENTÁRIA'!$F$15:$F$721)</f>
        <v>4</v>
      </c>
      <c r="F452" s="267">
        <f>VLOOKUP(A452,'3 - PLAN. ORÇAMENTÁRIA'!$B$16:$I$721,8,FALSE)</f>
        <v>69.14</v>
      </c>
      <c r="G452" s="267">
        <f>ROUND(E452*F452,2)</f>
        <v>276.56</v>
      </c>
      <c r="H452" s="262">
        <f t="shared" si="18"/>
        <v>4.720844922676745E-3</v>
      </c>
      <c r="I452" s="262">
        <f t="shared" si="20"/>
        <v>99.853782002166128</v>
      </c>
      <c r="J452" s="257" t="str">
        <f t="shared" si="19"/>
        <v>C</v>
      </c>
    </row>
    <row r="453" spans="1:10" ht="14.25">
      <c r="A453" s="263">
        <v>89724</v>
      </c>
      <c r="B453" s="257" t="str">
        <f>VLOOKUP(A453,'3 - PLAN. ORÇAMENTÁRIA'!$B$16:$E$721,3,FALSE)</f>
        <v>SINAPI</v>
      </c>
      <c r="C453" s="264" t="s">
        <v>494</v>
      </c>
      <c r="D453" s="257" t="str">
        <f>VLOOKUP(A453,'3 - PLAN. ORÇAMENTÁRIA'!$B$16:$E$721,4,FALSE)</f>
        <v>UN</v>
      </c>
      <c r="E453" s="266">
        <f>SUMIF('3 - PLAN. ORÇAMENTÁRIA'!$C$15:$C$721,C453,'3 - PLAN. ORÇAMENTÁRIA'!$F$15:$F$721)</f>
        <v>20</v>
      </c>
      <c r="F453" s="267">
        <f>VLOOKUP(A453,'3 - PLAN. ORÇAMENTÁRIA'!$B$16:$I$721,8,FALSE)</f>
        <v>13.6</v>
      </c>
      <c r="G453" s="267">
        <f>ROUND(E453*F453,2)</f>
        <v>272</v>
      </c>
      <c r="H453" s="262">
        <f t="shared" si="18"/>
        <v>4.6430062878510077E-3</v>
      </c>
      <c r="I453" s="262">
        <f t="shared" si="20"/>
        <v>99.858425008453978</v>
      </c>
      <c r="J453" s="257" t="str">
        <f t="shared" si="19"/>
        <v>C</v>
      </c>
    </row>
    <row r="454" spans="1:10" ht="28.5">
      <c r="A454" s="263" t="s">
        <v>1966</v>
      </c>
      <c r="B454" s="257" t="str">
        <f>VLOOKUP(A454,'3 - PLAN. ORÇAMENTÁRIA'!$B$16:$E$721,3,FALSE)</f>
        <v>PRÓPRIO</v>
      </c>
      <c r="C454" s="265" t="str">
        <f>VLOOKUP(A454,'3 - PLAN. ORÇAMENTÁRIA'!$B$16:$E$721,2,FALSE)</f>
        <v>PLACA DE IDENTIFICAÇÃO EM ALUMÍNIO PARA WC, COM DESENHO UNIVERSAL DE ACESSIBILIDADE REF. 30.06.080/SP OBRAS</v>
      </c>
      <c r="D454" s="257" t="str">
        <f>VLOOKUP(A454,'3 - PLAN. ORÇAMENTÁRIA'!$B$16:$E$721,4,FALSE)</f>
        <v>UN</v>
      </c>
      <c r="E454" s="266">
        <f>SUMIF('3 - PLAN. ORÇAMENTÁRIA'!$C$15:$C$721,C454,'3 - PLAN. ORÇAMENTÁRIA'!$F$15:$F$721)</f>
        <v>6</v>
      </c>
      <c r="F454" s="267">
        <f>VLOOKUP(A454,'3 - PLAN. ORÇAMENTÁRIA'!$B$16:$I$721,8,FALSE)</f>
        <v>43.08</v>
      </c>
      <c r="G454" s="267">
        <f>ROUND(E454*F454,2)</f>
        <v>258.48</v>
      </c>
      <c r="H454" s="262">
        <f t="shared" si="18"/>
        <v>4.4122215635431193E-3</v>
      </c>
      <c r="I454" s="262">
        <f t="shared" si="20"/>
        <v>99.862837230017519</v>
      </c>
      <c r="J454" s="257" t="str">
        <f t="shared" si="19"/>
        <v>C</v>
      </c>
    </row>
    <row r="455" spans="1:10" ht="28.5">
      <c r="A455" s="263">
        <v>102223</v>
      </c>
      <c r="B455" s="257" t="str">
        <f>VLOOKUP(A455,'3 - PLAN. ORÇAMENTÁRIA'!$B$16:$E$721,3,FALSE)</f>
        <v>SINAPI</v>
      </c>
      <c r="C455" s="264" t="s">
        <v>2263</v>
      </c>
      <c r="D455" s="257" t="str">
        <f>VLOOKUP(A455,'3 - PLAN. ORÇAMENTÁRIA'!$B$16:$E$721,4,FALSE)</f>
        <v>M2</v>
      </c>
      <c r="E455" s="266">
        <f>SUMIF('3 - PLAN. ORÇAMENTÁRIA'!$C$15:$C$721,C455,'3 - PLAN. ORÇAMENTÁRIA'!$F$15:$F$721)</f>
        <v>6.4</v>
      </c>
      <c r="F455" s="267">
        <f>VLOOKUP(A455,'3 - PLAN. ORÇAMENTÁRIA'!$B$16:$I$721,8,FALSE)</f>
        <v>39.74</v>
      </c>
      <c r="G455" s="267">
        <f>ROUND(E455*F455,2)</f>
        <v>254.34</v>
      </c>
      <c r="H455" s="262">
        <f t="shared" si="18"/>
        <v>4.3415522766618569E-3</v>
      </c>
      <c r="I455" s="262">
        <f t="shared" si="20"/>
        <v>99.867178782294175</v>
      </c>
      <c r="J455" s="257" t="str">
        <f t="shared" si="19"/>
        <v>C</v>
      </c>
    </row>
    <row r="456" spans="1:10" ht="14.25">
      <c r="A456" s="263">
        <v>98520</v>
      </c>
      <c r="B456" s="257" t="str">
        <f>VLOOKUP(A456,'3 - PLAN. ORÇAMENTÁRIA'!$B$16:$E$721,3,FALSE)</f>
        <v>SINAPI</v>
      </c>
      <c r="C456" s="264" t="s">
        <v>1177</v>
      </c>
      <c r="D456" s="257" t="str">
        <f>VLOOKUP(A456,'3 - PLAN. ORÇAMENTÁRIA'!$B$16:$E$721,4,FALSE)</f>
        <v>M2</v>
      </c>
      <c r="E456" s="266">
        <f>SUMIF('3 - PLAN. ORÇAMENTÁRIA'!$C$15:$C$721,C456,'3 - PLAN. ORÇAMENTÁRIA'!$F$15:$F$721)</f>
        <v>36.590000000000003</v>
      </c>
      <c r="F456" s="267">
        <f>VLOOKUP(A456,'3 - PLAN. ORÇAMENTÁRIA'!$B$16:$I$721,8,FALSE)</f>
        <v>6.6</v>
      </c>
      <c r="G456" s="267">
        <f>ROUND(E456*F456,2)</f>
        <v>241.49</v>
      </c>
      <c r="H456" s="262">
        <f t="shared" si="18"/>
        <v>4.1222043693130133E-3</v>
      </c>
      <c r="I456" s="262">
        <f t="shared" si="20"/>
        <v>99.871300986663485</v>
      </c>
      <c r="J456" s="257" t="str">
        <f t="shared" si="19"/>
        <v>C</v>
      </c>
    </row>
    <row r="457" spans="1:10" ht="14.25">
      <c r="A457" s="263" t="s">
        <v>2885</v>
      </c>
      <c r="B457" s="257" t="str">
        <f>VLOOKUP(A457,'3 - PLAN. ORÇAMENTÁRIA'!$B$16:$E$721,3,FALSE)</f>
        <v>SINAPI</v>
      </c>
      <c r="C457" s="265" t="str">
        <f>VLOOKUP(A457,'3 - PLAN. ORÇAMENTÁRIA'!$B$16:$E$721,2,FALSE)</f>
        <v>CAIXA D´ÁGUA EM POLIETILENO, 100 LITROS - FORNECIMENTO E INSTALAÇÃO. AF_06/2021 REF. 102605/SINAPI</v>
      </c>
      <c r="D457" s="257" t="str">
        <f>VLOOKUP(A457,'3 - PLAN. ORÇAMENTÁRIA'!$B$16:$E$721,4,FALSE)</f>
        <v>UN</v>
      </c>
      <c r="E457" s="266">
        <f>SUMIF('3 - PLAN. ORÇAMENTÁRIA'!$C$15:$C$721,C457,'3 - PLAN. ORÇAMENTÁRIA'!$F$15:$F$721)</f>
        <v>1</v>
      </c>
      <c r="F457" s="267">
        <f>VLOOKUP(A457,'3 - PLAN. ORÇAMENTÁRIA'!$B$16:$I$721,8,FALSE)</f>
        <v>235.47</v>
      </c>
      <c r="G457" s="267">
        <f>ROUND(E457*F457,2)</f>
        <v>235.47</v>
      </c>
      <c r="H457" s="262">
        <f t="shared" ref="H457:H519" si="21">(G457*100)/SUM($G$8:$G$519)</f>
        <v>4.0194437154421935E-3</v>
      </c>
      <c r="I457" s="262">
        <f t="shared" si="20"/>
        <v>99.87532043037892</v>
      </c>
      <c r="J457" s="257" t="str">
        <f t="shared" ref="J457:J519" si="22">IF(I457&lt;80,"A",IF(I457&lt;95,"B","C"))</f>
        <v>C</v>
      </c>
    </row>
    <row r="458" spans="1:10" ht="28.5">
      <c r="A458" s="263">
        <v>91969</v>
      </c>
      <c r="B458" s="257" t="str">
        <f>VLOOKUP(A458,'3 - PLAN. ORÇAMENTÁRIA'!$B$16:$E$721,3,FALSE)</f>
        <v>SINAPI</v>
      </c>
      <c r="C458" s="264" t="s">
        <v>2362</v>
      </c>
      <c r="D458" s="257" t="str">
        <f>VLOOKUP(A458,'3 - PLAN. ORÇAMENTÁRIA'!$B$16:$E$721,4,FALSE)</f>
        <v>UN</v>
      </c>
      <c r="E458" s="266">
        <f>SUMIF('3 - PLAN. ORÇAMENTÁRIA'!$C$15:$C$721,C458,'3 - PLAN. ORÇAMENTÁRIA'!$F$15:$F$721)</f>
        <v>2</v>
      </c>
      <c r="F458" s="267">
        <f>VLOOKUP(A458,'3 - PLAN. ORÇAMENTÁRIA'!$B$16:$I$721,8,FALSE)</f>
        <v>117.56</v>
      </c>
      <c r="G458" s="267">
        <f>ROUND(E458*F458,2)</f>
        <v>235.12</v>
      </c>
      <c r="H458" s="262">
        <f t="shared" si="21"/>
        <v>4.0134692588217969E-3</v>
      </c>
      <c r="I458" s="262">
        <f t="shared" ref="I458:I519" si="23">H458+I457</f>
        <v>99.879333899637743</v>
      </c>
      <c r="J458" s="257" t="str">
        <f t="shared" si="22"/>
        <v>C</v>
      </c>
    </row>
    <row r="459" spans="1:10" ht="14.25">
      <c r="A459" s="263">
        <v>89529</v>
      </c>
      <c r="B459" s="257" t="str">
        <f>VLOOKUP(A459,'3 - PLAN. ORÇAMENTÁRIA'!$B$16:$E$721,3,FALSE)</f>
        <v>SINAPI</v>
      </c>
      <c r="C459" s="264" t="s">
        <v>3307</v>
      </c>
      <c r="D459" s="257" t="str">
        <f>VLOOKUP(A459,'3 - PLAN. ORÇAMENTÁRIA'!$B$16:$E$721,4,FALSE)</f>
        <v>UN</v>
      </c>
      <c r="E459" s="266">
        <f>SUMIF('3 - PLAN. ORÇAMENTÁRIA'!$C$15:$C$721,C459,'3 - PLAN. ORÇAMENTÁRIA'!$F$15:$F$721)</f>
        <v>5</v>
      </c>
      <c r="F459" s="267">
        <f>VLOOKUP(A459,'3 - PLAN. ORÇAMENTÁRIA'!$B$16:$I$721,8,FALSE)</f>
        <v>46.53</v>
      </c>
      <c r="G459" s="267">
        <f>ROUND(E459*F459,2)</f>
        <v>232.65</v>
      </c>
      <c r="H459" s="262">
        <f t="shared" si="21"/>
        <v>3.9713066649578561E-3</v>
      </c>
      <c r="I459" s="262">
        <f t="shared" si="23"/>
        <v>99.883305206302694</v>
      </c>
      <c r="J459" s="257" t="str">
        <f t="shared" si="22"/>
        <v>C</v>
      </c>
    </row>
    <row r="460" spans="1:10" ht="14.25">
      <c r="A460" s="263">
        <v>93654</v>
      </c>
      <c r="B460" s="257" t="str">
        <f>VLOOKUP(A460,'3 - PLAN. ORÇAMENTÁRIA'!$B$16:$E$721,3,FALSE)</f>
        <v>SINAPI</v>
      </c>
      <c r="C460" s="264" t="s">
        <v>2354</v>
      </c>
      <c r="D460" s="257" t="str">
        <f>VLOOKUP(A460,'3 - PLAN. ORÇAMENTÁRIA'!$B$16:$E$721,4,FALSE)</f>
        <v>UN</v>
      </c>
      <c r="E460" s="266">
        <f>SUMIF('3 - PLAN. ORÇAMENTÁRIA'!$C$15:$C$721,C460,'3 - PLAN. ORÇAMENTÁRIA'!$F$15:$F$721)</f>
        <v>11</v>
      </c>
      <c r="F460" s="267">
        <f>VLOOKUP(A460,'3 - PLAN. ORÇAMENTÁRIA'!$B$16:$I$721,8,FALSE)</f>
        <v>20.51</v>
      </c>
      <c r="G460" s="267">
        <f>ROUND(E460*F460,2)</f>
        <v>225.61</v>
      </c>
      <c r="H460" s="262">
        <f t="shared" si="21"/>
        <v>3.8511347375075945E-3</v>
      </c>
      <c r="I460" s="262">
        <f t="shared" si="23"/>
        <v>99.887156341040196</v>
      </c>
      <c r="J460" s="257" t="str">
        <f t="shared" si="22"/>
        <v>C</v>
      </c>
    </row>
    <row r="461" spans="1:10" ht="14.25">
      <c r="A461" s="263">
        <v>93664</v>
      </c>
      <c r="B461" s="257" t="str">
        <f>VLOOKUP(A461,'3 - PLAN. ORÇAMENTÁRIA'!$B$16:$E$721,3,FALSE)</f>
        <v>SINAPI</v>
      </c>
      <c r="C461" s="265" t="s">
        <v>525</v>
      </c>
      <c r="D461" s="257" t="str">
        <f>VLOOKUP(A461,'3 - PLAN. ORÇAMENTÁRIA'!$B$16:$E$721,4,FALSE)</f>
        <v>UN</v>
      </c>
      <c r="E461" s="266">
        <f>SUMIF('3 - PLAN. ORÇAMENTÁRIA'!$C$15:$C$721,C461,'3 - PLAN. ORÇAMENTÁRIA'!$F$15:$F$721)</f>
        <v>2</v>
      </c>
      <c r="F461" s="267">
        <f>VLOOKUP(A461,'3 - PLAN. ORÇAMENTÁRIA'!$B$16:$I$721,8,FALSE)</f>
        <v>108.01</v>
      </c>
      <c r="G461" s="267">
        <f>ROUND(E461*F461,2)</f>
        <v>216.02</v>
      </c>
      <c r="H461" s="262">
        <f t="shared" si="21"/>
        <v>3.6874346261087303E-3</v>
      </c>
      <c r="I461" s="262">
        <f t="shared" si="23"/>
        <v>99.890843775666312</v>
      </c>
      <c r="J461" s="257" t="str">
        <f t="shared" si="22"/>
        <v>C</v>
      </c>
    </row>
    <row r="462" spans="1:10" ht="14.25">
      <c r="A462" s="263">
        <v>96544</v>
      </c>
      <c r="B462" s="257" t="str">
        <f>VLOOKUP(A462,'3 - PLAN. ORÇAMENTÁRIA'!$B$16:$E$721,3,FALSE)</f>
        <v>SINAPI</v>
      </c>
      <c r="C462" s="264" t="s">
        <v>912</v>
      </c>
      <c r="D462" s="257" t="str">
        <f>VLOOKUP(A462,'3 - PLAN. ORÇAMENTÁRIA'!$B$16:$E$721,4,FALSE)</f>
        <v>KG</v>
      </c>
      <c r="E462" s="266">
        <f>SUMIF('3 - PLAN. ORÇAMENTÁRIA'!$C$15:$C$721,C462,'3 - PLAN. ORÇAMENTÁRIA'!$F$15:$F$721)</f>
        <v>9</v>
      </c>
      <c r="F462" s="267">
        <f>VLOOKUP(A462,'3 - PLAN. ORÇAMENTÁRIA'!$B$16:$I$721,8,FALSE)</f>
        <v>23.85</v>
      </c>
      <c r="G462" s="267">
        <f>ROUND(E462*F462,2)</f>
        <v>214.65</v>
      </c>
      <c r="H462" s="262">
        <f t="shared" si="21"/>
        <v>3.6640488959088923E-3</v>
      </c>
      <c r="I462" s="262">
        <f t="shared" si="23"/>
        <v>99.894507824562226</v>
      </c>
      <c r="J462" s="257" t="str">
        <f t="shared" si="22"/>
        <v>C</v>
      </c>
    </row>
    <row r="463" spans="1:10" ht="14.25">
      <c r="A463" s="263">
        <v>37556</v>
      </c>
      <c r="B463" s="257" t="str">
        <f>VLOOKUP(A463,'3 - PLAN. ORÇAMENTÁRIA'!$B$16:$E$721,3,FALSE)</f>
        <v>SINAPI</v>
      </c>
      <c r="C463" s="264" t="s">
        <v>763</v>
      </c>
      <c r="D463" s="257" t="str">
        <f>VLOOKUP(A463,'3 - PLAN. ORÇAMENTÁRIA'!$B$16:$E$721,4,FALSE)</f>
        <v>UN</v>
      </c>
      <c r="E463" s="266">
        <f>SUMIF('3 - PLAN. ORÇAMENTÁRIA'!$C$15:$C$721,C463,'3 - PLAN. ORÇAMENTÁRIA'!$F$15:$F$721)</f>
        <v>6</v>
      </c>
      <c r="F463" s="267">
        <f>VLOOKUP(A463,'3 - PLAN. ORÇAMENTÁRIA'!$B$16:$I$721,8,FALSE)</f>
        <v>35.340000000000003</v>
      </c>
      <c r="G463" s="267">
        <f>ROUND(E463*F463,2)</f>
        <v>212.04</v>
      </c>
      <c r="H463" s="262">
        <f t="shared" si="21"/>
        <v>3.6194965193967928E-3</v>
      </c>
      <c r="I463" s="262">
        <f t="shared" si="23"/>
        <v>99.898127321081617</v>
      </c>
      <c r="J463" s="257" t="str">
        <f t="shared" si="22"/>
        <v>C</v>
      </c>
    </row>
    <row r="464" spans="1:10" ht="14.25">
      <c r="A464" s="263">
        <v>99062</v>
      </c>
      <c r="B464" s="257" t="str">
        <f>VLOOKUP(A464,'3 - PLAN. ORÇAMENTÁRIA'!$B$16:$E$721,3,FALSE)</f>
        <v>SINAPI</v>
      </c>
      <c r="C464" s="264" t="s">
        <v>175</v>
      </c>
      <c r="D464" s="257" t="str">
        <f>VLOOKUP(A464,'3 - PLAN. ORÇAMENTÁRIA'!$B$16:$E$721,4,FALSE)</f>
        <v>UN</v>
      </c>
      <c r="E464" s="266">
        <f>SUMIF('3 - PLAN. ORÇAMENTÁRIA'!$C$15:$C$721,C464,'3 - PLAN. ORÇAMENTÁRIA'!$F$15:$F$721)</f>
        <v>78</v>
      </c>
      <c r="F464" s="267">
        <f>VLOOKUP(A464,'3 - PLAN. ORÇAMENTÁRIA'!$B$16:$I$721,8,FALSE)</f>
        <v>2.71</v>
      </c>
      <c r="G464" s="267">
        <f>ROUND(E464*F464,2)</f>
        <v>211.38</v>
      </c>
      <c r="H464" s="262">
        <f t="shared" si="21"/>
        <v>3.6082304011983307E-3</v>
      </c>
      <c r="I464" s="262">
        <f t="shared" si="23"/>
        <v>99.901735551482815</v>
      </c>
      <c r="J464" s="257" t="str">
        <f t="shared" si="22"/>
        <v>C</v>
      </c>
    </row>
    <row r="465" spans="1:10" ht="14.25">
      <c r="A465" s="263" t="s">
        <v>3269</v>
      </c>
      <c r="B465" s="257" t="str">
        <f>VLOOKUP(A465,'3 - PLAN. ORÇAMENTÁRIA'!$B$16:$E$721,3,FALSE)</f>
        <v>PRÓPRIO</v>
      </c>
      <c r="C465" s="265" t="str">
        <f>VLOOKUP(A465,'3 - PLAN. ORÇAMENTÁRIA'!$B$16:$E$721,2,FALSE)</f>
        <v>FORNECIMENTO E INSTALAÇÃO DE CONCECTOR MACHO P10 REF. S11242/ORSE</v>
      </c>
      <c r="D465" s="257" t="str">
        <f>VLOOKUP(A465,'3 - PLAN. ORÇAMENTÁRIA'!$B$16:$E$721,4,FALSE)</f>
        <v>UN</v>
      </c>
      <c r="E465" s="266">
        <f>SUMIF('3 - PLAN. ORÇAMENTÁRIA'!$C$15:$C$721,C465,'3 - PLAN. ORÇAMENTÁRIA'!$F$15:$F$721)</f>
        <v>4</v>
      </c>
      <c r="F465" s="267">
        <f>VLOOKUP(A465,'3 - PLAN. ORÇAMENTÁRIA'!$B$16:$I$721,8,FALSE)</f>
        <v>51.9</v>
      </c>
      <c r="G465" s="267">
        <f>ROUND(E465*F465,2)</f>
        <v>207.6</v>
      </c>
      <c r="H465" s="262">
        <f t="shared" si="21"/>
        <v>3.5437062696980484E-3</v>
      </c>
      <c r="I465" s="262">
        <f t="shared" si="23"/>
        <v>99.905279257752511</v>
      </c>
      <c r="J465" s="257" t="str">
        <f t="shared" si="22"/>
        <v>C</v>
      </c>
    </row>
    <row r="466" spans="1:10" ht="28.5">
      <c r="A466" s="263">
        <v>4814</v>
      </c>
      <c r="B466" s="257" t="str">
        <f>VLOOKUP(A466,'3 - PLAN. ORÇAMENTÁRIA'!$B$16:$E$721,3,FALSE)</f>
        <v>SINAPI</v>
      </c>
      <c r="C466" s="264" t="s">
        <v>539</v>
      </c>
      <c r="D466" s="257" t="str">
        <f>VLOOKUP(A466,'3 - PLAN. ORÇAMENTÁRIA'!$B$16:$E$721,4,FALSE)</f>
        <v>UN</v>
      </c>
      <c r="E466" s="266">
        <f>SUMIF('3 - PLAN. ORÇAMENTÁRIA'!$C$15:$C$721,C466,'3 - PLAN. ORÇAMENTÁRIA'!$F$15:$F$721)</f>
        <v>3</v>
      </c>
      <c r="F466" s="267">
        <f>VLOOKUP(A466,'3 - PLAN. ORÇAMENTÁRIA'!$B$16:$I$721,8,FALSE)</f>
        <v>67.42</v>
      </c>
      <c r="G466" s="267">
        <f>ROUND(E466*F466,2)</f>
        <v>202.26</v>
      </c>
      <c r="H466" s="262">
        <f t="shared" si="21"/>
        <v>3.4525531315468556E-3</v>
      </c>
      <c r="I466" s="262">
        <f t="shared" si="23"/>
        <v>99.908731810884063</v>
      </c>
      <c r="J466" s="257" t="str">
        <f t="shared" si="22"/>
        <v>C</v>
      </c>
    </row>
    <row r="467" spans="1:10" ht="28.5">
      <c r="A467" s="263">
        <v>89750</v>
      </c>
      <c r="B467" s="257" t="str">
        <f>VLOOKUP(A467,'3 - PLAN. ORÇAMENTÁRIA'!$B$16:$E$721,3,FALSE)</f>
        <v>SINAPI</v>
      </c>
      <c r="C467" s="264" t="s">
        <v>2283</v>
      </c>
      <c r="D467" s="257" t="str">
        <f>VLOOKUP(A467,'3 - PLAN. ORÇAMENTÁRIA'!$B$16:$E$721,4,FALSE)</f>
        <v>UN</v>
      </c>
      <c r="E467" s="266">
        <f>SUMIF('3 - PLAN. ORÇAMENTÁRIA'!$C$15:$C$721,C467,'3 - PLAN. ORÇAMENTÁRIA'!$F$15:$F$721)</f>
        <v>2</v>
      </c>
      <c r="F467" s="267">
        <f>VLOOKUP(A467,'3 - PLAN. ORÇAMENTÁRIA'!$B$16:$I$721,8,FALSE)</f>
        <v>100.04</v>
      </c>
      <c r="G467" s="267">
        <f>ROUND(E467*F467,2)</f>
        <v>200.08</v>
      </c>
      <c r="H467" s="262">
        <f t="shared" si="21"/>
        <v>3.4153408017398145E-3</v>
      </c>
      <c r="I467" s="262">
        <f t="shared" si="23"/>
        <v>99.912147151685801</v>
      </c>
      <c r="J467" s="257" t="str">
        <f t="shared" si="22"/>
        <v>C</v>
      </c>
    </row>
    <row r="468" spans="1:10" ht="14.25">
      <c r="A468" s="263">
        <v>93656</v>
      </c>
      <c r="B468" s="257" t="str">
        <f>VLOOKUP(A468,'3 - PLAN. ORÇAMENTÁRIA'!$B$16:$E$721,3,FALSE)</f>
        <v>SINAPI</v>
      </c>
      <c r="C468" s="264" t="s">
        <v>2355</v>
      </c>
      <c r="D468" s="257" t="str">
        <f>VLOOKUP(A468,'3 - PLAN. ORÇAMENTÁRIA'!$B$16:$E$721,4,FALSE)</f>
        <v>UN</v>
      </c>
      <c r="E468" s="266">
        <f>SUMIF('3 - PLAN. ORÇAMENTÁRIA'!$C$15:$C$721,C468,'3 - PLAN. ORÇAMENTÁRIA'!$F$15:$F$721)</f>
        <v>9</v>
      </c>
      <c r="F468" s="267">
        <f>VLOOKUP(A468,'3 - PLAN. ORÇAMENTÁRIA'!$B$16:$I$721,8,FALSE)</f>
        <v>22.2</v>
      </c>
      <c r="G468" s="267">
        <f>ROUND(E468*F468,2)</f>
        <v>199.8</v>
      </c>
      <c r="H468" s="262">
        <f t="shared" si="21"/>
        <v>3.410561236443497E-3</v>
      </c>
      <c r="I468" s="262">
        <f t="shared" si="23"/>
        <v>99.915557712922251</v>
      </c>
      <c r="J468" s="257" t="str">
        <f t="shared" si="22"/>
        <v>C</v>
      </c>
    </row>
    <row r="469" spans="1:10" ht="14.25">
      <c r="A469" s="263">
        <v>94489</v>
      </c>
      <c r="B469" s="257" t="str">
        <f>VLOOKUP(A469,'3 - PLAN. ORÇAMENTÁRIA'!$B$16:$E$721,3,FALSE)</f>
        <v>SINAPI</v>
      </c>
      <c r="C469" s="264" t="s">
        <v>2213</v>
      </c>
      <c r="D469" s="257" t="str">
        <f>VLOOKUP(A469,'3 - PLAN. ORÇAMENTÁRIA'!$B$16:$E$721,4,FALSE)</f>
        <v>UN</v>
      </c>
      <c r="E469" s="266">
        <f>SUMIF('3 - PLAN. ORÇAMENTÁRIA'!$C$15:$C$721,C469,'3 - PLAN. ORÇAMENTÁRIA'!$F$15:$F$721)</f>
        <v>5</v>
      </c>
      <c r="F469" s="267">
        <f>VLOOKUP(A469,'3 - PLAN. ORÇAMENTÁRIA'!$B$16:$I$721,8,FALSE)</f>
        <v>38.840000000000003</v>
      </c>
      <c r="G469" s="267">
        <f>ROUND(E469*F469,2)</f>
        <v>194.2</v>
      </c>
      <c r="H469" s="262">
        <f t="shared" si="21"/>
        <v>3.314969930517153E-3</v>
      </c>
      <c r="I469" s="262">
        <f t="shared" si="23"/>
        <v>99.918872682852765</v>
      </c>
      <c r="J469" s="257" t="str">
        <f t="shared" si="22"/>
        <v>C</v>
      </c>
    </row>
    <row r="470" spans="1:10" ht="28.5">
      <c r="A470" s="263">
        <v>91974</v>
      </c>
      <c r="B470" s="257" t="str">
        <f>VLOOKUP(A470,'3 - PLAN. ORÇAMENTÁRIA'!$B$16:$E$721,3,FALSE)</f>
        <v>SINAPI</v>
      </c>
      <c r="C470" s="264" t="s">
        <v>556</v>
      </c>
      <c r="D470" s="257" t="str">
        <f>VLOOKUP(A470,'3 - PLAN. ORÇAMENTÁRIA'!$B$16:$E$721,4,FALSE)</f>
        <v>UN</v>
      </c>
      <c r="E470" s="266">
        <f>SUMIF('3 - PLAN. ORÇAMENTÁRIA'!$C$15:$C$721,C470,'3 - PLAN. ORÇAMENTÁRIA'!$F$15:$F$721)</f>
        <v>2</v>
      </c>
      <c r="F470" s="267">
        <f>VLOOKUP(A470,'3 - PLAN. ORÇAMENTÁRIA'!$B$16:$I$721,8,FALSE)</f>
        <v>97.02</v>
      </c>
      <c r="G470" s="267">
        <f>ROUND(E470*F470,2)</f>
        <v>194.04</v>
      </c>
      <c r="H470" s="262">
        <f t="shared" si="21"/>
        <v>3.3122387503478289E-3</v>
      </c>
      <c r="I470" s="262">
        <f t="shared" si="23"/>
        <v>99.922184921603119</v>
      </c>
      <c r="J470" s="257" t="str">
        <f t="shared" si="22"/>
        <v>C</v>
      </c>
    </row>
    <row r="471" spans="1:10" ht="14.25">
      <c r="A471" s="263">
        <v>105234</v>
      </c>
      <c r="B471" s="257" t="str">
        <f>VLOOKUP(A471,'3 - PLAN. ORÇAMENTÁRIA'!$B$16:$E$721,3,FALSE)</f>
        <v>SINAPI</v>
      </c>
      <c r="C471" s="264" t="s">
        <v>485</v>
      </c>
      <c r="D471" s="257" t="str">
        <f>VLOOKUP(A471,'3 - PLAN. ORÇAMENTÁRIA'!$B$16:$E$721,4,FALSE)</f>
        <v>UN</v>
      </c>
      <c r="E471" s="266">
        <f>SUMIF('3 - PLAN. ORÇAMENTÁRIA'!$C$15:$C$721,C471,'3 - PLAN. ORÇAMENTÁRIA'!$F$15:$F$721)</f>
        <v>15</v>
      </c>
      <c r="F471" s="267">
        <f>VLOOKUP(A471,'3 - PLAN. ORÇAMENTÁRIA'!$B$16:$I$721,8,FALSE)</f>
        <v>12.52</v>
      </c>
      <c r="G471" s="267">
        <f>ROUND(E471*F471,2)</f>
        <v>187.8</v>
      </c>
      <c r="H471" s="262">
        <f t="shared" si="21"/>
        <v>3.2057227237441881E-3</v>
      </c>
      <c r="I471" s="262">
        <f t="shared" si="23"/>
        <v>99.925390644326868</v>
      </c>
      <c r="J471" s="257" t="str">
        <f t="shared" si="22"/>
        <v>C</v>
      </c>
    </row>
    <row r="472" spans="1:10" ht="14.25">
      <c r="A472" s="263" t="s">
        <v>3340</v>
      </c>
      <c r="B472" s="257" t="str">
        <f>VLOOKUP(A472,'3 - PLAN. ORÇAMENTÁRIA'!$B$16:$E$721,3,FALSE)</f>
        <v>PRÓPRIO</v>
      </c>
      <c r="C472" s="265" t="str">
        <f>VLOOKUP(A472,'3 - PLAN. ORÇAMENTÁRIA'!$B$16:$E$721,2,FALSE)</f>
        <v>CAMADA SEPARADORA DE FILME DE POLIETILENO 20 A 25 MICRA REF 38365 REF. 61.20.01/SUDECAP</v>
      </c>
      <c r="D472" s="257" t="str">
        <f>VLOOKUP(A472,'3 - PLAN. ORÇAMENTÁRIA'!$B$16:$E$721,4,FALSE)</f>
        <v>M2</v>
      </c>
      <c r="E472" s="266">
        <f>SUMIF('3 - PLAN. ORÇAMENTÁRIA'!$C$15:$C$721,C472,'3 - PLAN. ORÇAMENTÁRIA'!$F$15:$F$721)</f>
        <v>75.53</v>
      </c>
      <c r="F472" s="267">
        <f>VLOOKUP(A472,'3 - PLAN. ORÇAMENTÁRIA'!$B$16:$I$721,8,FALSE)</f>
        <v>2.33</v>
      </c>
      <c r="G472" s="267">
        <f>ROUND(E472*F472,2)</f>
        <v>175.98</v>
      </c>
      <c r="H472" s="262">
        <f t="shared" si="21"/>
        <v>3.0039567887353686E-3</v>
      </c>
      <c r="I472" s="262">
        <f t="shared" si="23"/>
        <v>99.928394601115599</v>
      </c>
      <c r="J472" s="257" t="str">
        <f t="shared" si="22"/>
        <v>C</v>
      </c>
    </row>
    <row r="473" spans="1:10" ht="14.25">
      <c r="A473" s="263">
        <v>96545</v>
      </c>
      <c r="B473" s="257" t="str">
        <f>VLOOKUP(A473,'3 - PLAN. ORÇAMENTÁRIA'!$B$16:$E$721,3,FALSE)</f>
        <v>SINAPI</v>
      </c>
      <c r="C473" s="264" t="s">
        <v>244</v>
      </c>
      <c r="D473" s="257" t="str">
        <f>VLOOKUP(A473,'3 - PLAN. ORÇAMENTÁRIA'!$B$16:$E$721,4,FALSE)</f>
        <v>KG</v>
      </c>
      <c r="E473" s="266">
        <f>SUMIF('3 - PLAN. ORÇAMENTÁRIA'!$C$15:$C$721,C473,'3 - PLAN. ORÇAMENTÁRIA'!$F$15:$F$721)</f>
        <v>8</v>
      </c>
      <c r="F473" s="267">
        <f>VLOOKUP(A473,'3 - PLAN. ORÇAMENTÁRIA'!$B$16:$I$721,8,FALSE)</f>
        <v>21.38</v>
      </c>
      <c r="G473" s="267">
        <f>ROUND(E473*F473,2)</f>
        <v>171.04</v>
      </c>
      <c r="H473" s="262">
        <f t="shared" si="21"/>
        <v>2.9196316010074862E-3</v>
      </c>
      <c r="I473" s="262">
        <f t="shared" si="23"/>
        <v>99.931314232716602</v>
      </c>
      <c r="J473" s="257" t="str">
        <f t="shared" si="22"/>
        <v>C</v>
      </c>
    </row>
    <row r="474" spans="1:10" ht="28.5">
      <c r="A474" s="263">
        <v>100757</v>
      </c>
      <c r="B474" s="257" t="str">
        <f>VLOOKUP(A474,'3 - PLAN. ORÇAMENTÁRIA'!$B$16:$E$721,3,FALSE)</f>
        <v>SINAPI</v>
      </c>
      <c r="C474" s="264" t="s">
        <v>3623</v>
      </c>
      <c r="D474" s="257" t="str">
        <f>VLOOKUP(A474,'3 - PLAN. ORÇAMENTÁRIA'!$B$16:$E$721,4,FALSE)</f>
        <v>M2</v>
      </c>
      <c r="E474" s="266">
        <f>SUMIF('3 - PLAN. ORÇAMENTÁRIA'!$C$15:$C$721,C474,'3 - PLAN. ORÇAMENTÁRIA'!$F$15:$F$721)</f>
        <v>2.5099999999999998</v>
      </c>
      <c r="F474" s="267">
        <f>VLOOKUP(A474,'3 - PLAN. ORÇAMENTÁRIA'!$B$16:$I$721,8,FALSE)</f>
        <v>67.22</v>
      </c>
      <c r="G474" s="267">
        <f>ROUND(E474*F474,2)</f>
        <v>168.72</v>
      </c>
      <c r="H474" s="262">
        <f t="shared" si="21"/>
        <v>2.8800294885522864E-3</v>
      </c>
      <c r="I474" s="262">
        <f t="shared" si="23"/>
        <v>99.934194262205153</v>
      </c>
      <c r="J474" s="257" t="str">
        <f t="shared" si="22"/>
        <v>C</v>
      </c>
    </row>
    <row r="475" spans="1:10" ht="14.25">
      <c r="A475" s="263">
        <v>89716</v>
      </c>
      <c r="B475" s="257" t="str">
        <f>VLOOKUP(A475,'3 - PLAN. ORÇAMENTÁRIA'!$B$16:$E$721,3,FALSE)</f>
        <v>SINAPI</v>
      </c>
      <c r="C475" s="264" t="s">
        <v>2289</v>
      </c>
      <c r="D475" s="257" t="str">
        <f>VLOOKUP(A475,'3 - PLAN. ORÇAMENTÁRIA'!$B$16:$E$721,4,FALSE)</f>
        <v>M</v>
      </c>
      <c r="E475" s="266">
        <f>SUMIF('3 - PLAN. ORÇAMENTÁRIA'!$C$15:$C$721,C475,'3 - PLAN. ORÇAMENTÁRIA'!$F$15:$F$721)</f>
        <v>4.6100000000000003</v>
      </c>
      <c r="F475" s="267">
        <f>VLOOKUP(A475,'3 - PLAN. ORÇAMENTÁRIA'!$B$16:$I$721,8,FALSE)</f>
        <v>34.659999999999997</v>
      </c>
      <c r="G475" s="267">
        <f>ROUND(E475*F475,2)</f>
        <v>159.78</v>
      </c>
      <c r="H475" s="262">
        <f t="shared" si="21"/>
        <v>2.7274247965913012E-3</v>
      </c>
      <c r="I475" s="262">
        <f t="shared" si="23"/>
        <v>99.936921687001742</v>
      </c>
      <c r="J475" s="257" t="str">
        <f t="shared" si="22"/>
        <v>C</v>
      </c>
    </row>
    <row r="476" spans="1:10" ht="28.5">
      <c r="A476" s="263">
        <v>88489</v>
      </c>
      <c r="B476" s="257" t="str">
        <f>VLOOKUP(A476,'3 - PLAN. ORÇAMENTÁRIA'!$B$16:$E$721,3,FALSE)</f>
        <v>SINAPI</v>
      </c>
      <c r="C476" s="264" t="s">
        <v>2241</v>
      </c>
      <c r="D476" s="257" t="str">
        <f>VLOOKUP(A476,'3 - PLAN. ORÇAMENTÁRIA'!$B$16:$E$721,4,FALSE)</f>
        <v>M2</v>
      </c>
      <c r="E476" s="266">
        <f>SUMIF('3 - PLAN. ORÇAMENTÁRIA'!$C$15:$C$721,C476,'3 - PLAN. ORÇAMENTÁRIA'!$F$15:$F$721)</f>
        <v>9.42</v>
      </c>
      <c r="F476" s="267">
        <f>VLOOKUP(A476,'3 - PLAN. ORÇAMENTÁRIA'!$B$16:$I$721,8,FALSE)</f>
        <v>16.920000000000002</v>
      </c>
      <c r="G476" s="267">
        <f>ROUND(E476*F476,2)</f>
        <v>159.38999999999999</v>
      </c>
      <c r="H476" s="262">
        <f t="shared" si="21"/>
        <v>2.7207675449285734E-3</v>
      </c>
      <c r="I476" s="262">
        <f t="shared" si="23"/>
        <v>99.939642454546672</v>
      </c>
      <c r="J476" s="257" t="str">
        <f t="shared" si="22"/>
        <v>C</v>
      </c>
    </row>
    <row r="477" spans="1:10" ht="28.5">
      <c r="A477" s="263">
        <v>94792</v>
      </c>
      <c r="B477" s="257" t="str">
        <f>VLOOKUP(A477,'3 - PLAN. ORÇAMENTÁRIA'!$B$16:$E$721,3,FALSE)</f>
        <v>SINAPI</v>
      </c>
      <c r="C477" s="265" t="s">
        <v>2853</v>
      </c>
      <c r="D477" s="257" t="str">
        <f>VLOOKUP(A477,'3 - PLAN. ORÇAMENTÁRIA'!$B$16:$E$721,4,FALSE)</f>
        <v>UN</v>
      </c>
      <c r="E477" s="266">
        <f>SUMIF('3 - PLAN. ORÇAMENTÁRIA'!$C$15:$C$721,C477,'3 - PLAN. ORÇAMENTÁRIA'!$F$15:$F$721)</f>
        <v>1</v>
      </c>
      <c r="F477" s="267">
        <f>VLOOKUP(A477,'3 - PLAN. ORÇAMENTÁRIA'!$B$16:$I$721,8,FALSE)</f>
        <v>157.88</v>
      </c>
      <c r="G477" s="267">
        <f>ROUND(E477*F477,2)</f>
        <v>157.88</v>
      </c>
      <c r="H477" s="262">
        <f t="shared" si="21"/>
        <v>2.6949920320805771E-3</v>
      </c>
      <c r="I477" s="262">
        <f t="shared" si="23"/>
        <v>99.942337446578748</v>
      </c>
      <c r="J477" s="257" t="str">
        <f t="shared" si="22"/>
        <v>C</v>
      </c>
    </row>
    <row r="478" spans="1:10" ht="28.5">
      <c r="A478" s="263">
        <v>86909</v>
      </c>
      <c r="B478" s="257" t="str">
        <f>VLOOKUP(A478,'3 - PLAN. ORÇAMENTÁRIA'!$B$16:$E$721,3,FALSE)</f>
        <v>SINAPI</v>
      </c>
      <c r="C478" s="264" t="s">
        <v>1157</v>
      </c>
      <c r="D478" s="257" t="str">
        <f>VLOOKUP(A478,'3 - PLAN. ORÇAMENTÁRIA'!$B$16:$E$721,4,FALSE)</f>
        <v>UN</v>
      </c>
      <c r="E478" s="266">
        <f>SUMIF('3 - PLAN. ORÇAMENTÁRIA'!$C$15:$C$721,C478,'3 - PLAN. ORÇAMENTÁRIA'!$F$15:$F$721)</f>
        <v>1</v>
      </c>
      <c r="F478" s="267">
        <f>VLOOKUP(A478,'3 - PLAN. ORÇAMENTÁRIA'!$B$16:$I$721,8,FALSE)</f>
        <v>156.27000000000001</v>
      </c>
      <c r="G478" s="267">
        <f>ROUND(E478*F478,2)</f>
        <v>156.27000000000001</v>
      </c>
      <c r="H478" s="262">
        <f t="shared" si="21"/>
        <v>2.6675095316267537E-3</v>
      </c>
      <c r="I478" s="262">
        <f t="shared" si="23"/>
        <v>99.945004956110381</v>
      </c>
      <c r="J478" s="257" t="str">
        <f t="shared" si="22"/>
        <v>C</v>
      </c>
    </row>
    <row r="479" spans="1:10" ht="14.25">
      <c r="A479" s="263">
        <v>95237</v>
      </c>
      <c r="B479" s="257" t="str">
        <f>VLOOKUP(A479,'3 - PLAN. ORÇAMENTÁRIA'!$B$16:$E$721,3,FALSE)</f>
        <v>SINAPI</v>
      </c>
      <c r="C479" s="264" t="s">
        <v>1074</v>
      </c>
      <c r="D479" s="257" t="str">
        <f>VLOOKUP(A479,'3 - PLAN. ORÇAMENTÁRIA'!$B$16:$E$721,4,FALSE)</f>
        <v>UN</v>
      </c>
      <c r="E479" s="266">
        <f>SUMIF('3 - PLAN. ORÇAMENTÁRIA'!$C$15:$C$721,C479,'3 - PLAN. ORÇAMENTÁRIA'!$F$15:$F$721)</f>
        <v>5</v>
      </c>
      <c r="F479" s="267">
        <f>VLOOKUP(A479,'3 - PLAN. ORÇAMENTÁRIA'!$B$16:$I$721,8,FALSE)</f>
        <v>31.2</v>
      </c>
      <c r="G479" s="267">
        <f>ROUND(E479*F479,2)</f>
        <v>156</v>
      </c>
      <c r="H479" s="262">
        <f t="shared" si="21"/>
        <v>2.6629006650910189E-3</v>
      </c>
      <c r="I479" s="262">
        <f t="shared" si="23"/>
        <v>99.947667856775467</v>
      </c>
      <c r="J479" s="257" t="str">
        <f t="shared" si="22"/>
        <v>C</v>
      </c>
    </row>
    <row r="480" spans="1:10" ht="28.5">
      <c r="A480" s="263" t="s">
        <v>3936</v>
      </c>
      <c r="B480" s="257" t="str">
        <f>VLOOKUP(A480,'3 - PLAN. ORÇAMENTÁRIA'!$B$16:$E$721,3,FALSE)</f>
        <v>PRÓPRIO</v>
      </c>
      <c r="C480" s="265" t="str">
        <f>VLOOKUP(A480,'3 - PLAN. ORÇAMENTÁRIA'!$B$16:$E$721,2,FALSE)</f>
        <v>SHAFTS COM SISTEMA EM CHAPAS DE GESSO PARA DRYWALL (RU), USO INTERNO, COM UMA FACE SIMPLES E ESTRUTURA METÁLICA COM GUIAS SIMPLES, SEM VÃOS. AF_07/2023_PS REF. 96370/SINAPI</v>
      </c>
      <c r="D480" s="257" t="str">
        <f>VLOOKUP(A480,'3 - PLAN. ORÇAMENTÁRIA'!$B$16:$E$721,4,FALSE)</f>
        <v>M2</v>
      </c>
      <c r="E480" s="266">
        <f>SUMIF('3 - PLAN. ORÇAMENTÁRIA'!$C$15:$C$721,C480,'3 - PLAN. ORÇAMENTÁRIA'!$F$15:$F$721)</f>
        <v>1.98</v>
      </c>
      <c r="F480" s="267">
        <f>VLOOKUP(A480,'3 - PLAN. ORÇAMENTÁRIA'!$B$16:$I$721,8,FALSE)</f>
        <v>74.56</v>
      </c>
      <c r="G480" s="267">
        <f>ROUND(E480*F480,2)</f>
        <v>147.63</v>
      </c>
      <c r="H480" s="262">
        <f t="shared" si="21"/>
        <v>2.5200258024832508E-3</v>
      </c>
      <c r="I480" s="262">
        <f t="shared" si="23"/>
        <v>99.95018788257795</v>
      </c>
      <c r="J480" s="257" t="str">
        <f t="shared" si="22"/>
        <v>C</v>
      </c>
    </row>
    <row r="481" spans="1:10" ht="14.25">
      <c r="A481" s="263" t="s">
        <v>1984</v>
      </c>
      <c r="B481" s="257" t="str">
        <f>VLOOKUP(A481,'3 - PLAN. ORÇAMENTÁRIA'!$B$16:$E$721,3,FALSE)</f>
        <v>PRÓPRIO</v>
      </c>
      <c r="C481" s="265" t="str">
        <f>VLOOKUP(A481,'3 - PLAN. ORÇAMENTÁRIA'!$B$16:$E$721,2,FALSE)</f>
        <v>TERMINAL DE PRESSÃO/COMPRESSÃO PARA CABO DE 25 MM² REF. 39.10.120/SP OBRAS</v>
      </c>
      <c r="D481" s="257" t="str">
        <f>VLOOKUP(A481,'3 - PLAN. ORÇAMENTÁRIA'!$B$16:$E$721,4,FALSE)</f>
        <v>UN</v>
      </c>
      <c r="E481" s="266">
        <f>SUMIF('3 - PLAN. ORÇAMENTÁRIA'!$C$15:$C$721,C481,'3 - PLAN. ORÇAMENTÁRIA'!$F$15:$F$721)</f>
        <v>10</v>
      </c>
      <c r="F481" s="267">
        <f>VLOOKUP(A481,'3 - PLAN. ORÇAMENTÁRIA'!$B$16:$I$721,8,FALSE)</f>
        <v>12.94</v>
      </c>
      <c r="G481" s="267">
        <f>ROUND(E481*F481,2)</f>
        <v>129.4</v>
      </c>
      <c r="H481" s="262">
        <f t="shared" si="21"/>
        <v>2.2088419619408837E-3</v>
      </c>
      <c r="I481" s="262">
        <f t="shared" si="23"/>
        <v>99.952396724539895</v>
      </c>
      <c r="J481" s="257" t="str">
        <f t="shared" si="22"/>
        <v>C</v>
      </c>
    </row>
    <row r="482" spans="1:10" ht="28.5">
      <c r="A482" s="263">
        <v>94703</v>
      </c>
      <c r="B482" s="257" t="str">
        <f>VLOOKUP(A482,'3 - PLAN. ORÇAMENTÁRIA'!$B$16:$E$721,3,FALSE)</f>
        <v>SINAPI</v>
      </c>
      <c r="C482" s="264" t="s">
        <v>2204</v>
      </c>
      <c r="D482" s="257" t="str">
        <f>VLOOKUP(A482,'3 - PLAN. ORÇAMENTÁRIA'!$B$16:$E$721,4,FALSE)</f>
        <v>UN</v>
      </c>
      <c r="E482" s="266">
        <f>SUMIF('3 - PLAN. ORÇAMENTÁRIA'!$C$15:$C$721,C482,'3 - PLAN. ORÇAMENTÁRIA'!$F$15:$F$721)</f>
        <v>5</v>
      </c>
      <c r="F482" s="267">
        <f>VLOOKUP(A482,'3 - PLAN. ORÇAMENTÁRIA'!$B$16:$I$721,8,FALSE)</f>
        <v>25.8</v>
      </c>
      <c r="G482" s="267">
        <f>ROUND(E482*F482,2)</f>
        <v>129</v>
      </c>
      <c r="H482" s="262">
        <f t="shared" si="21"/>
        <v>2.2020140115175733E-3</v>
      </c>
      <c r="I482" s="262">
        <f t="shared" si="23"/>
        <v>99.954598738551411</v>
      </c>
      <c r="J482" s="257" t="str">
        <f t="shared" si="22"/>
        <v>C</v>
      </c>
    </row>
    <row r="483" spans="1:10" ht="28.5">
      <c r="A483" s="263">
        <v>100560</v>
      </c>
      <c r="B483" s="257" t="str">
        <f>VLOOKUP(A483,'3 - PLAN. ORÇAMENTÁRIA'!$B$16:$E$721,3,FALSE)</f>
        <v>SINAPI</v>
      </c>
      <c r="C483" s="264" t="s">
        <v>413</v>
      </c>
      <c r="D483" s="257" t="str">
        <f>VLOOKUP(A483,'3 - PLAN. ORÇAMENTÁRIA'!$B$16:$E$721,4,FALSE)</f>
        <v>UN</v>
      </c>
      <c r="E483" s="266">
        <f>SUMIF('3 - PLAN. ORÇAMENTÁRIA'!$C$15:$C$721,C483,'3 - PLAN. ORÇAMENTÁRIA'!$F$15:$F$721)</f>
        <v>1</v>
      </c>
      <c r="F483" s="267">
        <f>VLOOKUP(A483,'3 - PLAN. ORÇAMENTÁRIA'!$B$16:$I$721,8,FALSE)</f>
        <v>128.19999999999999</v>
      </c>
      <c r="G483" s="267">
        <f>ROUND(E483*F483,2)</f>
        <v>128.19999999999999</v>
      </c>
      <c r="H483" s="262">
        <f t="shared" si="21"/>
        <v>2.1883581106709525E-3</v>
      </c>
      <c r="I483" s="262">
        <f t="shared" si="23"/>
        <v>99.956787096662083</v>
      </c>
      <c r="J483" s="257" t="str">
        <f t="shared" si="22"/>
        <v>C</v>
      </c>
    </row>
    <row r="484" spans="1:10" ht="14.25">
      <c r="A484" s="263">
        <v>38091</v>
      </c>
      <c r="B484" s="257" t="str">
        <f>VLOOKUP(A484,'3 - PLAN. ORÇAMENTÁRIA'!$B$16:$E$721,3,FALSE)</f>
        <v>SINAPI</v>
      </c>
      <c r="C484" s="264" t="s">
        <v>560</v>
      </c>
      <c r="D484" s="257" t="str">
        <f>VLOOKUP(A484,'3 - PLAN. ORÇAMENTÁRIA'!$B$16:$E$721,4,FALSE)</f>
        <v>UN</v>
      </c>
      <c r="E484" s="266">
        <f>SUMIF('3 - PLAN. ORÇAMENTÁRIA'!$C$15:$C$721,C484,'3 - PLAN. ORÇAMENTÁRIA'!$F$15:$F$721)</f>
        <v>32</v>
      </c>
      <c r="F484" s="267">
        <f>VLOOKUP(A484,'3 - PLAN. ORÇAMENTÁRIA'!$B$16:$I$721,8,FALSE)</f>
        <v>3.98</v>
      </c>
      <c r="G484" s="267">
        <f>ROUND(E484*F484,2)</f>
        <v>127.36</v>
      </c>
      <c r="H484" s="262">
        <f t="shared" si="21"/>
        <v>2.174019414782001E-3</v>
      </c>
      <c r="I484" s="262">
        <f t="shared" si="23"/>
        <v>99.958961116076864</v>
      </c>
      <c r="J484" s="257" t="str">
        <f t="shared" si="22"/>
        <v>C</v>
      </c>
    </row>
    <row r="485" spans="1:10" ht="14.25">
      <c r="A485" s="263" t="s">
        <v>1965</v>
      </c>
      <c r="B485" s="257" t="str">
        <f>VLOOKUP(A485,'3 - PLAN. ORÇAMENTÁRIA'!$B$16:$E$721,3,FALSE)</f>
        <v>PRÓPRIO</v>
      </c>
      <c r="C485" s="265" t="str">
        <f>VLOOKUP(A485,'3 - PLAN. ORÇAMENTÁRIA'!$B$16:$E$721,2,FALSE)</f>
        <v>PLACA PARA SINALIZAÇÃO TÁTIL (INÍCIO OU FINAL) EM BRAILE PARA CORRIMÃO REF. 30.06.010/SP OBRAS</v>
      </c>
      <c r="D485" s="257" t="str">
        <f>VLOOKUP(A485,'3 - PLAN. ORÇAMENTÁRIA'!$B$16:$E$721,4,FALSE)</f>
        <v>UN</v>
      </c>
      <c r="E485" s="266">
        <f>SUMIF('3 - PLAN. ORÇAMENTÁRIA'!$C$15:$C$721,C485,'3 - PLAN. ORÇAMENTÁRIA'!$F$15:$F$721)</f>
        <v>8</v>
      </c>
      <c r="F485" s="267">
        <f>VLOOKUP(A485,'3 - PLAN. ORÇAMENTÁRIA'!$B$16:$I$721,8,FALSE)</f>
        <v>15.51</v>
      </c>
      <c r="G485" s="267">
        <f>ROUND(E485*F485,2)</f>
        <v>124.08</v>
      </c>
      <c r="H485" s="262">
        <f t="shared" si="21"/>
        <v>2.1180302213108567E-3</v>
      </c>
      <c r="I485" s="262">
        <f t="shared" si="23"/>
        <v>99.961079146298175</v>
      </c>
      <c r="J485" s="257" t="str">
        <f t="shared" si="22"/>
        <v>C</v>
      </c>
    </row>
    <row r="486" spans="1:10" ht="28.5">
      <c r="A486" s="263">
        <v>97083</v>
      </c>
      <c r="B486" s="257" t="str">
        <f>VLOOKUP(A486,'3 - PLAN. ORÇAMENTÁRIA'!$B$16:$E$721,3,FALSE)</f>
        <v>SINAPI</v>
      </c>
      <c r="C486" s="264" t="s">
        <v>3224</v>
      </c>
      <c r="D486" s="257" t="str">
        <f>VLOOKUP(A486,'3 - PLAN. ORÇAMENTÁRIA'!$B$16:$E$721,4,FALSE)</f>
        <v>M2</v>
      </c>
      <c r="E486" s="266">
        <f>SUMIF('3 - PLAN. ORÇAMENTÁRIA'!$C$15:$C$721,C486,'3 - PLAN. ORÇAMENTÁRIA'!$F$15:$F$721)</f>
        <v>25.84</v>
      </c>
      <c r="F486" s="267">
        <f>VLOOKUP(A486,'3 - PLAN. ORÇAMENTÁRIA'!$B$16:$I$721,8,FALSE)</f>
        <v>4.5199999999999996</v>
      </c>
      <c r="G486" s="267">
        <f>ROUND(E486*F486,2)</f>
        <v>116.8</v>
      </c>
      <c r="H486" s="262">
        <f t="shared" si="21"/>
        <v>1.9937615236066092E-3</v>
      </c>
      <c r="I486" s="262">
        <f t="shared" si="23"/>
        <v>99.963072907821783</v>
      </c>
      <c r="J486" s="257" t="str">
        <f t="shared" si="22"/>
        <v>C</v>
      </c>
    </row>
    <row r="487" spans="1:10" ht="28.5">
      <c r="A487" s="263">
        <v>104348</v>
      </c>
      <c r="B487" s="257" t="str">
        <f>VLOOKUP(A487,'3 - PLAN. ORÇAMENTÁRIA'!$B$16:$E$721,3,FALSE)</f>
        <v>SINAPI</v>
      </c>
      <c r="C487" s="264" t="s">
        <v>488</v>
      </c>
      <c r="D487" s="257" t="str">
        <f>VLOOKUP(A487,'3 - PLAN. ORÇAMENTÁRIA'!$B$16:$E$721,4,FALSE)</f>
        <v>UN</v>
      </c>
      <c r="E487" s="266">
        <f>SUMIF('3 - PLAN. ORÇAMENTÁRIA'!$C$15:$C$721,C487,'3 - PLAN. ORÇAMENTÁRIA'!$F$15:$F$721)</f>
        <v>8</v>
      </c>
      <c r="F487" s="267">
        <f>VLOOKUP(A487,'3 - PLAN. ORÇAMENTÁRIA'!$B$16:$I$721,8,FALSE)</f>
        <v>14.37</v>
      </c>
      <c r="G487" s="267">
        <f>ROUND(E487*F487,2)</f>
        <v>114.96</v>
      </c>
      <c r="H487" s="262">
        <f t="shared" si="21"/>
        <v>1.9623529516593816E-3</v>
      </c>
      <c r="I487" s="262">
        <f t="shared" si="23"/>
        <v>99.965035260773448</v>
      </c>
      <c r="J487" s="257" t="str">
        <f t="shared" si="22"/>
        <v>C</v>
      </c>
    </row>
    <row r="488" spans="1:10" ht="14.25">
      <c r="A488" s="263">
        <v>89522</v>
      </c>
      <c r="B488" s="257" t="str">
        <f>VLOOKUP(A488,'3 - PLAN. ORÇAMENTÁRIA'!$B$16:$E$721,3,FALSE)</f>
        <v>SINAPI</v>
      </c>
      <c r="C488" s="264" t="s">
        <v>3308</v>
      </c>
      <c r="D488" s="257" t="str">
        <f>VLOOKUP(A488,'3 - PLAN. ORÇAMENTÁRIA'!$B$16:$E$721,4,FALSE)</f>
        <v>UN</v>
      </c>
      <c r="E488" s="266">
        <f>SUMIF('3 - PLAN. ORÇAMENTÁRIA'!$C$15:$C$721,C488,'3 - PLAN. ORÇAMENTÁRIA'!$F$15:$F$721)</f>
        <v>3</v>
      </c>
      <c r="F488" s="267">
        <f>VLOOKUP(A488,'3 - PLAN. ORÇAMENTÁRIA'!$B$16:$I$721,8,FALSE)</f>
        <v>37.450000000000003</v>
      </c>
      <c r="G488" s="267">
        <f>ROUND(E488*F488,2)</f>
        <v>112.35</v>
      </c>
      <c r="H488" s="262">
        <f t="shared" si="21"/>
        <v>1.9178005751472819E-3</v>
      </c>
      <c r="I488" s="262">
        <f t="shared" si="23"/>
        <v>99.96695306134859</v>
      </c>
      <c r="J488" s="257" t="str">
        <f t="shared" si="22"/>
        <v>C</v>
      </c>
    </row>
    <row r="489" spans="1:10" ht="28.5">
      <c r="A489" s="263" t="s">
        <v>3858</v>
      </c>
      <c r="B489" s="257" t="str">
        <f>VLOOKUP(A489,'3 - PLAN. ORÇAMENTÁRIA'!$B$16:$E$721,3,FALSE)</f>
        <v>PRÓPRIO</v>
      </c>
      <c r="C489" s="265" t="str">
        <f>VLOOKUP(A489,'3 - PLAN. ORÇAMENTÁRIA'!$B$16:$E$721,2,FALSE)</f>
        <v>REFLETOR SLIM LED 100W DE POTÊNCIA, BRANCO FRIO, 6500K, AUTOVOLT, MARCA G-LIGHT OU SIMILAR REF. S13148/ORSE</v>
      </c>
      <c r="D489" s="257" t="str">
        <f>VLOOKUP(A489,'3 - PLAN. ORÇAMENTÁRIA'!$B$16:$E$721,4,FALSE)</f>
        <v>UN</v>
      </c>
      <c r="E489" s="266">
        <f>SUMIF('3 - PLAN. ORÇAMENTÁRIA'!$C$15:$C$721,C489,'3 - PLAN. ORÇAMENTÁRIA'!$F$15:$F$721)</f>
        <v>1</v>
      </c>
      <c r="F489" s="267">
        <f>VLOOKUP(A489,'3 - PLAN. ORÇAMENTÁRIA'!$B$16:$I$721,8,FALSE)</f>
        <v>111.75</v>
      </c>
      <c r="G489" s="267">
        <f>ROUND(E489*F489,2)</f>
        <v>111.75</v>
      </c>
      <c r="H489" s="262">
        <f t="shared" si="21"/>
        <v>1.9075586495123165E-3</v>
      </c>
      <c r="I489" s="262">
        <f t="shared" si="23"/>
        <v>99.968860619998097</v>
      </c>
      <c r="J489" s="257" t="str">
        <f t="shared" si="22"/>
        <v>C</v>
      </c>
    </row>
    <row r="490" spans="1:10" ht="14.25">
      <c r="A490" s="263">
        <v>89726</v>
      </c>
      <c r="B490" s="257" t="str">
        <f>VLOOKUP(A490,'3 - PLAN. ORÇAMENTÁRIA'!$B$16:$E$721,3,FALSE)</f>
        <v>SINAPI</v>
      </c>
      <c r="C490" s="264" t="s">
        <v>497</v>
      </c>
      <c r="D490" s="257" t="str">
        <f>VLOOKUP(A490,'3 - PLAN. ORÇAMENTÁRIA'!$B$16:$E$721,4,FALSE)</f>
        <v>UN</v>
      </c>
      <c r="E490" s="266">
        <f>SUMIF('3 - PLAN. ORÇAMENTÁRIA'!$C$15:$C$721,C490,'3 - PLAN. ORÇAMENTÁRIA'!$F$15:$F$721)</f>
        <v>8</v>
      </c>
      <c r="F490" s="267">
        <f>VLOOKUP(A490,'3 - PLAN. ORÇAMENTÁRIA'!$B$16:$I$721,8,FALSE)</f>
        <v>13.91</v>
      </c>
      <c r="G490" s="267">
        <f>ROUND(E490*F490,2)</f>
        <v>111.28</v>
      </c>
      <c r="H490" s="262">
        <f t="shared" si="21"/>
        <v>1.8995358077649267E-3</v>
      </c>
      <c r="I490" s="262">
        <f t="shared" si="23"/>
        <v>99.970760155805863</v>
      </c>
      <c r="J490" s="257" t="str">
        <f t="shared" si="22"/>
        <v>C</v>
      </c>
    </row>
    <row r="491" spans="1:10" ht="14.25">
      <c r="A491" s="263">
        <v>89719</v>
      </c>
      <c r="B491" s="257" t="str">
        <f>VLOOKUP(A491,'3 - PLAN. ORÇAMENTÁRIA'!$B$16:$E$721,3,FALSE)</f>
        <v>SINAPI</v>
      </c>
      <c r="C491" s="264" t="s">
        <v>2285</v>
      </c>
      <c r="D491" s="257" t="str">
        <f>VLOOKUP(A491,'3 - PLAN. ORÇAMENTÁRIA'!$B$16:$E$721,4,FALSE)</f>
        <v>UN</v>
      </c>
      <c r="E491" s="266">
        <f>SUMIF('3 - PLAN. ORÇAMENTÁRIA'!$C$15:$C$721,C491,'3 - PLAN. ORÇAMENTÁRIA'!$F$15:$F$721)</f>
        <v>6</v>
      </c>
      <c r="F491" s="267">
        <f>VLOOKUP(A491,'3 - PLAN. ORÇAMENTÁRIA'!$B$16:$I$721,8,FALSE)</f>
        <v>17.41</v>
      </c>
      <c r="G491" s="267">
        <f>ROUND(E491*F491,2)</f>
        <v>104.46</v>
      </c>
      <c r="H491" s="262">
        <f t="shared" si="21"/>
        <v>1.7831192530474861E-3</v>
      </c>
      <c r="I491" s="262">
        <f t="shared" si="23"/>
        <v>99.972543275058911</v>
      </c>
      <c r="J491" s="257" t="str">
        <f t="shared" si="22"/>
        <v>C</v>
      </c>
    </row>
    <row r="492" spans="1:10" ht="14.25">
      <c r="A492" s="263">
        <v>93653</v>
      </c>
      <c r="B492" s="257" t="str">
        <f>VLOOKUP(A492,'3 - PLAN. ORÇAMENTÁRIA'!$B$16:$E$721,3,FALSE)</f>
        <v>SINAPI</v>
      </c>
      <c r="C492" s="264" t="s">
        <v>520</v>
      </c>
      <c r="D492" s="257" t="str">
        <f>VLOOKUP(A492,'3 - PLAN. ORÇAMENTÁRIA'!$B$16:$E$721,4,FALSE)</f>
        <v>UN</v>
      </c>
      <c r="E492" s="266">
        <f>SUMIF('3 - PLAN. ORÇAMENTÁRIA'!$C$15:$C$721,C492,'3 - PLAN. ORÇAMENTÁRIA'!$F$15:$F$721)</f>
        <v>5</v>
      </c>
      <c r="F492" s="267">
        <f>VLOOKUP(A492,'3 - PLAN. ORÇAMENTÁRIA'!$B$16:$I$721,8,FALSE)</f>
        <v>19.649999999999999</v>
      </c>
      <c r="G492" s="267">
        <f>ROUND(E492*F492,2)</f>
        <v>98.25</v>
      </c>
      <c r="H492" s="262">
        <f t="shared" si="21"/>
        <v>1.6771153227255935E-3</v>
      </c>
      <c r="I492" s="262">
        <f t="shared" si="23"/>
        <v>99.974220390381632</v>
      </c>
      <c r="J492" s="257" t="str">
        <f t="shared" si="22"/>
        <v>C</v>
      </c>
    </row>
    <row r="493" spans="1:10" ht="14.25">
      <c r="A493" s="263">
        <v>92872</v>
      </c>
      <c r="B493" s="257" t="str">
        <f>VLOOKUP(A493,'3 - PLAN. ORÇAMENTÁRIA'!$B$16:$E$721,3,FALSE)</f>
        <v>SINAPI</v>
      </c>
      <c r="C493" s="264" t="s">
        <v>2436</v>
      </c>
      <c r="D493" s="257" t="str">
        <f>VLOOKUP(A493,'3 - PLAN. ORÇAMENTÁRIA'!$B$16:$E$721,4,FALSE)</f>
        <v>UN</v>
      </c>
      <c r="E493" s="266">
        <f>SUMIF('3 - PLAN. ORÇAMENTÁRIA'!$C$15:$C$721,C493,'3 - PLAN. ORÇAMENTÁRIA'!$F$15:$F$721)</f>
        <v>6</v>
      </c>
      <c r="F493" s="267">
        <f>VLOOKUP(A493,'3 - PLAN. ORÇAMENTÁRIA'!$B$16:$I$721,8,FALSE)</f>
        <v>16.100000000000001</v>
      </c>
      <c r="G493" s="267">
        <f>ROUND(E493*F493,2)</f>
        <v>96.6</v>
      </c>
      <c r="H493" s="262">
        <f t="shared" si="21"/>
        <v>1.6489500272294387E-3</v>
      </c>
      <c r="I493" s="262">
        <f t="shared" si="23"/>
        <v>99.975869340408863</v>
      </c>
      <c r="J493" s="257" t="str">
        <f t="shared" si="22"/>
        <v>C</v>
      </c>
    </row>
    <row r="494" spans="1:10" ht="14.25">
      <c r="A494" s="263">
        <v>89425</v>
      </c>
      <c r="B494" s="257" t="str">
        <f>VLOOKUP(A494,'3 - PLAN. ORÇAMENTÁRIA'!$B$16:$E$721,3,FALSE)</f>
        <v>SINAPI</v>
      </c>
      <c r="C494" s="264" t="s">
        <v>3636</v>
      </c>
      <c r="D494" s="257" t="str">
        <f>VLOOKUP(A494,'3 - PLAN. ORÇAMENTÁRIA'!$B$16:$E$721,4,FALSE)</f>
        <v>UN</v>
      </c>
      <c r="E494" s="266">
        <f>SUMIF('3 - PLAN. ORÇAMENTÁRIA'!$C$15:$C$721,C494,'3 - PLAN. ORÇAMENTÁRIA'!$F$15:$F$721)</f>
        <v>4</v>
      </c>
      <c r="F494" s="267">
        <f>VLOOKUP(A494,'3 - PLAN. ORÇAMENTÁRIA'!$B$16:$I$721,8,FALSE)</f>
        <v>23.75</v>
      </c>
      <c r="G494" s="267">
        <f>ROUND(E494*F494,2)</f>
        <v>95</v>
      </c>
      <c r="H494" s="262">
        <f t="shared" si="21"/>
        <v>1.6216382255361975E-3</v>
      </c>
      <c r="I494" s="262">
        <f t="shared" si="23"/>
        <v>99.977490978634393</v>
      </c>
      <c r="J494" s="257" t="str">
        <f t="shared" si="22"/>
        <v>C</v>
      </c>
    </row>
    <row r="495" spans="1:10" ht="14.25">
      <c r="A495" s="263">
        <v>97054</v>
      </c>
      <c r="B495" s="257" t="str">
        <f>VLOOKUP(A495,'3 - PLAN. ORÇAMENTÁRIA'!$B$16:$E$721,3,FALSE)</f>
        <v>SINAPI</v>
      </c>
      <c r="C495" s="264" t="s">
        <v>541</v>
      </c>
      <c r="D495" s="257" t="str">
        <f>VLOOKUP(A495,'3 - PLAN. ORÇAMENTÁRIA'!$B$16:$E$721,4,FALSE)</f>
        <v>UN</v>
      </c>
      <c r="E495" s="266">
        <f>SUMIF('3 - PLAN. ORÇAMENTÁRIA'!$C$15:$C$721,C495,'3 - PLAN. ORÇAMENTÁRIA'!$F$15:$F$721)</f>
        <v>3</v>
      </c>
      <c r="F495" s="267">
        <f>VLOOKUP(A495,'3 - PLAN. ORÇAMENTÁRIA'!$B$16:$I$721,8,FALSE)</f>
        <v>30.57</v>
      </c>
      <c r="G495" s="267">
        <f>ROUND(E495*F495,2)</f>
        <v>91.71</v>
      </c>
      <c r="H495" s="262">
        <f t="shared" si="21"/>
        <v>1.5654783333044701E-3</v>
      </c>
      <c r="I495" s="262">
        <f t="shared" si="23"/>
        <v>99.979056456967697</v>
      </c>
      <c r="J495" s="257" t="str">
        <f t="shared" si="22"/>
        <v>C</v>
      </c>
    </row>
    <row r="496" spans="1:10" ht="14.25">
      <c r="A496" s="263">
        <v>89414</v>
      </c>
      <c r="B496" s="257" t="str">
        <f>VLOOKUP(A496,'3 - PLAN. ORÇAMENTÁRIA'!$B$16:$E$721,3,FALSE)</f>
        <v>SINAPI</v>
      </c>
      <c r="C496" s="264" t="s">
        <v>2282</v>
      </c>
      <c r="D496" s="257" t="str">
        <f>VLOOKUP(A496,'3 - PLAN. ORÇAMENTÁRIA'!$B$16:$E$721,4,FALSE)</f>
        <v>UN</v>
      </c>
      <c r="E496" s="266">
        <f>SUMIF('3 - PLAN. ORÇAMENTÁRIA'!$C$15:$C$721,C496,'3 - PLAN. ORÇAMENTÁRIA'!$F$15:$F$721)</f>
        <v>5</v>
      </c>
      <c r="F496" s="267">
        <f>VLOOKUP(A496,'3 - PLAN. ORÇAMENTÁRIA'!$B$16:$I$721,8,FALSE)</f>
        <v>18.3</v>
      </c>
      <c r="G496" s="267">
        <f>ROUND(E496*F496,2)</f>
        <v>91.5</v>
      </c>
      <c r="H496" s="262">
        <f t="shared" si="21"/>
        <v>1.5618936593322322E-3</v>
      </c>
      <c r="I496" s="262">
        <f t="shared" si="23"/>
        <v>99.980618350627026</v>
      </c>
      <c r="J496" s="257" t="str">
        <f t="shared" si="22"/>
        <v>C</v>
      </c>
    </row>
    <row r="497" spans="1:10" ht="14.25">
      <c r="A497" s="263">
        <v>99822</v>
      </c>
      <c r="B497" s="257" t="str">
        <f>VLOOKUP(A497,'3 - PLAN. ORÇAMENTÁRIA'!$B$16:$E$721,3,FALSE)</f>
        <v>SINAPI</v>
      </c>
      <c r="C497" s="264" t="s">
        <v>2632</v>
      </c>
      <c r="D497" s="257" t="str">
        <f>VLOOKUP(A497,'3 - PLAN. ORÇAMENTÁRIA'!$B$16:$E$721,4,FALSE)</f>
        <v>M2</v>
      </c>
      <c r="E497" s="266">
        <f>SUMIF('3 - PLAN. ORÇAMENTÁRIA'!$C$15:$C$721,C497,'3 - PLAN. ORÇAMENTÁRIA'!$F$15:$F$721)</f>
        <v>63</v>
      </c>
      <c r="F497" s="267">
        <f>VLOOKUP(A497,'3 - PLAN. ORÇAMENTÁRIA'!$B$16:$I$721,8,FALSE)</f>
        <v>1.36</v>
      </c>
      <c r="G497" s="267">
        <f>ROUND(E497*F497,2)</f>
        <v>85.68</v>
      </c>
      <c r="H497" s="262">
        <f t="shared" si="21"/>
        <v>1.4625469806730672E-3</v>
      </c>
      <c r="I497" s="262">
        <f t="shared" si="23"/>
        <v>99.982080897607702</v>
      </c>
      <c r="J497" s="257" t="str">
        <f t="shared" si="22"/>
        <v>C</v>
      </c>
    </row>
    <row r="498" spans="1:10" ht="28.5">
      <c r="A498" s="263">
        <v>100721</v>
      </c>
      <c r="B498" s="257" t="str">
        <f>VLOOKUP(A498,'3 - PLAN. ORÇAMENTÁRIA'!$B$16:$E$721,3,FALSE)</f>
        <v>SINAPI</v>
      </c>
      <c r="C498" s="264" t="s">
        <v>3621</v>
      </c>
      <c r="D498" s="257" t="str">
        <f>VLOOKUP(A498,'3 - PLAN. ORÇAMENTÁRIA'!$B$16:$E$721,4,FALSE)</f>
        <v>M2</v>
      </c>
      <c r="E498" s="266">
        <f>SUMIF('3 - PLAN. ORÇAMENTÁRIA'!$C$15:$C$721,C498,'3 - PLAN. ORÇAMENTÁRIA'!$F$15:$F$721)</f>
        <v>2.5099999999999998</v>
      </c>
      <c r="F498" s="267">
        <f>VLOOKUP(A498,'3 - PLAN. ORÇAMENTÁRIA'!$B$16:$I$721,8,FALSE)</f>
        <v>34.1</v>
      </c>
      <c r="G498" s="267">
        <f>ROUND(E498*F498,2)</f>
        <v>85.59</v>
      </c>
      <c r="H498" s="262">
        <f t="shared" si="21"/>
        <v>1.4610106918278225E-3</v>
      </c>
      <c r="I498" s="262">
        <f t="shared" si="23"/>
        <v>99.983541908299529</v>
      </c>
      <c r="J498" s="257" t="str">
        <f t="shared" si="22"/>
        <v>C</v>
      </c>
    </row>
    <row r="499" spans="1:10" ht="14.25">
      <c r="A499" s="263">
        <v>89827</v>
      </c>
      <c r="B499" s="257" t="str">
        <f>VLOOKUP(A499,'3 - PLAN. ORÇAMENTÁRIA'!$B$16:$E$721,3,FALSE)</f>
        <v>SINAPI</v>
      </c>
      <c r="C499" s="264" t="s">
        <v>2288</v>
      </c>
      <c r="D499" s="257" t="str">
        <f>VLOOKUP(A499,'3 - PLAN. ORÇAMENTÁRIA'!$B$16:$E$721,4,FALSE)</f>
        <v>UN</v>
      </c>
      <c r="E499" s="266">
        <f>SUMIF('3 - PLAN. ORÇAMENTÁRIA'!$C$15:$C$721,C499,'3 - PLAN. ORÇAMENTÁRIA'!$F$15:$F$721)</f>
        <v>3</v>
      </c>
      <c r="F499" s="267">
        <f>VLOOKUP(A499,'3 - PLAN. ORÇAMENTÁRIA'!$B$16:$I$721,8,FALSE)</f>
        <v>24.75</v>
      </c>
      <c r="G499" s="267">
        <f>ROUND(E499*F499,2)</f>
        <v>74.25</v>
      </c>
      <c r="H499" s="262">
        <f t="shared" si="21"/>
        <v>1.2674382973269754E-3</v>
      </c>
      <c r="I499" s="262">
        <f t="shared" si="23"/>
        <v>99.984809346596862</v>
      </c>
      <c r="J499" s="257" t="str">
        <f t="shared" si="22"/>
        <v>C</v>
      </c>
    </row>
    <row r="500" spans="1:10" ht="14.25">
      <c r="A500" s="263">
        <v>99816</v>
      </c>
      <c r="B500" s="257" t="str">
        <f>VLOOKUP(A500,'3 - PLAN. ORÇAMENTÁRIA'!$B$16:$E$721,3,FALSE)</f>
        <v>SINAPI</v>
      </c>
      <c r="C500" s="264" t="s">
        <v>2635</v>
      </c>
      <c r="D500" s="257" t="str">
        <f>VLOOKUP(A500,'3 - PLAN. ORÇAMENTÁRIA'!$B$16:$E$721,4,FALSE)</f>
        <v>UN</v>
      </c>
      <c r="E500" s="266">
        <f>SUMIF('3 - PLAN. ORÇAMENTÁRIA'!$C$15:$C$721,C500,'3 - PLAN. ORÇAMENTÁRIA'!$F$15:$F$721)</f>
        <v>6</v>
      </c>
      <c r="F500" s="267">
        <f>VLOOKUP(A500,'3 - PLAN. ORÇAMENTÁRIA'!$B$16:$I$721,8,FALSE)</f>
        <v>12.03</v>
      </c>
      <c r="G500" s="267">
        <f>ROUND(E500*F500,2)</f>
        <v>72.180000000000007</v>
      </c>
      <c r="H500" s="262">
        <f t="shared" si="21"/>
        <v>1.2321036538863446E-3</v>
      </c>
      <c r="I500" s="262">
        <f t="shared" si="23"/>
        <v>99.986041450250752</v>
      </c>
      <c r="J500" s="257" t="str">
        <f t="shared" si="22"/>
        <v>C</v>
      </c>
    </row>
    <row r="501" spans="1:10" ht="14.25">
      <c r="A501" s="263">
        <v>89565</v>
      </c>
      <c r="B501" s="257" t="str">
        <f>VLOOKUP(A501,'3 - PLAN. ORÇAMENTÁRIA'!$B$16:$E$721,3,FALSE)</f>
        <v>SINAPI</v>
      </c>
      <c r="C501" s="264" t="s">
        <v>3306</v>
      </c>
      <c r="D501" s="257" t="str">
        <f>VLOOKUP(A501,'3 - PLAN. ORÇAMENTÁRIA'!$B$16:$E$721,4,FALSE)</f>
        <v>UN</v>
      </c>
      <c r="E501" s="266">
        <f>SUMIF('3 - PLAN. ORÇAMENTÁRIA'!$C$15:$C$721,C501,'3 - PLAN. ORÇAMENTÁRIA'!$F$15:$F$721)</f>
        <v>1</v>
      </c>
      <c r="F501" s="267">
        <f>VLOOKUP(A501,'3 - PLAN. ORÇAMENTÁRIA'!$B$16:$I$721,8,FALSE)</f>
        <v>70.3</v>
      </c>
      <c r="G501" s="267">
        <f>ROUND(E501*F501,2)</f>
        <v>70.3</v>
      </c>
      <c r="H501" s="262">
        <f t="shared" si="21"/>
        <v>1.2000122868967861E-3</v>
      </c>
      <c r="I501" s="262">
        <f t="shared" si="23"/>
        <v>99.987241462537654</v>
      </c>
      <c r="J501" s="257" t="str">
        <f t="shared" si="22"/>
        <v>C</v>
      </c>
    </row>
    <row r="502" spans="1:10" ht="14.25">
      <c r="A502" s="263">
        <v>99818</v>
      </c>
      <c r="B502" s="257" t="str">
        <f>VLOOKUP(A502,'3 - PLAN. ORÇAMENTÁRIA'!$B$16:$E$721,3,FALSE)</f>
        <v>SINAPI</v>
      </c>
      <c r="C502" s="264" t="s">
        <v>2626</v>
      </c>
      <c r="D502" s="257" t="str">
        <f>VLOOKUP(A502,'3 - PLAN. ORÇAMENTÁRIA'!$B$16:$E$721,4,FALSE)</f>
        <v>UN</v>
      </c>
      <c r="E502" s="266">
        <f>SUMIF('3 - PLAN. ORÇAMENTÁRIA'!$C$15:$C$721,C502,'3 - PLAN. ORÇAMENTÁRIA'!$F$15:$F$721)</f>
        <v>10</v>
      </c>
      <c r="F502" s="267">
        <f>VLOOKUP(A502,'3 - PLAN. ORÇAMENTÁRIA'!$B$16:$I$721,8,FALSE)</f>
        <v>6.98</v>
      </c>
      <c r="G502" s="267">
        <f>ROUND(E502*F502,2)</f>
        <v>69.8</v>
      </c>
      <c r="H502" s="262">
        <f t="shared" si="21"/>
        <v>1.1914773488676481E-3</v>
      </c>
      <c r="I502" s="262">
        <f t="shared" si="23"/>
        <v>99.988432939886522</v>
      </c>
      <c r="J502" s="257" t="str">
        <f t="shared" si="22"/>
        <v>C</v>
      </c>
    </row>
    <row r="503" spans="1:10" ht="14.25">
      <c r="A503" s="263">
        <v>103953</v>
      </c>
      <c r="B503" s="257" t="str">
        <f>VLOOKUP(A503,'3 - PLAN. ORÇAMENTÁRIA'!$B$16:$E$721,3,FALSE)</f>
        <v>SINAPI</v>
      </c>
      <c r="C503" s="264" t="s">
        <v>486</v>
      </c>
      <c r="D503" s="257" t="str">
        <f>VLOOKUP(A503,'3 - PLAN. ORÇAMENTÁRIA'!$B$16:$E$721,4,FALSE)</f>
        <v>UN</v>
      </c>
      <c r="E503" s="266">
        <f>SUMIF('3 - PLAN. ORÇAMENTÁRIA'!$C$15:$C$721,C503,'3 - PLAN. ORÇAMENTÁRIA'!$F$15:$F$721)</f>
        <v>7</v>
      </c>
      <c r="F503" s="267">
        <f>VLOOKUP(A503,'3 - PLAN. ORÇAMENTÁRIA'!$B$16:$I$721,8,FALSE)</f>
        <v>9.64</v>
      </c>
      <c r="G503" s="267">
        <f>ROUND(E503*F503,2)</f>
        <v>67.48</v>
      </c>
      <c r="H503" s="262">
        <f t="shared" si="21"/>
        <v>1.1518752364124483E-3</v>
      </c>
      <c r="I503" s="262">
        <f t="shared" si="23"/>
        <v>99.989584815122939</v>
      </c>
      <c r="J503" s="257" t="str">
        <f t="shared" si="22"/>
        <v>C</v>
      </c>
    </row>
    <row r="504" spans="1:10" ht="14.25">
      <c r="A504" s="263">
        <v>89644</v>
      </c>
      <c r="B504" s="257" t="str">
        <f>VLOOKUP(A504,'3 - PLAN. ORÇAMENTÁRIA'!$B$16:$E$721,3,FALSE)</f>
        <v>SINAPI</v>
      </c>
      <c r="C504" s="264" t="s">
        <v>2284</v>
      </c>
      <c r="D504" s="257" t="str">
        <f>VLOOKUP(A504,'3 - PLAN. ORÇAMENTÁRIA'!$B$16:$E$721,4,FALSE)</f>
        <v>UN</v>
      </c>
      <c r="E504" s="266">
        <f>SUMIF('3 - PLAN. ORÇAMENTÁRIA'!$C$15:$C$721,C504,'3 - PLAN. ORÇAMENTÁRIA'!$F$15:$F$721)</f>
        <v>2</v>
      </c>
      <c r="F504" s="267">
        <f>VLOOKUP(A504,'3 - PLAN. ORÇAMENTÁRIA'!$B$16:$I$721,8,FALSE)</f>
        <v>30.3</v>
      </c>
      <c r="G504" s="267">
        <f>ROUND(E504*F504,2)</f>
        <v>60.6</v>
      </c>
      <c r="H504" s="262">
        <f t="shared" si="21"/>
        <v>1.0344344891315112E-3</v>
      </c>
      <c r="I504" s="262">
        <f t="shared" si="23"/>
        <v>99.990619249612067</v>
      </c>
      <c r="J504" s="257" t="str">
        <f t="shared" si="22"/>
        <v>C</v>
      </c>
    </row>
    <row r="505" spans="1:10" ht="28.5">
      <c r="A505" s="263" t="s">
        <v>3379</v>
      </c>
      <c r="B505" s="257" t="str">
        <f>VLOOKUP(A505,'3 - PLAN. ORÇAMENTÁRIA'!$B$16:$E$721,3,FALSE)</f>
        <v>PRÓPRIO</v>
      </c>
      <c r="C505" s="265" t="str">
        <f>VLOOKUP(A505,'3 - PLAN. ORÇAMENTÁRIA'!$B$16:$E$721,2,FALSE)</f>
        <v>ARGAMASSA TRAÇO 1:3 (EM VOLUME DE CIMENTO E AREIA MÉDIA ÚMIDA) PARA CONTRAPISO, ESP 3CM, PREPARO MANUAL. AF_08/2019 (SÓCULOS) REF. 87372/SINAPI</v>
      </c>
      <c r="D505" s="257" t="str">
        <f>VLOOKUP(A505,'3 - PLAN. ORÇAMENTÁRIA'!$B$16:$E$721,4,FALSE)</f>
        <v>M3</v>
      </c>
      <c r="E505" s="266">
        <f>SUMIF('3 - PLAN. ORÇAMENTÁRIA'!$C$15:$C$721,C505,'3 - PLAN. ORÇAMENTÁRIA'!$F$15:$F$721)</f>
        <v>0.06</v>
      </c>
      <c r="F505" s="267">
        <f>VLOOKUP(A505,'3 - PLAN. ORÇAMENTÁRIA'!$B$16:$I$721,8,FALSE)</f>
        <v>942.55</v>
      </c>
      <c r="G505" s="267">
        <f>ROUND(E505*F505,2)</f>
        <v>56.55</v>
      </c>
      <c r="H505" s="262">
        <f t="shared" si="21"/>
        <v>9.6530149109549435E-4</v>
      </c>
      <c r="I505" s="262">
        <f t="shared" si="23"/>
        <v>99.991584551103159</v>
      </c>
      <c r="J505" s="257" t="str">
        <f t="shared" si="22"/>
        <v>C</v>
      </c>
    </row>
    <row r="506" spans="1:10" ht="14.25">
      <c r="A506" s="263">
        <v>92865</v>
      </c>
      <c r="B506" s="257" t="str">
        <f>VLOOKUP(A506,'3 - PLAN. ORÇAMENTÁRIA'!$B$16:$E$721,3,FALSE)</f>
        <v>SINAPI</v>
      </c>
      <c r="C506" s="264" t="s">
        <v>513</v>
      </c>
      <c r="D506" s="257" t="str">
        <f>VLOOKUP(A506,'3 - PLAN. ORÇAMENTÁRIA'!$B$16:$E$721,4,FALSE)</f>
        <v>UN</v>
      </c>
      <c r="E506" s="266">
        <f>SUMIF('3 - PLAN. ORÇAMENTÁRIA'!$C$15:$C$721,C506,'3 - PLAN. ORÇAMENTÁRIA'!$F$15:$F$721)</f>
        <v>3</v>
      </c>
      <c r="F506" s="267">
        <f>VLOOKUP(A506,'3 - PLAN. ORÇAMENTÁRIA'!$B$16:$I$721,8,FALSE)</f>
        <v>18.850000000000001</v>
      </c>
      <c r="G506" s="267">
        <f>ROUND(E506*F506,2)</f>
        <v>56.55</v>
      </c>
      <c r="H506" s="262">
        <f t="shared" si="21"/>
        <v>9.6530149109549435E-4</v>
      </c>
      <c r="I506" s="262">
        <f t="shared" si="23"/>
        <v>99.992549852594252</v>
      </c>
      <c r="J506" s="257" t="str">
        <f t="shared" si="22"/>
        <v>C</v>
      </c>
    </row>
    <row r="507" spans="1:10" ht="28.5">
      <c r="A507" s="263">
        <v>87879</v>
      </c>
      <c r="B507" s="257" t="str">
        <f>VLOOKUP(A507,'3 - PLAN. ORÇAMENTÁRIA'!$B$16:$E$721,3,FALSE)</f>
        <v>SINAPI</v>
      </c>
      <c r="C507" s="264" t="s">
        <v>4030</v>
      </c>
      <c r="D507" s="257" t="str">
        <f>VLOOKUP(A507,'3 - PLAN. ORÇAMENTÁRIA'!$B$16:$E$721,4,FALSE)</f>
        <v>M2</v>
      </c>
      <c r="E507" s="266">
        <f>SUMIF('3 - PLAN. ORÇAMENTÁRIA'!$C$15:$C$721,C507,'3 - PLAN. ORÇAMENTÁRIA'!$F$15:$F$721)</f>
        <v>9.42</v>
      </c>
      <c r="F507" s="267">
        <f>VLOOKUP(A507,'3 - PLAN. ORÇAMENTÁRIA'!$B$16:$I$721,8,FALSE)</f>
        <v>6</v>
      </c>
      <c r="G507" s="267">
        <f>ROUND(E507*F507,2)</f>
        <v>56.52</v>
      </c>
      <c r="H507" s="262">
        <f t="shared" si="21"/>
        <v>9.6478939481374601E-4</v>
      </c>
      <c r="I507" s="262">
        <f t="shared" si="23"/>
        <v>99.993514641989066</v>
      </c>
      <c r="J507" s="257" t="str">
        <f t="shared" si="22"/>
        <v>C</v>
      </c>
    </row>
    <row r="508" spans="1:10" ht="28.5">
      <c r="A508" s="263">
        <v>88485</v>
      </c>
      <c r="B508" s="257" t="str">
        <f>VLOOKUP(A508,'3 - PLAN. ORÇAMENTÁRIA'!$B$16:$E$721,3,FALSE)</f>
        <v>SINAPI</v>
      </c>
      <c r="C508" s="264" t="s">
        <v>2240</v>
      </c>
      <c r="D508" s="257" t="str">
        <f>VLOOKUP(A508,'3 - PLAN. ORÇAMENTÁRIA'!$B$16:$E$721,4,FALSE)</f>
        <v>M2</v>
      </c>
      <c r="E508" s="266">
        <f>SUMIF('3 - PLAN. ORÇAMENTÁRIA'!$C$15:$C$721,C508,'3 - PLAN. ORÇAMENTÁRIA'!$F$15:$F$721)</f>
        <v>9.42</v>
      </c>
      <c r="F508" s="267">
        <f>VLOOKUP(A508,'3 - PLAN. ORÇAMENTÁRIA'!$B$16:$I$721,8,FALSE)</f>
        <v>5.84</v>
      </c>
      <c r="G508" s="267">
        <f>ROUND(E508*F508,2)</f>
        <v>55.01</v>
      </c>
      <c r="H508" s="262">
        <f t="shared" si="21"/>
        <v>9.3901388196574961E-4</v>
      </c>
      <c r="I508" s="262">
        <f t="shared" si="23"/>
        <v>99.994453655871027</v>
      </c>
      <c r="J508" s="257" t="str">
        <f t="shared" si="22"/>
        <v>C</v>
      </c>
    </row>
    <row r="509" spans="1:10" ht="28.5">
      <c r="A509" s="263">
        <v>96542</v>
      </c>
      <c r="B509" s="257" t="str">
        <f>VLOOKUP(A509,'3 - PLAN. ORÇAMENTÁRIA'!$B$16:$E$721,3,FALSE)</f>
        <v>SINAPI</v>
      </c>
      <c r="C509" s="264" t="s">
        <v>1169</v>
      </c>
      <c r="D509" s="257" t="str">
        <f>VLOOKUP(A509,'3 - PLAN. ORÇAMENTÁRIA'!$B$16:$E$721,4,FALSE)</f>
        <v>M2</v>
      </c>
      <c r="E509" s="266">
        <f>SUMIF('3 - PLAN. ORÇAMENTÁRIA'!$C$15:$C$721,C509,'3 - PLAN. ORÇAMENTÁRIA'!$F$15:$F$721)</f>
        <v>0.46</v>
      </c>
      <c r="F509" s="267">
        <f>VLOOKUP(A509,'3 - PLAN. ORÇAMENTÁRIA'!$B$16:$I$721,8,FALSE)</f>
        <v>118.45</v>
      </c>
      <c r="G509" s="267">
        <f>ROUND(E509*F509,2)</f>
        <v>54.49</v>
      </c>
      <c r="H509" s="262">
        <f t="shared" si="21"/>
        <v>9.3013754641544624E-4</v>
      </c>
      <c r="I509" s="262">
        <f t="shared" si="23"/>
        <v>99.995383793417446</v>
      </c>
      <c r="J509" s="257" t="str">
        <f t="shared" si="22"/>
        <v>C</v>
      </c>
    </row>
    <row r="510" spans="1:10" ht="14.25">
      <c r="A510" s="263">
        <v>101632</v>
      </c>
      <c r="B510" s="257" t="str">
        <f>VLOOKUP(A510,'3 - PLAN. ORÇAMENTÁRIA'!$B$16:$E$721,3,FALSE)</f>
        <v>SINAPI</v>
      </c>
      <c r="C510" s="264" t="s">
        <v>543</v>
      </c>
      <c r="D510" s="257" t="str">
        <f>VLOOKUP(A510,'3 - PLAN. ORÇAMENTÁRIA'!$B$16:$E$721,4,FALSE)</f>
        <v>UN</v>
      </c>
      <c r="E510" s="266">
        <f>SUMIF('3 - PLAN. ORÇAMENTÁRIA'!$C$15:$C$721,C510,'3 - PLAN. ORÇAMENTÁRIA'!$F$15:$F$721)</f>
        <v>1</v>
      </c>
      <c r="F510" s="267">
        <f>VLOOKUP(A510,'3 - PLAN. ORÇAMENTÁRIA'!$B$16:$I$721,8,FALSE)</f>
        <v>44.61</v>
      </c>
      <c r="G510" s="267">
        <f>ROUND(E510*F510,2)</f>
        <v>44.61</v>
      </c>
      <c r="H510" s="262">
        <f t="shared" si="21"/>
        <v>7.6148717095968178E-4</v>
      </c>
      <c r="I510" s="262">
        <f t="shared" si="23"/>
        <v>99.996145280588408</v>
      </c>
      <c r="J510" s="257" t="str">
        <f t="shared" si="22"/>
        <v>C</v>
      </c>
    </row>
    <row r="511" spans="1:10" ht="14.25">
      <c r="A511" s="263">
        <v>89418</v>
      </c>
      <c r="B511" s="257" t="str">
        <f>VLOOKUP(A511,'3 - PLAN. ORÇAMENTÁRIA'!$B$16:$E$721,3,FALSE)</f>
        <v>SINAPI</v>
      </c>
      <c r="C511" s="265" t="s">
        <v>3627</v>
      </c>
      <c r="D511" s="257" t="str">
        <f>VLOOKUP(A511,'3 - PLAN. ORÇAMENTÁRIA'!$B$16:$E$721,4,FALSE)</f>
        <v>UN</v>
      </c>
      <c r="E511" s="266">
        <f>SUMIF('3 - PLAN. ORÇAMENTÁRIA'!$C$15:$C$721,C511,'3 - PLAN. ORÇAMENTÁRIA'!$F$15:$F$721)</f>
        <v>2</v>
      </c>
      <c r="F511" s="267">
        <f>VLOOKUP(A511,'3 - PLAN. ORÇAMENTÁRIA'!$B$16:$I$721,8,FALSE)</f>
        <v>20.22</v>
      </c>
      <c r="G511" s="267">
        <f>ROUND(E511*F511,2)</f>
        <v>40.44</v>
      </c>
      <c r="H511" s="262">
        <f t="shared" si="21"/>
        <v>6.9030578779667186E-4</v>
      </c>
      <c r="I511" s="262">
        <f t="shared" si="23"/>
        <v>99.996835586376207</v>
      </c>
      <c r="J511" s="257" t="str">
        <f t="shared" si="22"/>
        <v>C</v>
      </c>
    </row>
    <row r="512" spans="1:10" ht="14.25">
      <c r="A512" s="263">
        <v>99817</v>
      </c>
      <c r="B512" s="257" t="str">
        <f>VLOOKUP(A512,'3 - PLAN. ORÇAMENTÁRIA'!$B$16:$E$721,3,FALSE)</f>
        <v>SINAPI</v>
      </c>
      <c r="C512" s="264" t="s">
        <v>2628</v>
      </c>
      <c r="D512" s="257" t="str">
        <f>VLOOKUP(A512,'3 - PLAN. ORÇAMENTÁRIA'!$B$16:$E$721,4,FALSE)</f>
        <v>UN</v>
      </c>
      <c r="E512" s="266">
        <f>SUMIF('3 - PLAN. ORÇAMENTÁRIA'!$C$15:$C$721,C512,'3 - PLAN. ORÇAMENTÁRIA'!$F$15:$F$721)</f>
        <v>5</v>
      </c>
      <c r="F512" s="267">
        <f>VLOOKUP(A512,'3 - PLAN. ORÇAMENTÁRIA'!$B$16:$I$721,8,FALSE)</f>
        <v>6.98</v>
      </c>
      <c r="G512" s="267">
        <f>ROUND(E512*F512,2)</f>
        <v>34.9</v>
      </c>
      <c r="H512" s="262">
        <f t="shared" si="21"/>
        <v>5.9573867443382406E-4</v>
      </c>
      <c r="I512" s="262">
        <f t="shared" si="23"/>
        <v>99.997431325050641</v>
      </c>
      <c r="J512" s="257" t="str">
        <f t="shared" si="22"/>
        <v>C</v>
      </c>
    </row>
    <row r="513" spans="1:10" ht="14.25">
      <c r="A513" s="263">
        <v>86882</v>
      </c>
      <c r="B513" s="257" t="str">
        <f>VLOOKUP(A513,'3 - PLAN. ORÇAMENTÁRIA'!$B$16:$E$721,3,FALSE)</f>
        <v>SINAPI</v>
      </c>
      <c r="C513" s="265" t="s">
        <v>4053</v>
      </c>
      <c r="D513" s="257" t="str">
        <f>VLOOKUP(A513,'3 - PLAN. ORÇAMENTÁRIA'!$B$16:$E$721,4,FALSE)</f>
        <v>UN</v>
      </c>
      <c r="E513" s="266">
        <f>SUMIF('3 - PLAN. ORÇAMENTÁRIA'!$C$15:$C$721,C513,'3 - PLAN. ORÇAMENTÁRIA'!$F$15:$F$721)</f>
        <v>1</v>
      </c>
      <c r="F513" s="267">
        <f>VLOOKUP(A513,'3 - PLAN. ORÇAMENTÁRIA'!$B$16:$I$721,8,FALSE)</f>
        <v>26.35</v>
      </c>
      <c r="G513" s="267">
        <f>ROUND(E513*F513,2)</f>
        <v>26.35</v>
      </c>
      <c r="H513" s="262">
        <f t="shared" si="21"/>
        <v>4.497912341355663E-4</v>
      </c>
      <c r="I513" s="262">
        <f t="shared" si="23"/>
        <v>99.997881116284773</v>
      </c>
      <c r="J513" s="257" t="str">
        <f t="shared" si="22"/>
        <v>C</v>
      </c>
    </row>
    <row r="514" spans="1:10" ht="14.25">
      <c r="A514" s="263">
        <v>97113</v>
      </c>
      <c r="B514" s="257" t="str">
        <f>VLOOKUP(A514,'3 - PLAN. ORÇAMENTÁRIA'!$B$16:$E$721,3,FALSE)</f>
        <v>SINAPI</v>
      </c>
      <c r="C514" s="264" t="s">
        <v>342</v>
      </c>
      <c r="D514" s="257" t="str">
        <f>VLOOKUP(A514,'3 - PLAN. ORÇAMENTÁRIA'!$B$16:$E$721,4,FALSE)</f>
        <v>M2</v>
      </c>
      <c r="E514" s="266">
        <f>SUMIF('3 - PLAN. ORÇAMENTÁRIA'!$C$15:$C$721,C514,'3 - PLAN. ORÇAMENTÁRIA'!$F$15:$F$721)</f>
        <v>6.08</v>
      </c>
      <c r="F514" s="267">
        <f>VLOOKUP(A514,'3 - PLAN. ORÇAMENTÁRIA'!$B$16:$I$721,8,FALSE)</f>
        <v>4.1399999999999997</v>
      </c>
      <c r="G514" s="267">
        <f>ROUND(E514*F514,2)</f>
        <v>25.17</v>
      </c>
      <c r="H514" s="262">
        <f t="shared" si="21"/>
        <v>4.2964878038680095E-4</v>
      </c>
      <c r="I514" s="262">
        <f t="shared" si="23"/>
        <v>99.998310765065156</v>
      </c>
      <c r="J514" s="257" t="str">
        <f t="shared" si="22"/>
        <v>C</v>
      </c>
    </row>
    <row r="515" spans="1:10" ht="14.25">
      <c r="A515" s="263">
        <v>89485</v>
      </c>
      <c r="B515" s="257" t="str">
        <f>VLOOKUP(A515,'3 - PLAN. ORÇAMENTÁRIA'!$B$16:$E$721,3,FALSE)</f>
        <v>SINAPI</v>
      </c>
      <c r="C515" s="264" t="s">
        <v>484</v>
      </c>
      <c r="D515" s="257" t="str">
        <f>VLOOKUP(A515,'3 - PLAN. ORÇAMENTÁRIA'!$B$16:$E$721,4,FALSE)</f>
        <v>UN</v>
      </c>
      <c r="E515" s="266">
        <f>SUMIF('3 - PLAN. ORÇAMENTÁRIA'!$C$15:$C$721,C515,'3 - PLAN. ORÇAMENTÁRIA'!$F$15:$F$721)</f>
        <v>3</v>
      </c>
      <c r="F515" s="267">
        <f>VLOOKUP(A515,'3 - PLAN. ORÇAMENTÁRIA'!$B$16:$I$721,8,FALSE)</f>
        <v>8.1300000000000008</v>
      </c>
      <c r="G515" s="267">
        <f>ROUND(E515*F515,2)</f>
        <v>24.39</v>
      </c>
      <c r="H515" s="262">
        <f t="shared" si="21"/>
        <v>4.1633427706134585E-4</v>
      </c>
      <c r="I515" s="262">
        <f t="shared" si="23"/>
        <v>99.998727099342219</v>
      </c>
      <c r="J515" s="257" t="str">
        <f t="shared" si="22"/>
        <v>C</v>
      </c>
    </row>
    <row r="516" spans="1:10" ht="14.25">
      <c r="A516" s="263">
        <v>93657</v>
      </c>
      <c r="B516" s="257" t="str">
        <f>VLOOKUP(A516,'3 - PLAN. ORÇAMENTÁRIA'!$B$16:$E$721,3,FALSE)</f>
        <v>SINAPI</v>
      </c>
      <c r="C516" s="265" t="s">
        <v>3257</v>
      </c>
      <c r="D516" s="257" t="str">
        <f>VLOOKUP(A516,'3 - PLAN. ORÇAMENTÁRIA'!$B$16:$E$721,4,FALSE)</f>
        <v>UN</v>
      </c>
      <c r="E516" s="266">
        <f>SUMIF('3 - PLAN. ORÇAMENTÁRIA'!$C$15:$C$721,C516,'3 - PLAN. ORÇAMENTÁRIA'!$F$15:$F$721)</f>
        <v>1</v>
      </c>
      <c r="F516" s="267">
        <f>VLOOKUP(A516,'3 - PLAN. ORÇAMENTÁRIA'!$B$16:$I$721,8,FALSE)</f>
        <v>24.23</v>
      </c>
      <c r="G516" s="267">
        <f>ROUND(E516*F516,2)</f>
        <v>24.23</v>
      </c>
      <c r="H516" s="262">
        <f t="shared" si="21"/>
        <v>4.1360309689202171E-4</v>
      </c>
      <c r="I516" s="262">
        <f t="shared" si="23"/>
        <v>99.999140702439107</v>
      </c>
      <c r="J516" s="257" t="str">
        <f t="shared" si="22"/>
        <v>C</v>
      </c>
    </row>
    <row r="517" spans="1:10" ht="14.25">
      <c r="A517" s="263" t="s">
        <v>4057</v>
      </c>
      <c r="B517" s="257" t="str">
        <f>VLOOKUP(A517,'3 - PLAN. ORÇAMENTÁRIA'!$B$16:$E$721,3,FALSE)</f>
        <v>PRÓPRIO</v>
      </c>
      <c r="C517" s="265" t="str">
        <f>VLOOKUP(A517,'3 - PLAN. ORÇAMENTÁRIA'!$B$16:$E$721,2,FALSE)</f>
        <v>SIFÃO COM VÁLVULA PARA TANQUE DE LAVAR, 1 1/4"X40, AKROS N°. 8 OU SIMILAR - FORNECIMENTO E INSTALAÇÃO</v>
      </c>
      <c r="D517" s="257" t="str">
        <f>VLOOKUP(A517,'3 - PLAN. ORÇAMENTÁRIA'!$B$16:$E$721,4,FALSE)</f>
        <v>UN</v>
      </c>
      <c r="E517" s="266">
        <f>SUMIF('3 - PLAN. ORÇAMENTÁRIA'!$C$15:$C$721,C517,'3 - PLAN. ORÇAMENTÁRIA'!$F$15:$F$721)</f>
        <v>1</v>
      </c>
      <c r="F517" s="267">
        <f>VLOOKUP(A517,'3 - PLAN. ORÇAMENTÁRIA'!$B$16:$I$721,8,FALSE)</f>
        <v>23.63</v>
      </c>
      <c r="G517" s="267">
        <f>ROUND(E517*F517,2)</f>
        <v>23.63</v>
      </c>
      <c r="H517" s="262">
        <f t="shared" si="21"/>
        <v>4.0336117125705625E-4</v>
      </c>
      <c r="I517" s="262">
        <f t="shared" si="23"/>
        <v>99.999544063610358</v>
      </c>
      <c r="J517" s="257" t="str">
        <f t="shared" si="22"/>
        <v>C</v>
      </c>
    </row>
    <row r="518" spans="1:10" ht="14.25">
      <c r="A518" s="263">
        <v>103952</v>
      </c>
      <c r="B518" s="257" t="str">
        <f>VLOOKUP(A518,'3 - PLAN. ORÇAMENTÁRIA'!$B$16:$E$721,3,FALSE)</f>
        <v>SINAPI</v>
      </c>
      <c r="C518" s="265" t="s">
        <v>3626</v>
      </c>
      <c r="D518" s="257" t="str">
        <f>VLOOKUP(A518,'3 - PLAN. ORÇAMENTÁRIA'!$B$16:$E$721,4,FALSE)</f>
        <v>UN</v>
      </c>
      <c r="E518" s="266">
        <f>SUMIF('3 - PLAN. ORÇAMENTÁRIA'!$C$15:$C$721,C518,'3 - PLAN. ORÇAMENTÁRIA'!$F$15:$F$721)</f>
        <v>2</v>
      </c>
      <c r="F518" s="267">
        <f>VLOOKUP(A518,'3 - PLAN. ORÇAMENTÁRIA'!$B$16:$I$721,8,FALSE)</f>
        <v>7.7</v>
      </c>
      <c r="G518" s="267">
        <f>ROUND(E518*F518,2)</f>
        <v>15.4</v>
      </c>
      <c r="H518" s="262">
        <f t="shared" si="21"/>
        <v>2.6287609129744676E-4</v>
      </c>
      <c r="I518" s="262">
        <f t="shared" si="23"/>
        <v>99.999806939701656</v>
      </c>
      <c r="J518" s="257" t="str">
        <f t="shared" si="22"/>
        <v>C</v>
      </c>
    </row>
    <row r="519" spans="1:10" ht="14.25">
      <c r="A519" s="263">
        <v>99815</v>
      </c>
      <c r="B519" s="257" t="str">
        <f>VLOOKUP(A519,'3 - PLAN. ORÇAMENTÁRIA'!$B$16:$E$721,3,FALSE)</f>
        <v>SINAPI</v>
      </c>
      <c r="C519" s="264" t="s">
        <v>2629</v>
      </c>
      <c r="D519" s="257" t="str">
        <f>VLOOKUP(A519,'3 - PLAN. ORÇAMENTÁRIA'!$B$16:$E$721,4,FALSE)</f>
        <v>UN</v>
      </c>
      <c r="E519" s="266">
        <f>SUMIF('3 - PLAN. ORÇAMENTÁRIA'!$C$15:$C$721,C519,'3 - PLAN. ORÇAMENTÁRIA'!$F$15:$F$721)</f>
        <v>1</v>
      </c>
      <c r="F519" s="267">
        <f>VLOOKUP(A519,'3 - PLAN. ORÇAMENTÁRIA'!$B$16:$I$721,8,FALSE)</f>
        <v>11.31</v>
      </c>
      <c r="G519" s="267">
        <f>ROUND(E519*F519,2)</f>
        <v>11.31</v>
      </c>
      <c r="H519" s="262">
        <f t="shared" si="21"/>
        <v>1.9306029821909885E-4</v>
      </c>
      <c r="I519" s="262">
        <f t="shared" si="23"/>
        <v>99.999999999999872</v>
      </c>
      <c r="J519" s="257" t="str">
        <f t="shared" si="22"/>
        <v>C</v>
      </c>
    </row>
    <row r="521" spans="1:10" ht="111" customHeight="1">
      <c r="A521" s="680" t="s">
        <v>735</v>
      </c>
      <c r="B521" s="680"/>
      <c r="C521" s="680"/>
      <c r="D521" s="680"/>
      <c r="E521" s="680"/>
      <c r="F521" s="680"/>
      <c r="G521" s="680"/>
      <c r="H521" s="680"/>
      <c r="I521" s="680"/>
      <c r="J521" s="680"/>
    </row>
  </sheetData>
  <sortState xmlns:xlrd2="http://schemas.microsoft.com/office/spreadsheetml/2017/richdata2" ref="A8:J519">
    <sortCondition descending="1" ref="G8:G519"/>
  </sortState>
  <mergeCells count="13">
    <mergeCell ref="A521:J521"/>
    <mergeCell ref="I6:I7"/>
    <mergeCell ref="J6:J7"/>
    <mergeCell ref="A1:J4"/>
    <mergeCell ref="A5:J5"/>
    <mergeCell ref="A6:A7"/>
    <mergeCell ref="B6:B7"/>
    <mergeCell ref="C6:C7"/>
    <mergeCell ref="D6:D7"/>
    <mergeCell ref="E6:E7"/>
    <mergeCell ref="F6:F7"/>
    <mergeCell ref="G6:G7"/>
    <mergeCell ref="H6:H7"/>
  </mergeCells>
  <phoneticPr fontId="32" type="noConversion"/>
  <conditionalFormatting sqref="A8:J519">
    <cfRule type="expression" dxfId="389" priority="1">
      <formula>$J8="C"</formula>
    </cfRule>
    <cfRule type="expression" dxfId="388" priority="2">
      <formula>$J8="B"</formula>
    </cfRule>
    <cfRule type="expression" dxfId="387" priority="3">
      <formula>$J8="A"</formula>
    </cfRule>
  </conditionalFormatting>
  <conditionalFormatting sqref="C8:C519">
    <cfRule type="duplicateValues" dxfId="386" priority="1245"/>
  </conditionalFormatting>
  <pageMargins left="0.25" right="0.25" top="0.75" bottom="0.75" header="0.3" footer="0.3"/>
  <pageSetup paperSize="9" scale="58" fitToHeight="0" orientation="landscape" r:id="rId1"/>
  <rowBreaks count="10" manualBreakCount="10">
    <brk id="33" max="9" man="1"/>
    <brk id="141" max="9" man="1"/>
    <brk id="180" max="9" man="1"/>
    <brk id="219" max="9" man="1"/>
    <brk id="260" max="9" man="1"/>
    <brk id="289" max="9" man="1"/>
    <brk id="320" max="9" man="1"/>
    <brk id="398" max="9" man="1"/>
    <brk id="441" max="9" man="1"/>
    <brk id="484"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AF64-67D1-4585-9CB5-8A955885CB8F}">
  <sheetPr>
    <tabColor rgb="FF00B0F0"/>
    <pageSetUpPr fitToPage="1"/>
  </sheetPr>
  <dimension ref="A1:J416"/>
  <sheetViews>
    <sheetView view="pageBreakPreview" zoomScale="55" zoomScaleNormal="55" zoomScaleSheetLayoutView="55" workbookViewId="0">
      <selection activeCell="K4" sqref="K4"/>
    </sheetView>
  </sheetViews>
  <sheetFormatPr defaultColWidth="9.140625" defaultRowHeight="12.75"/>
  <cols>
    <col min="1" max="1" width="15" style="106" customWidth="1"/>
    <col min="2" max="2" width="14.28515625" style="106" customWidth="1"/>
    <col min="3" max="3" width="114.28515625" style="106" customWidth="1"/>
    <col min="4" max="4" width="12.42578125" style="258" customWidth="1"/>
    <col min="5" max="5" width="17.85546875" style="258" customWidth="1"/>
    <col min="6" max="6" width="16.5703125" style="106" customWidth="1"/>
    <col min="7" max="7" width="16.7109375" style="258" customWidth="1"/>
    <col min="8" max="8" width="13" style="258" customWidth="1"/>
    <col min="9" max="9" width="10" style="258" customWidth="1"/>
    <col min="10" max="10" width="15.28515625" style="258" customWidth="1"/>
    <col min="11" max="11" width="9.140625" style="106"/>
    <col min="12" max="12" width="11" style="106" bestFit="1" customWidth="1"/>
    <col min="13" max="16384" width="9.140625" style="106"/>
  </cols>
  <sheetData>
    <row r="1" spans="1:10" ht="12.75" customHeight="1">
      <c r="A1" s="613" t="s">
        <v>62</v>
      </c>
      <c r="B1" s="613"/>
      <c r="C1" s="613"/>
      <c r="D1" s="613"/>
      <c r="E1" s="613"/>
      <c r="F1" s="613"/>
      <c r="G1" s="613"/>
      <c r="H1" s="613"/>
      <c r="I1" s="613"/>
      <c r="J1" s="613"/>
    </row>
    <row r="2" spans="1:10">
      <c r="A2" s="613"/>
      <c r="B2" s="613"/>
      <c r="C2" s="613"/>
      <c r="D2" s="613"/>
      <c r="E2" s="613"/>
      <c r="F2" s="613"/>
      <c r="G2" s="613"/>
      <c r="H2" s="613"/>
      <c r="I2" s="613"/>
      <c r="J2" s="613"/>
    </row>
    <row r="3" spans="1:10">
      <c r="A3" s="613"/>
      <c r="B3" s="613"/>
      <c r="C3" s="613"/>
      <c r="D3" s="613"/>
      <c r="E3" s="613"/>
      <c r="F3" s="613"/>
      <c r="G3" s="613"/>
      <c r="H3" s="613"/>
      <c r="I3" s="613"/>
      <c r="J3" s="613"/>
    </row>
    <row r="4" spans="1:10" ht="24.75" customHeight="1">
      <c r="A4" s="613"/>
      <c r="B4" s="613"/>
      <c r="C4" s="613"/>
      <c r="D4" s="613"/>
      <c r="E4" s="613"/>
      <c r="F4" s="613"/>
      <c r="G4" s="613"/>
      <c r="H4" s="613"/>
      <c r="I4" s="613"/>
      <c r="J4" s="613"/>
    </row>
    <row r="5" spans="1:10" ht="32.25" customHeight="1">
      <c r="A5" s="616" t="s">
        <v>2767</v>
      </c>
      <c r="B5" s="616"/>
      <c r="C5" s="616"/>
      <c r="D5" s="616"/>
      <c r="E5" s="616"/>
      <c r="F5" s="616"/>
      <c r="G5" s="616"/>
      <c r="H5" s="616"/>
      <c r="I5" s="616"/>
      <c r="J5" s="616"/>
    </row>
    <row r="6" spans="1:10" ht="24" customHeight="1">
      <c r="A6" s="683" t="s">
        <v>60</v>
      </c>
      <c r="B6" s="683" t="s">
        <v>579</v>
      </c>
      <c r="C6" s="683" t="s">
        <v>33</v>
      </c>
      <c r="D6" s="683" t="s">
        <v>736</v>
      </c>
      <c r="E6" s="683" t="s">
        <v>581</v>
      </c>
      <c r="F6" s="684" t="s">
        <v>792</v>
      </c>
      <c r="G6" s="684" t="s">
        <v>793</v>
      </c>
      <c r="H6" s="684" t="s">
        <v>794</v>
      </c>
      <c r="I6" s="684" t="s">
        <v>795</v>
      </c>
      <c r="J6" s="684" t="s">
        <v>796</v>
      </c>
    </row>
    <row r="7" spans="1:10" ht="15.75" customHeight="1">
      <c r="A7" s="684"/>
      <c r="B7" s="684"/>
      <c r="C7" s="684"/>
      <c r="D7" s="684"/>
      <c r="E7" s="684"/>
      <c r="F7" s="685"/>
      <c r="G7" s="685"/>
      <c r="H7" s="685"/>
      <c r="I7" s="685"/>
      <c r="J7" s="685"/>
    </row>
    <row r="8" spans="1:10" ht="25.5">
      <c r="A8" s="436" t="s">
        <v>1344</v>
      </c>
      <c r="B8" s="436" t="str">
        <f t="shared" ref="B8:B39" si="0">VLOOKUP(A8,$B$66:$D$416,3,FALSE)</f>
        <v>SINAPI</v>
      </c>
      <c r="C8" s="223" t="str">
        <f t="shared" ref="C8:C39" si="1">VLOOKUP(A8,$B$66:$D$416,2,FALSE)</f>
        <v>CAMINHÃO BASCULANTE 14 M3, COM CAVALO MECÂNICO DE CAPACIDADE MÁXIMA DE TRAÇÃO COMBINADO DE 36000 KG, POTÊNCIA 286 CV, INCLUSIVE SEMIREBOQUE COM CAÇAMBA METÁLICA - CHP DIURNO. AF_12/2014</v>
      </c>
      <c r="D8" s="436" t="str">
        <f t="shared" ref="D8:D39" si="2">VLOOKUP(A8,$B$66:$E$416,4,FALSE)</f>
        <v>CHP</v>
      </c>
      <c r="E8" s="259">
        <f t="shared" ref="E8:E39" si="3">SUMIF($B$66:$B$416,A8,$J$66:$J$416)</f>
        <v>123.97155600000001</v>
      </c>
      <c r="F8" s="268">
        <f t="shared" ref="F8:F39" si="4">VLOOKUP(A8,$B$66:$G$416,6,FALSE)</f>
        <v>334.12</v>
      </c>
      <c r="G8" s="268">
        <f t="shared" ref="G8:G39" si="5">E8*F8</f>
        <v>41421.37629072</v>
      </c>
      <c r="H8" s="262">
        <f>(G8*100)/SUM($G$8:$G$58)</f>
        <v>19.57465955755654</v>
      </c>
      <c r="I8" s="262">
        <f>H8</f>
        <v>19.57465955755654</v>
      </c>
      <c r="J8" s="257" t="str">
        <f>IF(I8&lt;80,"A",IF(I8&lt;95,"B","C"))</f>
        <v>A</v>
      </c>
    </row>
    <row r="9" spans="1:10">
      <c r="A9" s="436">
        <v>5952</v>
      </c>
      <c r="B9" s="436" t="str">
        <f t="shared" si="0"/>
        <v>SINAPI</v>
      </c>
      <c r="C9" s="223" t="str">
        <f t="shared" si="1"/>
        <v>MARTELETE OU ROMPEDOR PNEUMÁTICO MANUAL, 28 KG, COM SILENCIADOR - CHI DIURNO. AF_07/2016</v>
      </c>
      <c r="D9" s="436" t="str">
        <f t="shared" si="2"/>
        <v>CHI</v>
      </c>
      <c r="E9" s="259">
        <f t="shared" si="3"/>
        <v>620.36381000000006</v>
      </c>
      <c r="F9" s="268">
        <f t="shared" si="4"/>
        <v>27.94</v>
      </c>
      <c r="G9" s="268">
        <f t="shared" si="5"/>
        <v>17332.964851400004</v>
      </c>
      <c r="H9" s="262">
        <f t="shared" ref="H9:H58" si="6">(G9*100)/SUM($G$8:$G$58)</f>
        <v>8.1911060537421623</v>
      </c>
      <c r="I9" s="262">
        <f>H9+I8</f>
        <v>27.765765611298704</v>
      </c>
      <c r="J9" s="257" t="str">
        <f t="shared" ref="J9:J58" si="7">IF(I9&lt;80,"A",IF(I9&lt;95,"B","C"))</f>
        <v>A</v>
      </c>
    </row>
    <row r="10" spans="1:10" ht="25.5">
      <c r="A10" s="436" t="s">
        <v>132</v>
      </c>
      <c r="B10" s="436" t="str">
        <f t="shared" si="0"/>
        <v>SINAPI</v>
      </c>
      <c r="C10" s="223" t="str">
        <f t="shared" si="1"/>
        <v>LOCACAO DE CONTAINER 2,30 X 4,30 M, ALT. 2,50 M, PARA SANITARIO, COM 3 BACIAS, 4 CHUVEIROS, 1 LAVATORIO E 1 MICTORIO (NAO INCLUI MOBILIZACAO/DESMOBILIZACAO)</v>
      </c>
      <c r="D10" s="436" t="str">
        <f t="shared" si="2"/>
        <v>MES</v>
      </c>
      <c r="E10" s="259">
        <f t="shared" si="3"/>
        <v>10</v>
      </c>
      <c r="F10" s="268">
        <f t="shared" si="4"/>
        <v>1703.12</v>
      </c>
      <c r="G10" s="268">
        <f t="shared" si="5"/>
        <v>17031.199999999997</v>
      </c>
      <c r="H10" s="262">
        <f t="shared" si="6"/>
        <v>8.0484998739973541</v>
      </c>
      <c r="I10" s="262">
        <f t="shared" ref="I10:I58" si="8">H10+I9</f>
        <v>35.814265485296062</v>
      </c>
      <c r="J10" s="257" t="str">
        <f t="shared" si="7"/>
        <v>A</v>
      </c>
    </row>
    <row r="11" spans="1:10" ht="38.25">
      <c r="A11" s="436">
        <v>90675</v>
      </c>
      <c r="B11" s="436" t="str">
        <f t="shared" si="0"/>
        <v>SINAPI</v>
      </c>
      <c r="C11" s="223" t="str">
        <f t="shared" si="1"/>
        <v>PERFURATRIZ COM TORRE METÁLICA PARA EXECUÇÃO DE ESTACA HÉLICE CONTÍNUA, PROFUNDIDADE MÁXIMA DE 30 M, DIÂMETRO MÁXIMO DE 800 MM, POTÊNCIA INSTALADA DE 268 HP, MESA ROTATIVA COM TORQUE MÁXIMO DE 170 KNM - CHI DIURNO. AF_06/2015</v>
      </c>
      <c r="D11" s="436" t="str">
        <f t="shared" si="2"/>
        <v>CHI</v>
      </c>
      <c r="E11" s="259">
        <f t="shared" si="3"/>
        <v>46.166420000000002</v>
      </c>
      <c r="F11" s="268">
        <f t="shared" si="4"/>
        <v>336.65</v>
      </c>
      <c r="G11" s="268">
        <f t="shared" si="5"/>
        <v>15541.925293</v>
      </c>
      <c r="H11" s="262">
        <f t="shared" si="6"/>
        <v>7.3447075815201988</v>
      </c>
      <c r="I11" s="262">
        <f t="shared" si="8"/>
        <v>43.158973066816259</v>
      </c>
      <c r="J11" s="257" t="str">
        <f t="shared" si="7"/>
        <v>A</v>
      </c>
    </row>
    <row r="12" spans="1:10" ht="25.5">
      <c r="A12" s="436" t="s">
        <v>129</v>
      </c>
      <c r="B12" s="436" t="str">
        <f t="shared" si="0"/>
        <v>SINAPI</v>
      </c>
      <c r="C12" s="223" t="str">
        <f t="shared" si="1"/>
        <v>LOCACAO DE CONTAINER 2,30 X 6,00 M, ALT. 2,50 M, COM 1 SANITARIO, PARA ESCRITORIO, COMPLETO, SEM DIVISORIAS INTERNAS (NAO INCLUI MOBILIZACAO/DESMOBILIZACAO)</v>
      </c>
      <c r="D12" s="436" t="str">
        <f t="shared" si="2"/>
        <v>MES</v>
      </c>
      <c r="E12" s="259">
        <f t="shared" si="3"/>
        <v>10</v>
      </c>
      <c r="F12" s="268">
        <f t="shared" si="4"/>
        <v>1500</v>
      </c>
      <c r="G12" s="268">
        <f t="shared" si="5"/>
        <v>15000</v>
      </c>
      <c r="H12" s="262">
        <f t="shared" si="6"/>
        <v>7.0886078555803653</v>
      </c>
      <c r="I12" s="262">
        <f t="shared" si="8"/>
        <v>50.247580922396622</v>
      </c>
      <c r="J12" s="257" t="str">
        <f t="shared" si="7"/>
        <v>A</v>
      </c>
    </row>
    <row r="13" spans="1:10" ht="25.5">
      <c r="A13" s="436" t="s">
        <v>1792</v>
      </c>
      <c r="B13" s="436" t="str">
        <f t="shared" si="0"/>
        <v>SINAPI</v>
      </c>
      <c r="C13" s="223" t="str">
        <f t="shared" si="1"/>
        <v>GUINDASTE HIDRÁULICO AUTOPROPELIDO, COM LANÇA TELESCÓPICA 40 M, CAPACIDADE MÁXIMA 60 T, POTÊNCIA 260 KW - CHP DIURNO. AF_03/2016</v>
      </c>
      <c r="D13" s="436" t="str">
        <f t="shared" si="2"/>
        <v>CHP</v>
      </c>
      <c r="E13" s="259">
        <f t="shared" si="3"/>
        <v>43.48085537</v>
      </c>
      <c r="F13" s="268">
        <f t="shared" si="4"/>
        <v>343.98</v>
      </c>
      <c r="G13" s="268">
        <f t="shared" si="5"/>
        <v>14956.544630172601</v>
      </c>
      <c r="H13" s="262">
        <f t="shared" si="6"/>
        <v>7.0680719838519881</v>
      </c>
      <c r="I13" s="262">
        <f t="shared" si="8"/>
        <v>57.315652906248609</v>
      </c>
      <c r="J13" s="257" t="str">
        <f t="shared" si="7"/>
        <v>A</v>
      </c>
    </row>
    <row r="14" spans="1:10" ht="25.5">
      <c r="A14" s="436" t="s">
        <v>135</v>
      </c>
      <c r="B14" s="436" t="str">
        <f t="shared" si="0"/>
        <v>SINAPI</v>
      </c>
      <c r="C14" s="223" t="str">
        <f t="shared" si="1"/>
        <v>LOCACAO DE CONTAINER 2,30 X 6,00 M, ALT. 2,50 M, PARA ESCRITORIO, SEM DIVISORIAS INTERNAS E SEM SANITARIO (NAO INCLUI MOBILIZACAO/DESMOBILIZACAO)</v>
      </c>
      <c r="D14" s="436" t="str">
        <f t="shared" si="2"/>
        <v>MES</v>
      </c>
      <c r="E14" s="259">
        <f t="shared" si="3"/>
        <v>10</v>
      </c>
      <c r="F14" s="268">
        <f t="shared" si="4"/>
        <v>1171.8699999999999</v>
      </c>
      <c r="G14" s="268">
        <f t="shared" si="5"/>
        <v>11718.699999999999</v>
      </c>
      <c r="H14" s="262">
        <f t="shared" si="6"/>
        <v>5.5379512584793087</v>
      </c>
      <c r="I14" s="262">
        <f t="shared" si="8"/>
        <v>62.853604164727919</v>
      </c>
      <c r="J14" s="257" t="str">
        <f t="shared" si="7"/>
        <v>A</v>
      </c>
    </row>
    <row r="15" spans="1:10" ht="38.25">
      <c r="A15" s="436" t="s">
        <v>2562</v>
      </c>
      <c r="B15" s="436" t="str">
        <f t="shared" si="0"/>
        <v>SINAPI</v>
      </c>
      <c r="C15" s="223" t="str">
        <f t="shared" si="1"/>
        <v>PERFURATRIZ COM TORRE METÁLICA PARA EXECUÇÃO DE ESTACA HÉLICE CONTÍNUA, PROFUNDIDADE MÁXIMA DE 30 M, DIÂMETRO MÁXIMO DE 800 MM, POTÊNCIA INSTALADA DE 268 HP, MESA ROTATIVA COM TORQUE MÁXIMO DE 170 KNM - CHP DIURNO. AF_06/2015</v>
      </c>
      <c r="D15" s="436" t="str">
        <f t="shared" si="2"/>
        <v>CHP</v>
      </c>
      <c r="E15" s="259">
        <f t="shared" si="3"/>
        <v>13.57708</v>
      </c>
      <c r="F15" s="268">
        <f t="shared" si="4"/>
        <v>761.64</v>
      </c>
      <c r="G15" s="268">
        <f t="shared" si="5"/>
        <v>10340.8472112</v>
      </c>
      <c r="H15" s="262">
        <f t="shared" si="6"/>
        <v>4.8868140516445759</v>
      </c>
      <c r="I15" s="262">
        <f t="shared" si="8"/>
        <v>67.74041821637249</v>
      </c>
      <c r="J15" s="257" t="str">
        <f t="shared" si="7"/>
        <v>A</v>
      </c>
    </row>
    <row r="16" spans="1:10" ht="25.5">
      <c r="A16" s="436" t="s">
        <v>1790</v>
      </c>
      <c r="B16" s="436" t="str">
        <f t="shared" si="0"/>
        <v>SINAPI</v>
      </c>
      <c r="C16" s="223" t="str">
        <f t="shared" si="1"/>
        <v>GUINDASTE HIDRÁULICO AUTOPROPELIDO, COM LANÇA TELESCÓPICA 40 M, CAPACIDADE MÁXIMA 60 T, POTÊNCIA 260 KW - CHI DIURNO. AF_03/2016</v>
      </c>
      <c r="D16" s="436" t="str">
        <f t="shared" si="2"/>
        <v>CHI</v>
      </c>
      <c r="E16" s="259">
        <f t="shared" si="3"/>
        <v>46.873015330000001</v>
      </c>
      <c r="F16" s="268">
        <f t="shared" si="4"/>
        <v>174.79</v>
      </c>
      <c r="G16" s="268">
        <f t="shared" si="5"/>
        <v>8192.9343495307003</v>
      </c>
      <c r="H16" s="262">
        <f t="shared" si="6"/>
        <v>3.8717665860225021</v>
      </c>
      <c r="I16" s="262">
        <f t="shared" si="8"/>
        <v>71.612184802394992</v>
      </c>
      <c r="J16" s="257" t="str">
        <f t="shared" si="7"/>
        <v>A</v>
      </c>
    </row>
    <row r="17" spans="1:10" ht="38.25">
      <c r="A17" s="436">
        <v>5928</v>
      </c>
      <c r="B17" s="436" t="str">
        <f t="shared" si="0"/>
        <v>SINAPI</v>
      </c>
      <c r="C17" s="223" t="str">
        <f t="shared" si="1"/>
        <v>GUINDAUTO HIDRÁULICO, CAPACIDADE MÁXIMA DE CARGA 6200 KG, MOMENTO MÁXIMO DE CARGA 11,7 TM, ALCANCE MÁXIMO HORIZONTAL 9,70 M, INCLUSIVE CAMINHÃO TOCO PBT 16.000 KG, POTÊNCIA DE 189 CV - CHP DIURNO. AF_06/2014</v>
      </c>
      <c r="D17" s="436" t="str">
        <f t="shared" si="2"/>
        <v>CHP</v>
      </c>
      <c r="E17" s="259">
        <f t="shared" si="3"/>
        <v>21.283800000000003</v>
      </c>
      <c r="F17" s="268">
        <f t="shared" si="4"/>
        <v>276.11</v>
      </c>
      <c r="G17" s="268">
        <f t="shared" si="5"/>
        <v>5876.6700180000007</v>
      </c>
      <c r="H17" s="262">
        <f t="shared" si="6"/>
        <v>2.7771606169498941</v>
      </c>
      <c r="I17" s="262">
        <f t="shared" si="8"/>
        <v>74.389345419344892</v>
      </c>
      <c r="J17" s="257" t="str">
        <f t="shared" si="7"/>
        <v>A</v>
      </c>
    </row>
    <row r="18" spans="1:10" ht="25.5">
      <c r="A18" s="436" t="s">
        <v>1354</v>
      </c>
      <c r="B18" s="436" t="str">
        <f t="shared" si="0"/>
        <v>SINAPI</v>
      </c>
      <c r="C18" s="223" t="str">
        <f t="shared" si="1"/>
        <v>MOTONIVELADORA POTÊNCIA BÁSICA LÍQUIDA (PRIMEIRA MARCHA) 125 HP, PESO BRUTO 13032 KG, LARGURA DA LÂMINA DE 3,7 M - CHI DIURNO. AF_06/2014</v>
      </c>
      <c r="D18" s="436" t="str">
        <f t="shared" si="2"/>
        <v>CHI</v>
      </c>
      <c r="E18" s="259">
        <f t="shared" si="3"/>
        <v>55.517101437000001</v>
      </c>
      <c r="F18" s="268">
        <f t="shared" si="4"/>
        <v>102.39</v>
      </c>
      <c r="G18" s="268">
        <f t="shared" si="5"/>
        <v>5684.3960161344303</v>
      </c>
      <c r="H18" s="262">
        <f t="shared" si="6"/>
        <v>2.6862969502800169</v>
      </c>
      <c r="I18" s="262">
        <f t="shared" si="8"/>
        <v>77.075642369624916</v>
      </c>
      <c r="J18" s="257" t="str">
        <f t="shared" si="7"/>
        <v>A</v>
      </c>
    </row>
    <row r="19" spans="1:10">
      <c r="A19" s="436">
        <v>5795</v>
      </c>
      <c r="B19" s="436" t="str">
        <f t="shared" si="0"/>
        <v>SINAPI</v>
      </c>
      <c r="C19" s="223" t="str">
        <f t="shared" si="1"/>
        <v xml:space="preserve">	MARTELETE OU ROMPEDOR PNEUMÁTICO MANUAL, 28 KG, COM SILENCIADOR - CHP DIURNO. AF_07/2016</v>
      </c>
      <c r="D19" s="436" t="str">
        <f t="shared" si="2"/>
        <v>CHP</v>
      </c>
      <c r="E19" s="259">
        <f t="shared" si="3"/>
        <v>184.309248</v>
      </c>
      <c r="F19" s="268">
        <f t="shared" si="4"/>
        <v>29.92</v>
      </c>
      <c r="G19" s="268">
        <f t="shared" si="5"/>
        <v>5514.5327001599999</v>
      </c>
      <c r="H19" s="262">
        <f t="shared" si="6"/>
        <v>2.6060239878805986</v>
      </c>
      <c r="I19" s="262">
        <f t="shared" si="8"/>
        <v>79.68166635750552</v>
      </c>
      <c r="J19" s="257" t="str">
        <f t="shared" si="7"/>
        <v>A</v>
      </c>
    </row>
    <row r="20" spans="1:10" ht="25.5">
      <c r="A20" s="523" t="s">
        <v>1342</v>
      </c>
      <c r="B20" s="436" t="str">
        <f t="shared" si="0"/>
        <v>SINAPI</v>
      </c>
      <c r="C20" s="223" t="str">
        <f t="shared" si="1"/>
        <v>CAMINHÃO BASCULANTE 14 M3, COM CAVALO MECÂNICO DE CAPACIDADE MÁXIMA DE TRAÇÃO COMBINADO DE 36000 KG, POTÊNCIA 286 CV, INCLUSIVE SEMIREBOQUE COM CAÇAMBA METÁLICA - CHI DIURNO. AF_12/2014</v>
      </c>
      <c r="D20" s="436" t="str">
        <f t="shared" si="2"/>
        <v>CHI</v>
      </c>
      <c r="E20" s="259">
        <f t="shared" si="3"/>
        <v>55.814174000000001</v>
      </c>
      <c r="F20" s="268">
        <f t="shared" si="4"/>
        <v>90.65</v>
      </c>
      <c r="G20" s="268">
        <f t="shared" si="5"/>
        <v>5059.5548731000008</v>
      </c>
      <c r="H20" s="262">
        <f t="shared" si="6"/>
        <v>2.3910133612797724</v>
      </c>
      <c r="I20" s="262">
        <f t="shared" si="8"/>
        <v>82.072679718785295</v>
      </c>
      <c r="J20" s="257" t="str">
        <f t="shared" si="7"/>
        <v>B</v>
      </c>
    </row>
    <row r="21" spans="1:10" ht="25.5">
      <c r="A21" s="436" t="s">
        <v>1350</v>
      </c>
      <c r="B21" s="436" t="str">
        <f t="shared" si="0"/>
        <v>SINAPI</v>
      </c>
      <c r="C21" s="223" t="str">
        <f t="shared" si="1"/>
        <v>CAMINHÃO PIPA 10.000 L TRUCADO, PESO BRUTO TOTAL 23.000 KG, CARGA ÚTIL MÁXIMA 15.935 KG, DISTÂNCIA ENTRE EIXOS 4,8 M, POTÊNCIA 230 CV, INCLUSIVE TANQUE DE AÇO PARA TRANSPORTE DE ÁGUA - CHI DIURNO. AF_06/2014</v>
      </c>
      <c r="D21" s="436" t="str">
        <f t="shared" si="2"/>
        <v>CHI</v>
      </c>
      <c r="E21" s="259">
        <f t="shared" si="3"/>
        <v>56.069517538999989</v>
      </c>
      <c r="F21" s="268">
        <f t="shared" si="4"/>
        <v>75.08</v>
      </c>
      <c r="G21" s="268">
        <f t="shared" si="5"/>
        <v>4209.6993768281191</v>
      </c>
      <c r="H21" s="262">
        <f t="shared" si="6"/>
        <v>1.9893938714810384</v>
      </c>
      <c r="I21" s="262">
        <f t="shared" si="8"/>
        <v>84.062073590266337</v>
      </c>
      <c r="J21" s="257" t="str">
        <f t="shared" si="7"/>
        <v>B</v>
      </c>
    </row>
    <row r="22" spans="1:10" ht="38.25">
      <c r="A22" s="525" t="s">
        <v>1681</v>
      </c>
      <c r="B22" s="436" t="str">
        <f t="shared" si="0"/>
        <v>SINAPI</v>
      </c>
      <c r="C22" s="223" t="str">
        <f t="shared" si="1"/>
        <v>RETROESCAVADEIRA SOBRE RODAS COM CARREGADEIRA, TRAÇÃO 4X4, POTÊNCIA LÍQ. 88 HP, CAÇAMBA CARREG. CAP. MÍN. 1 M3, CAÇAMBA RETRO CAP. 0,26 M3, PESO OPERACIONAL MÍN. 6.674 KG, PROFUNDIDADE ESCAVAÇÃO MÁX. 4,37 M - CHP DIURNO. AF_06/2014</v>
      </c>
      <c r="D22" s="436" t="str">
        <f t="shared" si="2"/>
        <v>CHP</v>
      </c>
      <c r="E22" s="259">
        <f t="shared" si="3"/>
        <v>23.295601000000001</v>
      </c>
      <c r="F22" s="268">
        <f t="shared" si="4"/>
        <v>146.19</v>
      </c>
      <c r="G22" s="268">
        <f t="shared" si="5"/>
        <v>3405.5839101900001</v>
      </c>
      <c r="H22" s="262">
        <f t="shared" si="6"/>
        <v>1.6093899239073957</v>
      </c>
      <c r="I22" s="262">
        <f t="shared" si="8"/>
        <v>85.671463514173738</v>
      </c>
      <c r="J22" s="257" t="str">
        <f t="shared" si="7"/>
        <v>B</v>
      </c>
    </row>
    <row r="23" spans="1:10" ht="25.5">
      <c r="A23" s="523" t="s">
        <v>1360</v>
      </c>
      <c r="B23" s="436" t="str">
        <f t="shared" si="0"/>
        <v>SINAPI</v>
      </c>
      <c r="C23" s="223" t="str">
        <f t="shared" si="1"/>
        <v>ROLO COMPACTADOR VIBRATÓRIO PÉ DE CARNEIRO PARA SOLOS, POTÊNCIA 80 HP, PESO OPERACIONAL SEM/COM LASTRO 7,4 / 8,8 T, LARGURA DE TRABALHO 1,68 M - CHP DIURNO. AF_02/2016</v>
      </c>
      <c r="D23" s="436" t="str">
        <f t="shared" si="2"/>
        <v>CHP</v>
      </c>
      <c r="E23" s="259">
        <f t="shared" si="3"/>
        <v>18.586416472</v>
      </c>
      <c r="F23" s="268">
        <f t="shared" si="4"/>
        <v>171.22</v>
      </c>
      <c r="G23" s="268">
        <f t="shared" si="5"/>
        <v>3182.3662283358399</v>
      </c>
      <c r="H23" s="262">
        <f t="shared" si="6"/>
        <v>1.5039030830343394</v>
      </c>
      <c r="I23" s="262">
        <f t="shared" si="8"/>
        <v>87.175366597208082</v>
      </c>
      <c r="J23" s="257" t="str">
        <f t="shared" si="7"/>
        <v>B</v>
      </c>
    </row>
    <row r="24" spans="1:10" ht="25.5">
      <c r="A24" s="436" t="s">
        <v>1358</v>
      </c>
      <c r="B24" s="436" t="str">
        <f t="shared" si="0"/>
        <v>SINAPI</v>
      </c>
      <c r="C24" s="223" t="str">
        <f t="shared" si="1"/>
        <v>ROLO COMPACTADOR VIBRATÓRIO PÉ DE CARNEIRO PARA SOLOS, POTÊNCIA 80 HP, PESO OPERACIONAL SEM/COM LASTRO 7,4 / 8,8 T, LARGURA DE TRABALHO 1,68 M - CHI DIURNO. AF_02/2016</v>
      </c>
      <c r="D24" s="436" t="str">
        <f t="shared" si="2"/>
        <v>CHI</v>
      </c>
      <c r="E24" s="259">
        <f t="shared" si="3"/>
        <v>44.968964417999999</v>
      </c>
      <c r="F24" s="268">
        <f t="shared" si="4"/>
        <v>70.62</v>
      </c>
      <c r="G24" s="268">
        <f t="shared" si="5"/>
        <v>3175.7082671991602</v>
      </c>
      <c r="H24" s="262">
        <f t="shared" si="6"/>
        <v>1.5007567046599652</v>
      </c>
      <c r="I24" s="262">
        <f t="shared" si="8"/>
        <v>88.676123301868046</v>
      </c>
      <c r="J24" s="257" t="str">
        <f t="shared" si="7"/>
        <v>B</v>
      </c>
    </row>
    <row r="25" spans="1:10" ht="38.25">
      <c r="A25" s="525" t="s">
        <v>1679</v>
      </c>
      <c r="B25" s="436" t="str">
        <f t="shared" si="0"/>
        <v>SINAPI</v>
      </c>
      <c r="C25" s="223" t="str">
        <f t="shared" si="1"/>
        <v>RETROESCAVADEIRA SOBRE RODAS COM CARREGADEIRA, TRAÇÃO 4X4, POTÊNCIA LÍQ. 88 HP, CAÇAMBA CARREG. CAP. MÍN. 1 M3, CAÇAMBA RETRO CAP. 0,26 M3, PESO OPERACIONAL MÍN. 6.674 KG, PROFUNDIDADE ESCAVAÇÃO MÁX. 4,37 M - CHI DIURNO. AF_06/2014</v>
      </c>
      <c r="D25" s="436" t="str">
        <f t="shared" si="2"/>
        <v>CHI</v>
      </c>
      <c r="E25" s="259">
        <f t="shared" si="3"/>
        <v>47.483505999999998</v>
      </c>
      <c r="F25" s="268">
        <f t="shared" si="4"/>
        <v>62.96</v>
      </c>
      <c r="G25" s="268">
        <f t="shared" si="5"/>
        <v>2989.5615377599997</v>
      </c>
      <c r="H25" s="262">
        <f t="shared" si="6"/>
        <v>1.4127886267537635</v>
      </c>
      <c r="I25" s="262">
        <f t="shared" si="8"/>
        <v>90.088911928621812</v>
      </c>
      <c r="J25" s="257" t="str">
        <f t="shared" si="7"/>
        <v>B</v>
      </c>
    </row>
    <row r="26" spans="1:10" ht="25.5">
      <c r="A26" s="436" t="s">
        <v>1352</v>
      </c>
      <c r="B26" s="436" t="str">
        <f t="shared" si="0"/>
        <v>SINAPI</v>
      </c>
      <c r="C26" s="223" t="str">
        <f t="shared" si="1"/>
        <v>CAMINHÃO PIPA 10.000 L TRUCADO, PESO BRUTO TOTAL 23.000 KG, CARGA ÚTIL MÁXIMA 15.935 KG, DISTÂNCIA ENTRE EIXOS 4,8 M, POTÊNCIA 230 CV, INCLUSIVE TANQUE DE AÇO PARA TRANSPORTE DE ÁGUA - CHP DIURNO. AF_06/2014</v>
      </c>
      <c r="D26" s="436" t="str">
        <f t="shared" si="2"/>
        <v>CHP</v>
      </c>
      <c r="E26" s="259">
        <f t="shared" si="3"/>
        <v>8.4804851699999997</v>
      </c>
      <c r="F26" s="268">
        <f t="shared" si="4"/>
        <v>317.85000000000002</v>
      </c>
      <c r="G26" s="268">
        <f t="shared" si="5"/>
        <v>2695.5222112844999</v>
      </c>
      <c r="H26" s="262">
        <f t="shared" si="6"/>
        <v>1.2738333281201777</v>
      </c>
      <c r="I26" s="262">
        <f t="shared" si="8"/>
        <v>91.362745256741988</v>
      </c>
      <c r="J26" s="257" t="str">
        <f t="shared" si="7"/>
        <v>B</v>
      </c>
    </row>
    <row r="27" spans="1:10" ht="25.5">
      <c r="A27" s="436" t="s">
        <v>1356</v>
      </c>
      <c r="B27" s="436" t="str">
        <f t="shared" si="0"/>
        <v>SINAPI</v>
      </c>
      <c r="C27" s="223" t="str">
        <f t="shared" si="1"/>
        <v>MOTONIVELADORA POTÊNCIA BÁSICA LÍQUIDA (PRIMEIRA MARCHA) 125 HP, PESO BRUTO 13032 KG, LARGURA DA LÂMINA DE 3,7 M - CHP DIURNO. AF_06/2014</v>
      </c>
      <c r="D27" s="436" t="str">
        <f t="shared" si="2"/>
        <v>CHP</v>
      </c>
      <c r="E27" s="259">
        <f t="shared" si="3"/>
        <v>8.0381012720000005</v>
      </c>
      <c r="F27" s="268">
        <f t="shared" si="4"/>
        <v>259.29000000000002</v>
      </c>
      <c r="G27" s="268">
        <f t="shared" si="5"/>
        <v>2084.1992788168805</v>
      </c>
      <c r="H27" s="262">
        <f t="shared" si="6"/>
        <v>0.98493809202775151</v>
      </c>
      <c r="I27" s="262">
        <f t="shared" si="8"/>
        <v>92.347683348769735</v>
      </c>
      <c r="J27" s="257" t="str">
        <f t="shared" si="7"/>
        <v>B</v>
      </c>
    </row>
    <row r="28" spans="1:10" ht="25.5">
      <c r="A28" s="436">
        <v>91693</v>
      </c>
      <c r="B28" s="436" t="str">
        <f t="shared" si="0"/>
        <v>SINAPI</v>
      </c>
      <c r="C28" s="223" t="str">
        <f t="shared" si="1"/>
        <v>SERRA CIRCULAR DE BANCADA COM MOTOR ELÉTRICO POTÊNCIA DE 5HP, COM COIFA PARA DISCO 10" - CHI DIURNO. AF_08/2015</v>
      </c>
      <c r="D28" s="436" t="str">
        <f t="shared" si="2"/>
        <v>CHI</v>
      </c>
      <c r="E28" s="259">
        <f t="shared" si="3"/>
        <v>71.939312000000001</v>
      </c>
      <c r="F28" s="268">
        <f t="shared" si="4"/>
        <v>26.18</v>
      </c>
      <c r="G28" s="268">
        <f t="shared" si="5"/>
        <v>1883.37118816</v>
      </c>
      <c r="H28" s="262">
        <f t="shared" si="6"/>
        <v>0.89003198662431349</v>
      </c>
      <c r="I28" s="262">
        <f t="shared" si="8"/>
        <v>93.237715335394043</v>
      </c>
      <c r="J28" s="257" t="str">
        <f t="shared" si="7"/>
        <v>B</v>
      </c>
    </row>
    <row r="29" spans="1:10" ht="38.25">
      <c r="A29" s="436" t="s">
        <v>2745</v>
      </c>
      <c r="B29" s="436" t="str">
        <f t="shared" si="0"/>
        <v>SINAPI</v>
      </c>
      <c r="C29" s="223" t="str">
        <f t="shared" si="1"/>
        <v>LOCACAO DE ANDAIME METALICO TUBULAR DE ENCAIXE, TIPO DE TORRE, CADA PAINEL COM LARGURA DE 1 ATE 1,5 M E ALTURA DE *1,00* M, INCLUINDO DIAGONAL, BARRAS DE LIGACAO, SAPATAS OU RODIZIOS E DEMAIS ITENS NECESSARIOS A MONTAGEM (NAO INCLUI INSTALACAO)</v>
      </c>
      <c r="D29" s="436" t="str">
        <f t="shared" si="2"/>
        <v>MXMES</v>
      </c>
      <c r="E29" s="259">
        <f t="shared" si="3"/>
        <v>59</v>
      </c>
      <c r="F29" s="268">
        <f t="shared" si="4"/>
        <v>30.13</v>
      </c>
      <c r="G29" s="268">
        <f t="shared" si="5"/>
        <v>1777.6699999999998</v>
      </c>
      <c r="H29" s="262">
        <f t="shared" si="6"/>
        <v>0.84008036844196976</v>
      </c>
      <c r="I29" s="262">
        <f t="shared" si="8"/>
        <v>94.077795703836017</v>
      </c>
      <c r="J29" s="257" t="str">
        <f t="shared" si="7"/>
        <v>B</v>
      </c>
    </row>
    <row r="30" spans="1:10" ht="25.5">
      <c r="A30" s="436" t="s">
        <v>1348</v>
      </c>
      <c r="B30" s="436" t="str">
        <f t="shared" si="0"/>
        <v>SINAPI</v>
      </c>
      <c r="C30" s="223" t="str">
        <f t="shared" si="1"/>
        <v>ESCAVADEIRA HIDRÁULICA SOBRE ESTEIRAS, CAÇAMBA 0,80 M3, PESO OPERACIONAL 17 T, POTENCIA BRUTA 111 HP - CHP DIURNO. AF_06/2014</v>
      </c>
      <c r="D30" s="436" t="str">
        <f t="shared" si="2"/>
        <v>CHP</v>
      </c>
      <c r="E30" s="259">
        <f t="shared" si="3"/>
        <v>6.3950670000000001</v>
      </c>
      <c r="F30" s="268">
        <f t="shared" si="4"/>
        <v>213.48</v>
      </c>
      <c r="G30" s="268">
        <f t="shared" si="5"/>
        <v>1365.2189031599999</v>
      </c>
      <c r="H30" s="262">
        <f t="shared" si="6"/>
        <v>0.64516676276845231</v>
      </c>
      <c r="I30" s="262">
        <f t="shared" si="8"/>
        <v>94.722962466604471</v>
      </c>
      <c r="J30" s="257" t="str">
        <f t="shared" si="7"/>
        <v>B</v>
      </c>
    </row>
    <row r="31" spans="1:10" ht="25.5">
      <c r="A31" s="436">
        <v>5851</v>
      </c>
      <c r="B31" s="436" t="str">
        <f t="shared" si="0"/>
        <v>SINAPI</v>
      </c>
      <c r="C31" s="223" t="str">
        <f t="shared" si="1"/>
        <v>TRATOR DE ESTEIRAS, POTÊNCIA 150 HP, PESO OPERACIONAL 16,7 T, COM RODA MOTRIZ ELEVADA E LÂMINA 3,18 M3 - CHP DIURNO. AF_06/2014</v>
      </c>
      <c r="D31" s="436" t="str">
        <f t="shared" si="2"/>
        <v>CHP</v>
      </c>
      <c r="E31" s="259">
        <f t="shared" si="3"/>
        <v>5.1368702160000002</v>
      </c>
      <c r="F31" s="268">
        <f t="shared" si="4"/>
        <v>259.54000000000002</v>
      </c>
      <c r="G31" s="268">
        <f t="shared" si="5"/>
        <v>1333.2232958606401</v>
      </c>
      <c r="H31" s="262">
        <f t="shared" si="6"/>
        <v>0.63004647521869861</v>
      </c>
      <c r="I31" s="262">
        <f t="shared" si="8"/>
        <v>95.353008941823177</v>
      </c>
      <c r="J31" s="257" t="str">
        <f t="shared" si="7"/>
        <v>C</v>
      </c>
    </row>
    <row r="32" spans="1:10">
      <c r="A32" s="436" t="s">
        <v>1339</v>
      </c>
      <c r="B32" s="436" t="str">
        <f t="shared" si="0"/>
        <v>SINAPI</v>
      </c>
      <c r="C32" s="223" t="str">
        <f t="shared" si="1"/>
        <v>TRATOR DE ESTEIRAS, POTÊNCIA 100 HP, PESO OPERACIONAL 9,4 T, COM LÂMINA 2,19 M3 - CHP DIURNO. AF_06/2014</v>
      </c>
      <c r="D32" s="436" t="str">
        <f t="shared" si="2"/>
        <v>CHP</v>
      </c>
      <c r="E32" s="259">
        <f t="shared" si="3"/>
        <v>6.7170739999999993</v>
      </c>
      <c r="F32" s="268">
        <f t="shared" si="4"/>
        <v>196.37</v>
      </c>
      <c r="G32" s="268">
        <f t="shared" si="5"/>
        <v>1319.0318213799999</v>
      </c>
      <c r="H32" s="262">
        <f t="shared" si="6"/>
        <v>0.62333995538631626</v>
      </c>
      <c r="I32" s="262">
        <f t="shared" si="8"/>
        <v>95.97634889720949</v>
      </c>
      <c r="J32" s="257" t="str">
        <f t="shared" si="7"/>
        <v>C</v>
      </c>
    </row>
    <row r="33" spans="1:10" ht="25.5">
      <c r="A33" s="436" t="s">
        <v>1381</v>
      </c>
      <c r="B33" s="436" t="str">
        <f t="shared" si="0"/>
        <v>SINAPI</v>
      </c>
      <c r="C33" s="223" t="str">
        <f t="shared" si="1"/>
        <v>MARTELO DEMOLIDOR ELÉTRICO, COM POTÊNCIA DE 2.000 W, 1.000 IMPACTOS POR MINUTO, PESO DE 30 KG - CHI DIURNO. AF_01/2021</v>
      </c>
      <c r="D33" s="436" t="str">
        <f t="shared" si="2"/>
        <v>CHI</v>
      </c>
      <c r="E33" s="259">
        <f t="shared" si="3"/>
        <v>44.4666</v>
      </c>
      <c r="F33" s="268">
        <f t="shared" si="4"/>
        <v>26.85</v>
      </c>
      <c r="G33" s="268">
        <f t="shared" si="5"/>
        <v>1193.92821</v>
      </c>
      <c r="H33" s="262">
        <f t="shared" si="6"/>
        <v>0.56421925922700022</v>
      </c>
      <c r="I33" s="262">
        <f t="shared" si="8"/>
        <v>96.540568156436493</v>
      </c>
      <c r="J33" s="257" t="str">
        <f t="shared" si="7"/>
        <v>C</v>
      </c>
    </row>
    <row r="34" spans="1:10" ht="25.5">
      <c r="A34" s="436" t="s">
        <v>1387</v>
      </c>
      <c r="B34" s="436" t="str">
        <f t="shared" si="0"/>
        <v>SINAPI</v>
      </c>
      <c r="C34" s="223" t="str">
        <f t="shared" si="1"/>
        <v>COMPACTADOR DE SOLOS DE PERCUSSÃO (SOQUETE) COM MOTOR A GASOLINA 4 TEMPOS, POTÊNCIA 4 CV - CHP DIURNO. AF_08/2015</v>
      </c>
      <c r="D34" s="436" t="str">
        <f t="shared" si="2"/>
        <v>CHP</v>
      </c>
      <c r="E34" s="259">
        <f t="shared" si="3"/>
        <v>33.811451999999996</v>
      </c>
      <c r="F34" s="268">
        <f t="shared" si="4"/>
        <v>34.299999999999997</v>
      </c>
      <c r="G34" s="268">
        <f t="shared" si="5"/>
        <v>1159.7328035999997</v>
      </c>
      <c r="H34" s="262">
        <f t="shared" si="6"/>
        <v>0.54805940413154652</v>
      </c>
      <c r="I34" s="262">
        <f t="shared" si="8"/>
        <v>97.088627560568042</v>
      </c>
      <c r="J34" s="257" t="str">
        <f t="shared" si="7"/>
        <v>C</v>
      </c>
    </row>
    <row r="35" spans="1:10" ht="25.5">
      <c r="A35" s="436" t="s">
        <v>1383</v>
      </c>
      <c r="B35" s="436" t="str">
        <f t="shared" si="0"/>
        <v>SINAPI</v>
      </c>
      <c r="C35" s="223" t="str">
        <f t="shared" si="1"/>
        <v>MARTELO DEMOLIDOR ELÉTRICO, COM POTÊNCIA DE 2.000 W, 1.000 IMPACTOS POR MINUTO, PESO DE 30 KG - CHP DIURNO. AF_01/2021</v>
      </c>
      <c r="D35" s="436" t="str">
        <f t="shared" si="2"/>
        <v>CHP</v>
      </c>
      <c r="E35" s="259">
        <f t="shared" si="3"/>
        <v>36.119399999999999</v>
      </c>
      <c r="F35" s="268">
        <f t="shared" si="4"/>
        <v>28.94</v>
      </c>
      <c r="G35" s="268">
        <f t="shared" si="5"/>
        <v>1045.2954360000001</v>
      </c>
      <c r="H35" s="262">
        <f t="shared" si="6"/>
        <v>0.49397929593546025</v>
      </c>
      <c r="I35" s="262">
        <f t="shared" si="8"/>
        <v>97.582606856503503</v>
      </c>
      <c r="J35" s="257" t="str">
        <f t="shared" si="7"/>
        <v>C</v>
      </c>
    </row>
    <row r="36" spans="1:10" ht="25.5">
      <c r="A36" s="436">
        <v>5853</v>
      </c>
      <c r="B36" s="436" t="str">
        <f t="shared" si="0"/>
        <v>SINAPI</v>
      </c>
      <c r="C36" s="223" t="str">
        <f t="shared" si="1"/>
        <v>TRATOR DE ESTEIRAS, POTÊNCIA 150 HP, PESO OPERACIONAL 16,7 T, COM RODA MOTRIZ ELEVADA E LÂMINA 3,18 M3 - CHI DIURNO. AF_06/2014</v>
      </c>
      <c r="D36" s="436" t="str">
        <f t="shared" si="2"/>
        <v>CHI</v>
      </c>
      <c r="E36" s="259">
        <f t="shared" si="3"/>
        <v>11.634583944000001</v>
      </c>
      <c r="F36" s="268">
        <f t="shared" si="4"/>
        <v>88.78</v>
      </c>
      <c r="G36" s="268">
        <f t="shared" si="5"/>
        <v>1032.9183625483201</v>
      </c>
      <c r="H36" s="262">
        <f t="shared" si="6"/>
        <v>0.48813021459554867</v>
      </c>
      <c r="I36" s="262">
        <f t="shared" si="8"/>
        <v>98.070737071099046</v>
      </c>
      <c r="J36" s="257" t="str">
        <f t="shared" si="7"/>
        <v>C</v>
      </c>
    </row>
    <row r="37" spans="1:10">
      <c r="A37" s="436" t="s">
        <v>1337</v>
      </c>
      <c r="B37" s="436" t="str">
        <f t="shared" si="0"/>
        <v>SINAPI</v>
      </c>
      <c r="C37" s="223" t="str">
        <f t="shared" si="1"/>
        <v>TRATOR DE ESTEIRAS, POTÊNCIA 100 HP, PESO OPERACIONAL 9,4 T, COM LÂMINA 2,19 M3 - CHI DIURNO. AF_06/2014</v>
      </c>
      <c r="D37" s="436" t="str">
        <f t="shared" si="2"/>
        <v>CHI</v>
      </c>
      <c r="E37" s="259">
        <f t="shared" si="3"/>
        <v>11.458537999999999</v>
      </c>
      <c r="F37" s="268">
        <f t="shared" si="4"/>
        <v>74.430000000000007</v>
      </c>
      <c r="G37" s="268">
        <f t="shared" si="5"/>
        <v>852.85898334000001</v>
      </c>
      <c r="H37" s="262">
        <f t="shared" si="6"/>
        <v>0.40303885926708055</v>
      </c>
      <c r="I37" s="262">
        <f t="shared" si="8"/>
        <v>98.473775930366131</v>
      </c>
      <c r="J37" s="257" t="str">
        <f t="shared" si="7"/>
        <v>C</v>
      </c>
    </row>
    <row r="38" spans="1:10" ht="25.5">
      <c r="A38" s="436" t="s">
        <v>1346</v>
      </c>
      <c r="B38" s="436" t="str">
        <f t="shared" si="0"/>
        <v>SINAPI</v>
      </c>
      <c r="C38" s="223" t="str">
        <f t="shared" si="1"/>
        <v>ESCAVADEIRA HIDRÁULICA SOBRE ESTEIRAS, CAÇAMBA 0,80 M3, PESO OPERACIONAL 17 T, POTENCIA BRUTA 111 HP - CHI DIURNO. AF_06/2014</v>
      </c>
      <c r="D38" s="436" t="str">
        <f t="shared" si="2"/>
        <v>CHI</v>
      </c>
      <c r="E38" s="259">
        <f t="shared" si="3"/>
        <v>6.5491650000000003</v>
      </c>
      <c r="F38" s="268">
        <f t="shared" si="4"/>
        <v>90.12</v>
      </c>
      <c r="G38" s="268">
        <f t="shared" si="5"/>
        <v>590.21074980000003</v>
      </c>
      <c r="H38" s="262">
        <f t="shared" si="6"/>
        <v>0.27891817049868389</v>
      </c>
      <c r="I38" s="262">
        <f t="shared" si="8"/>
        <v>98.752694100864815</v>
      </c>
      <c r="J38" s="257" t="str">
        <f t="shared" si="7"/>
        <v>C</v>
      </c>
    </row>
    <row r="39" spans="1:10" ht="25.5">
      <c r="A39" s="436">
        <v>91692</v>
      </c>
      <c r="B39" s="436" t="str">
        <f t="shared" si="0"/>
        <v>SINAPI</v>
      </c>
      <c r="C39" s="223" t="str">
        <f t="shared" si="1"/>
        <v>SERRA CIRCULAR DE BANCADA COM MOTOR ELÉTRICO POTÊNCIA DE 5HP, COM COIFA PARA DISCO 10" - CHP DIURNO. AF_08/2015</v>
      </c>
      <c r="D39" s="436" t="str">
        <f t="shared" si="2"/>
        <v>CHP</v>
      </c>
      <c r="E39" s="259">
        <f t="shared" si="3"/>
        <v>14.601077999999999</v>
      </c>
      <c r="F39" s="268">
        <f t="shared" si="4"/>
        <v>27.22</v>
      </c>
      <c r="G39" s="268">
        <f t="shared" si="5"/>
        <v>397.44134315999997</v>
      </c>
      <c r="H39" s="262">
        <f t="shared" si="6"/>
        <v>0.18782038848375918</v>
      </c>
      <c r="I39" s="262">
        <f t="shared" si="8"/>
        <v>98.940514489348573</v>
      </c>
      <c r="J39" s="257" t="str">
        <f t="shared" si="7"/>
        <v>C</v>
      </c>
    </row>
    <row r="40" spans="1:10" ht="25.5">
      <c r="A40" s="436" t="s">
        <v>1587</v>
      </c>
      <c r="B40" s="436" t="str">
        <f t="shared" ref="B40:B58" si="9">VLOOKUP(A40,$B$66:$D$416,3,FALSE)</f>
        <v>SINAPI</v>
      </c>
      <c r="C40" s="223" t="str">
        <f t="shared" ref="C40:C58" si="10">VLOOKUP(A40,$B$66:$D$416,2,FALSE)</f>
        <v>COMPACTADOR DE SOLOS DE PERCUSÃO (SOQUETE) COM MOTOR A GASOLINA, POTÊNCIA 3 CV - CHP DIURNO. AF_09/2016</v>
      </c>
      <c r="D40" s="436" t="str">
        <f t="shared" ref="D40:D58" si="11">VLOOKUP(A40,$B$66:$E$416,4,FALSE)</f>
        <v>CHP</v>
      </c>
      <c r="E40" s="259">
        <f t="shared" ref="E40:E58" si="12">SUMIF($B$66:$B$416,A40,$J$66:$J$416)</f>
        <v>51.672750000000001</v>
      </c>
      <c r="F40" s="268">
        <f t="shared" ref="F40:F58" si="13">VLOOKUP(A40,$B$66:$G$416,6,FALSE)</f>
        <v>6.35</v>
      </c>
      <c r="G40" s="268">
        <f t="shared" ref="G40:G58" si="14">E40*F40</f>
        <v>328.1219625</v>
      </c>
      <c r="H40" s="262">
        <f t="shared" si="6"/>
        <v>0.15506186139772973</v>
      </c>
      <c r="I40" s="262">
        <f t="shared" si="8"/>
        <v>99.095576350746299</v>
      </c>
      <c r="J40" s="257" t="str">
        <f t="shared" si="7"/>
        <v>C</v>
      </c>
    </row>
    <row r="41" spans="1:10" ht="38.25">
      <c r="A41" s="436" t="s">
        <v>1575</v>
      </c>
      <c r="B41" s="436" t="str">
        <f t="shared" si="9"/>
        <v>SINAPI</v>
      </c>
      <c r="C41" s="223" t="str">
        <f t="shared" si="10"/>
        <v>GUINDAUTO HIDRÁULICO, CAPACIDADE MÁXIMA DE CARGA 6500 KG, MOMENTO MÁXIMO DE CARGA 5,8 TM, ALCANCE MÁXIMO HORIZONTAL 7,60 M, INCLUSIVE CAMINHÃO TOCO PBT 9.700 KG, POTÊNCIA DE 160 CV - CHP DIURNO. AF_08/2015</v>
      </c>
      <c r="D41" s="436" t="str">
        <f t="shared" si="11"/>
        <v>CHP</v>
      </c>
      <c r="E41" s="259">
        <f t="shared" si="12"/>
        <v>1.2370000000000001</v>
      </c>
      <c r="F41" s="268">
        <f t="shared" si="13"/>
        <v>234.26</v>
      </c>
      <c r="G41" s="268">
        <f t="shared" si="14"/>
        <v>289.77962000000002</v>
      </c>
      <c r="H41" s="262">
        <f t="shared" si="6"/>
        <v>0.13694227271460624</v>
      </c>
      <c r="I41" s="262">
        <f t="shared" si="8"/>
        <v>99.232518623460905</v>
      </c>
      <c r="J41" s="257" t="str">
        <f t="shared" si="7"/>
        <v>C</v>
      </c>
    </row>
    <row r="42" spans="1:10" ht="38.25">
      <c r="A42" s="436" t="s">
        <v>1573</v>
      </c>
      <c r="B42" s="436" t="str">
        <f t="shared" si="9"/>
        <v>SINAPI</v>
      </c>
      <c r="C42" s="223" t="str">
        <f t="shared" si="10"/>
        <v>GUINDAUTO HIDRÁULICO, CAPACIDADE MÁXIMA DE CARGA 6500 KG, MOMENTO MÁXIMO DE CARGA 5,8 TM, ALCANCE MÁXIMO HORIZONTAL 7,60 M, INCLUSIVE CAMINHÃO TOCO PBT 9.700 KG, POTÊNCIA DE 160 CV - CHI DIURNO. AF_08/2015</v>
      </c>
      <c r="D42" s="436" t="str">
        <f t="shared" si="11"/>
        <v>CHI</v>
      </c>
      <c r="E42" s="259">
        <f t="shared" si="12"/>
        <v>4.3905000000000003</v>
      </c>
      <c r="F42" s="268">
        <f t="shared" si="13"/>
        <v>64.37</v>
      </c>
      <c r="G42" s="268">
        <f t="shared" si="14"/>
        <v>282.61648500000001</v>
      </c>
      <c r="H42" s="262">
        <f t="shared" si="6"/>
        <v>0.13355716237916737</v>
      </c>
      <c r="I42" s="262">
        <f t="shared" si="8"/>
        <v>99.366075785840067</v>
      </c>
      <c r="J42" s="257" t="str">
        <f t="shared" si="7"/>
        <v>C</v>
      </c>
    </row>
    <row r="43" spans="1:10" ht="25.5">
      <c r="A43" s="436" t="s">
        <v>1595</v>
      </c>
      <c r="B43" s="436" t="str">
        <f t="shared" si="9"/>
        <v>SINAPI</v>
      </c>
      <c r="C43" s="223" t="str">
        <f t="shared" si="10"/>
        <v>CORTADORA DE PISO COM MOTOR 4 TEMPOS A GASOLINA, POTÊNCIA DE 13 HP, COM DISCO DE CORTE DIAMANTADO SEGMENTADO PARA CONCRETO, DIÂMETRO DE 350 MM, FURO DE 1" (14 X 1") - CHI DIURNO. AF_08/2015</v>
      </c>
      <c r="D43" s="436" t="str">
        <f t="shared" si="11"/>
        <v>CHI</v>
      </c>
      <c r="E43" s="259">
        <f t="shared" si="12"/>
        <v>161.24607800000001</v>
      </c>
      <c r="F43" s="268">
        <f t="shared" si="13"/>
        <v>1.1000000000000001</v>
      </c>
      <c r="G43" s="268">
        <f t="shared" si="14"/>
        <v>177.37068580000002</v>
      </c>
      <c r="H43" s="262">
        <f t="shared" si="6"/>
        <v>8.3820749114103796E-2</v>
      </c>
      <c r="I43" s="262">
        <f t="shared" si="8"/>
        <v>99.449896534954178</v>
      </c>
      <c r="J43" s="257" t="str">
        <f t="shared" si="7"/>
        <v>C</v>
      </c>
    </row>
    <row r="44" spans="1:10" ht="25.5">
      <c r="A44" s="436" t="s">
        <v>1425</v>
      </c>
      <c r="B44" s="436" t="str">
        <f t="shared" si="9"/>
        <v>SINAPI</v>
      </c>
      <c r="C44" s="223" t="str">
        <f t="shared" si="10"/>
        <v>LOCACAO DE VIGA SANDUICHE METALICA VAZADA PARA TRAVAMENTO DE PILARES, ALTURA DE *8* CM, LARGURA DE *6* CM E EXTENSAO DE 2 M</v>
      </c>
      <c r="D44" s="436" t="str">
        <f t="shared" si="11"/>
        <v>UNXME</v>
      </c>
      <c r="E44" s="259">
        <f t="shared" si="12"/>
        <v>6.4648500000000002</v>
      </c>
      <c r="F44" s="268">
        <f t="shared" si="13"/>
        <v>24.1</v>
      </c>
      <c r="G44" s="268">
        <f t="shared" si="14"/>
        <v>155.802885</v>
      </c>
      <c r="H44" s="262">
        <f t="shared" si="6"/>
        <v>7.362837030220562E-2</v>
      </c>
      <c r="I44" s="262">
        <f t="shared" si="8"/>
        <v>99.52352490525638</v>
      </c>
      <c r="J44" s="257" t="str">
        <f t="shared" si="7"/>
        <v>C</v>
      </c>
    </row>
    <row r="45" spans="1:10" ht="25.5">
      <c r="A45" s="436">
        <v>93282</v>
      </c>
      <c r="B45" s="436" t="str">
        <f t="shared" si="9"/>
        <v>SINAPI</v>
      </c>
      <c r="C45" s="223" t="str">
        <f t="shared" si="10"/>
        <v>GUINCHO ELÉTRICO DE COLUNA, CAPACIDADE 400 KG, COM MOTO FREIO, MOTOR TRIFÁSICO DE 1,25 CV - CHI DIURNO. AF_03/2016</v>
      </c>
      <c r="D45" s="436" t="str">
        <f t="shared" si="11"/>
        <v>CHI</v>
      </c>
      <c r="E45" s="259">
        <f t="shared" si="12"/>
        <v>4.8816690000000005</v>
      </c>
      <c r="F45" s="268">
        <f t="shared" si="13"/>
        <v>26.48</v>
      </c>
      <c r="G45" s="268">
        <f t="shared" si="14"/>
        <v>129.26659512000001</v>
      </c>
      <c r="H45" s="262">
        <f t="shared" si="6"/>
        <v>6.1088013442117235E-2</v>
      </c>
      <c r="I45" s="262">
        <f t="shared" si="8"/>
        <v>99.584612918698497</v>
      </c>
      <c r="J45" s="257" t="str">
        <f t="shared" si="7"/>
        <v>C</v>
      </c>
    </row>
    <row r="46" spans="1:10" ht="25.5">
      <c r="A46" s="436" t="s">
        <v>1517</v>
      </c>
      <c r="B46" s="436" t="str">
        <f t="shared" si="9"/>
        <v>SINAPI</v>
      </c>
      <c r="C46" s="223" t="str">
        <f t="shared" si="10"/>
        <v>PLACA VIBRATÓRIA REVERSÍVEL COM MOTOR 4 TEMPOS A GASOLINA, FORÇA CENTRÍFUGA DE 25 KN (2500 KGF), POTÊNCIA 5,5 CV - CHI DIURNO. AF_08/2015</v>
      </c>
      <c r="D46" s="436" t="str">
        <f t="shared" si="11"/>
        <v>CHI</v>
      </c>
      <c r="E46" s="259">
        <f t="shared" si="12"/>
        <v>160.51142999999999</v>
      </c>
      <c r="F46" s="268">
        <f t="shared" si="13"/>
        <v>0.72</v>
      </c>
      <c r="G46" s="268">
        <f t="shared" si="14"/>
        <v>115.5682296</v>
      </c>
      <c r="H46" s="262">
        <f t="shared" si="6"/>
        <v>5.4614524013205018E-2</v>
      </c>
      <c r="I46" s="262">
        <f t="shared" si="8"/>
        <v>99.6392274427117</v>
      </c>
      <c r="J46" s="257" t="str">
        <f t="shared" si="7"/>
        <v>C</v>
      </c>
    </row>
    <row r="47" spans="1:10" ht="25.5">
      <c r="A47" s="436" t="s">
        <v>1423</v>
      </c>
      <c r="B47" s="436" t="str">
        <f t="shared" si="9"/>
        <v>SINAPI</v>
      </c>
      <c r="C47" s="223" t="str">
        <f t="shared" si="10"/>
        <v>LOCACAO DE BARRA DE ANCORAGEM DE 0,80 A 1,20 M DE EXTENSAO, COM ROSCA DE 5/8", INCLUINDO PORCA E FLANGE</v>
      </c>
      <c r="D47" s="436" t="str">
        <f t="shared" si="11"/>
        <v>MES</v>
      </c>
      <c r="E47" s="259">
        <f t="shared" si="12"/>
        <v>12.91325</v>
      </c>
      <c r="F47" s="268">
        <f t="shared" si="13"/>
        <v>8.8800000000000008</v>
      </c>
      <c r="G47" s="268">
        <f t="shared" si="14"/>
        <v>114.66966000000001</v>
      </c>
      <c r="H47" s="262">
        <f t="shared" si="6"/>
        <v>5.418988351151531E-2</v>
      </c>
      <c r="I47" s="262">
        <f t="shared" si="8"/>
        <v>99.693417326223212</v>
      </c>
      <c r="J47" s="257" t="str">
        <f t="shared" si="7"/>
        <v>C</v>
      </c>
    </row>
    <row r="48" spans="1:10" ht="25.5">
      <c r="A48" s="436" t="s">
        <v>1519</v>
      </c>
      <c r="B48" s="436" t="str">
        <f t="shared" si="9"/>
        <v>SINAPI</v>
      </c>
      <c r="C48" s="223" t="str">
        <f t="shared" si="10"/>
        <v>PLACA VIBRATÓRIA REVERSÍVEL COM MOTOR 4 TEMPOS A GASOLINA, FORÇA CENTRÍFUGA DE 25 KN (2500 KGF), POTÊNCIA 5,5 CV - CHP DIURNO. AF_08/2015</v>
      </c>
      <c r="D48" s="436" t="str">
        <f t="shared" si="11"/>
        <v>CHP</v>
      </c>
      <c r="E48" s="259">
        <f t="shared" si="12"/>
        <v>10.624847999999998</v>
      </c>
      <c r="F48" s="268">
        <f t="shared" si="13"/>
        <v>10.01</v>
      </c>
      <c r="G48" s="268">
        <f t="shared" si="14"/>
        <v>106.35472847999998</v>
      </c>
      <c r="H48" s="262">
        <f t="shared" si="6"/>
        <v>5.0260464252096314E-2</v>
      </c>
      <c r="I48" s="262">
        <f t="shared" si="8"/>
        <v>99.743677790475303</v>
      </c>
      <c r="J48" s="257" t="str">
        <f t="shared" si="7"/>
        <v>C</v>
      </c>
    </row>
    <row r="49" spans="1:10" ht="25.5">
      <c r="A49" s="436" t="s">
        <v>590</v>
      </c>
      <c r="B49" s="436" t="str">
        <f t="shared" si="9"/>
        <v>SP Obras</v>
      </c>
      <c r="C49" s="223" t="str">
        <f t="shared" si="10"/>
        <v>Reator eletrônico com partida instantânea de alto fator de potência (AFP), para lâmpada fluorescente tubular, base bipino bilateral, 2x32W / 127-220V</v>
      </c>
      <c r="D49" s="436" t="str">
        <f t="shared" si="11"/>
        <v>UN</v>
      </c>
      <c r="E49" s="259">
        <f t="shared" si="12"/>
        <v>1.7951999999999997</v>
      </c>
      <c r="F49" s="268">
        <f t="shared" si="13"/>
        <v>56.18</v>
      </c>
      <c r="G49" s="268">
        <f t="shared" si="14"/>
        <v>100.85433599999998</v>
      </c>
      <c r="H49" s="262">
        <f t="shared" si="6"/>
        <v>4.7661122562596095E-2</v>
      </c>
      <c r="I49" s="262">
        <f t="shared" si="8"/>
        <v>99.791338913037904</v>
      </c>
      <c r="J49" s="257" t="str">
        <f t="shared" si="7"/>
        <v>C</v>
      </c>
    </row>
    <row r="50" spans="1:10" ht="25.5">
      <c r="A50" s="436" t="s">
        <v>2743</v>
      </c>
      <c r="B50" s="436" t="str">
        <f t="shared" si="9"/>
        <v>SINAPI</v>
      </c>
      <c r="C50" s="223" t="str">
        <f t="shared" si="10"/>
        <v>LAVADORA DE ALTA PRESSAO (LAVA-JATO) PARA AGUA FRIA, PRESSAO DE OPERACAO ENTRE 1400 E 1900 LIB/POL2, VAZAO MAXIMA ENTRE 400 E 700 L/H - CHP DIURNO. AF_05/2023</v>
      </c>
      <c r="D50" s="436" t="str">
        <f t="shared" si="11"/>
        <v>CHP</v>
      </c>
      <c r="E50" s="259">
        <f t="shared" si="12"/>
        <v>27.208649999999999</v>
      </c>
      <c r="F50" s="268">
        <f t="shared" si="13"/>
        <v>3.61</v>
      </c>
      <c r="G50" s="268">
        <f t="shared" si="14"/>
        <v>98.223226499999996</v>
      </c>
      <c r="H50" s="262">
        <f t="shared" si="6"/>
        <v>4.641772899788997E-2</v>
      </c>
      <c r="I50" s="262">
        <f t="shared" si="8"/>
        <v>99.837756642035799</v>
      </c>
      <c r="J50" s="257" t="str">
        <f t="shared" si="7"/>
        <v>C</v>
      </c>
    </row>
    <row r="51" spans="1:10" ht="25.5">
      <c r="A51" s="436" t="s">
        <v>1507</v>
      </c>
      <c r="B51" s="436" t="str">
        <f t="shared" si="9"/>
        <v>SINAPI</v>
      </c>
      <c r="C51" s="223" t="str">
        <f t="shared" si="10"/>
        <v>GUINCHO ELÉTRICO DE COLUNA, CAPACIDADE 400 KG, COM MOTO FREIO, MOTOR TRIFÁSICO DE 1,25 CV - CHP DIURNO. AF_03/2016</v>
      </c>
      <c r="D51" s="436" t="str">
        <f t="shared" si="11"/>
        <v>CHP</v>
      </c>
      <c r="E51" s="259">
        <f t="shared" si="12"/>
        <v>3.5337449999999997</v>
      </c>
      <c r="F51" s="268">
        <f t="shared" si="13"/>
        <v>27.3</v>
      </c>
      <c r="G51" s="268">
        <f t="shared" si="14"/>
        <v>96.471238499999998</v>
      </c>
      <c r="H51" s="262">
        <f t="shared" si="6"/>
        <v>4.5589785271244465E-2</v>
      </c>
      <c r="I51" s="262">
        <f t="shared" si="8"/>
        <v>99.883346427307046</v>
      </c>
      <c r="J51" s="257" t="str">
        <f t="shared" si="7"/>
        <v>C</v>
      </c>
    </row>
    <row r="52" spans="1:10" ht="25.5">
      <c r="A52" s="436" t="s">
        <v>1585</v>
      </c>
      <c r="B52" s="436" t="str">
        <f t="shared" si="9"/>
        <v>SINAPI</v>
      </c>
      <c r="C52" s="223" t="str">
        <f t="shared" si="10"/>
        <v>COMPACTADOR DE SOLOS DE PERCUSÃO (SOQUETE) COM MOTOR A GASOLINA, POTÊNCIA 3 CV - CHI DIURNO. AF_09/2016</v>
      </c>
      <c r="D52" s="436" t="str">
        <f t="shared" si="11"/>
        <v>CHI</v>
      </c>
      <c r="E52" s="259">
        <f t="shared" si="12"/>
        <v>86.810220000000001</v>
      </c>
      <c r="F52" s="268">
        <f t="shared" si="13"/>
        <v>0.86</v>
      </c>
      <c r="G52" s="268">
        <f t="shared" si="14"/>
        <v>74.656789200000006</v>
      </c>
      <c r="H52" s="262">
        <f t="shared" si="6"/>
        <v>3.5280846826368492E-2</v>
      </c>
      <c r="I52" s="262">
        <f t="shared" si="8"/>
        <v>99.918627274133414</v>
      </c>
      <c r="J52" s="257" t="str">
        <f t="shared" si="7"/>
        <v>C</v>
      </c>
    </row>
    <row r="53" spans="1:10" ht="25.5">
      <c r="A53" s="436" t="s">
        <v>1420</v>
      </c>
      <c r="B53" s="436" t="str">
        <f t="shared" si="9"/>
        <v>SINAPI</v>
      </c>
      <c r="C53" s="223" t="str">
        <f t="shared" si="10"/>
        <v>LOCACAO DE APRUMADOR METALICO DE PILAR, COM ALTURA E ANGULO REGULAVEIS, EXTENSAO DE *1,50* A *2,80* M</v>
      </c>
      <c r="D53" s="436" t="str">
        <f t="shared" si="11"/>
        <v>UNXME</v>
      </c>
      <c r="E53" s="259">
        <f t="shared" si="12"/>
        <v>3.2242000000000002</v>
      </c>
      <c r="F53" s="268">
        <f t="shared" si="13"/>
        <v>23.06</v>
      </c>
      <c r="G53" s="268">
        <f t="shared" si="14"/>
        <v>74.350052000000005</v>
      </c>
      <c r="H53" s="262">
        <f t="shared" si="6"/>
        <v>3.5135890844667249E-2</v>
      </c>
      <c r="I53" s="262">
        <f t="shared" si="8"/>
        <v>99.953763164978085</v>
      </c>
      <c r="J53" s="257" t="str">
        <f t="shared" si="7"/>
        <v>C</v>
      </c>
    </row>
    <row r="54" spans="1:10" ht="25.5">
      <c r="A54" s="436" t="s">
        <v>1597</v>
      </c>
      <c r="B54" s="436" t="str">
        <f t="shared" si="9"/>
        <v>SINAPI</v>
      </c>
      <c r="C54" s="223" t="str">
        <f t="shared" si="10"/>
        <v>CORTADORA DE PISO COM MOTOR 4 TEMPOS A GASOLINA, POTÊNCIA DE 13 HP, COM DISCO DE CORTE DIAMANTADO SEGMENTADO PARA CONCRETO, DIÂMETRO DE 350 MM, FURO DE 1" (14 X 1") - CHP DIURNO. AF_08/2015</v>
      </c>
      <c r="D54" s="436" t="str">
        <f t="shared" si="11"/>
        <v>CHP</v>
      </c>
      <c r="E54" s="259">
        <f t="shared" si="12"/>
        <v>4.5216200000000004</v>
      </c>
      <c r="F54" s="268">
        <f t="shared" si="13"/>
        <v>10.87</v>
      </c>
      <c r="G54" s="268">
        <f t="shared" si="14"/>
        <v>49.150009400000002</v>
      </c>
      <c r="H54" s="262">
        <f t="shared" si="6"/>
        <v>2.3227009515645922E-2</v>
      </c>
      <c r="I54" s="262">
        <f t="shared" si="8"/>
        <v>99.976990174493736</v>
      </c>
      <c r="J54" s="257" t="str">
        <f t="shared" si="7"/>
        <v>C</v>
      </c>
    </row>
    <row r="55" spans="1:10" ht="25.5">
      <c r="A55" s="436" t="s">
        <v>1385</v>
      </c>
      <c r="B55" s="436" t="str">
        <f t="shared" si="9"/>
        <v>SINAPI</v>
      </c>
      <c r="C55" s="223" t="str">
        <f t="shared" si="10"/>
        <v>COMPACTADOR DE SOLOS DE PERCUSSÃO (SOQUETE) COM MOTOR A GASOLINA 4 TEMPOS, POTÊNCIA 4 CV - CHI DIURNO. AF_08/2015</v>
      </c>
      <c r="D55" s="436" t="str">
        <f t="shared" si="11"/>
        <v>CHI</v>
      </c>
      <c r="E55" s="259">
        <f t="shared" si="12"/>
        <v>1.2814919999999999</v>
      </c>
      <c r="F55" s="268">
        <f t="shared" si="13"/>
        <v>27.12</v>
      </c>
      <c r="G55" s="268">
        <f t="shared" si="14"/>
        <v>34.754063039999998</v>
      </c>
      <c r="H55" s="262">
        <f t="shared" si="6"/>
        <v>1.6423861618578613E-2</v>
      </c>
      <c r="I55" s="262">
        <f t="shared" si="8"/>
        <v>99.993414036112313</v>
      </c>
      <c r="J55" s="257" t="str">
        <f t="shared" si="7"/>
        <v>C</v>
      </c>
    </row>
    <row r="56" spans="1:10" ht="25.5">
      <c r="A56" s="436" t="s">
        <v>1403</v>
      </c>
      <c r="B56" s="436" t="str">
        <f t="shared" si="9"/>
        <v>SINAPI</v>
      </c>
      <c r="C56" s="223" t="str">
        <f t="shared" si="10"/>
        <v>VIBRADOR DE IMERSÃO, DIÂMETRO DE PONTEIRA 45MM, MOTOR ELÉTRICO TRIFÁSICO POTÊNCIA DE 2 CV - CHP DIURNO. AF_06/2015</v>
      </c>
      <c r="D56" s="436" t="str">
        <f t="shared" si="11"/>
        <v>CHP</v>
      </c>
      <c r="E56" s="259">
        <f t="shared" si="12"/>
        <v>4.8254000000000001</v>
      </c>
      <c r="F56" s="268">
        <f t="shared" si="13"/>
        <v>1.23</v>
      </c>
      <c r="G56" s="268">
        <f t="shared" si="14"/>
        <v>5.9352419999999997</v>
      </c>
      <c r="H56" s="262">
        <f t="shared" si="6"/>
        <v>2.8048402043980344E-3</v>
      </c>
      <c r="I56" s="262">
        <f t="shared" si="8"/>
        <v>99.996218876316718</v>
      </c>
      <c r="J56" s="257" t="str">
        <f t="shared" si="7"/>
        <v>C</v>
      </c>
    </row>
    <row r="57" spans="1:10" ht="25.5">
      <c r="A57" s="436" t="s">
        <v>3240</v>
      </c>
      <c r="B57" s="436" t="str">
        <f t="shared" si="9"/>
        <v>SP Obras</v>
      </c>
      <c r="C57" s="223" t="str">
        <f t="shared" si="10"/>
        <v>Betoneira reversível com carregador, capacidade de 320 litros, acionamento do motor combustão interna (diesel e gasolina) ou motor elétrico Alfa 320</v>
      </c>
      <c r="D57" s="436" t="str">
        <f t="shared" si="11"/>
        <v>H</v>
      </c>
      <c r="E57" s="259">
        <f t="shared" si="12"/>
        <v>0.216</v>
      </c>
      <c r="F57" s="268">
        <f t="shared" si="13"/>
        <v>27.39</v>
      </c>
      <c r="G57" s="268">
        <f t="shared" si="14"/>
        <v>5.9162400000000002</v>
      </c>
      <c r="H57" s="262">
        <f t="shared" si="6"/>
        <v>2.7958603559665855E-3</v>
      </c>
      <c r="I57" s="262">
        <f t="shared" si="8"/>
        <v>99.999014736672677</v>
      </c>
      <c r="J57" s="257" t="str">
        <f t="shared" si="7"/>
        <v>C</v>
      </c>
    </row>
    <row r="58" spans="1:10" ht="25.5">
      <c r="A58" s="436" t="s">
        <v>1401</v>
      </c>
      <c r="B58" s="436" t="str">
        <f t="shared" si="9"/>
        <v>SINAPI</v>
      </c>
      <c r="C58" s="223" t="str">
        <f t="shared" si="10"/>
        <v>VIBRADOR DE IMERSÃO, DIÂMETRO DE PONTEIRA 45MM, MOTOR ELÉTRICO TRIFÁSICO POTÊNCIA DE 2 CV - CHI DIURNO. AF_06/2015</v>
      </c>
      <c r="D58" s="436" t="str">
        <f t="shared" si="11"/>
        <v>CHI</v>
      </c>
      <c r="E58" s="259">
        <f t="shared" si="12"/>
        <v>3.9337499999999999</v>
      </c>
      <c r="F58" s="268">
        <f t="shared" si="13"/>
        <v>0.53</v>
      </c>
      <c r="G58" s="268">
        <f t="shared" si="14"/>
        <v>2.0848875000000002</v>
      </c>
      <c r="H58" s="262">
        <f t="shared" si="6"/>
        <v>9.8526332736675404E-4</v>
      </c>
      <c r="I58" s="262">
        <f t="shared" si="8"/>
        <v>100.00000000000004</v>
      </c>
      <c r="J58" s="257" t="str">
        <f t="shared" si="7"/>
        <v>C</v>
      </c>
    </row>
    <row r="59" spans="1:10" ht="15">
      <c r="A59"/>
      <c r="B59" s="105"/>
      <c r="C59" s="105"/>
      <c r="D59" s="256"/>
      <c r="E59" s="256"/>
      <c r="F59" s="110"/>
      <c r="G59" s="241"/>
      <c r="H59" s="241"/>
    </row>
    <row r="60" spans="1:10" ht="168" customHeight="1">
      <c r="A60" s="680" t="s">
        <v>735</v>
      </c>
      <c r="B60" s="680"/>
      <c r="C60" s="680"/>
      <c r="D60" s="680"/>
      <c r="E60" s="680"/>
      <c r="F60" s="680"/>
      <c r="G60" s="680"/>
      <c r="H60" s="680"/>
      <c r="I60" s="680"/>
      <c r="J60" s="680"/>
    </row>
    <row r="61" spans="1:10" ht="15">
      <c r="A61"/>
      <c r="B61" s="105"/>
      <c r="C61" s="105"/>
      <c r="D61" s="256"/>
      <c r="E61" s="256"/>
      <c r="F61" s="110"/>
      <c r="G61" s="241"/>
      <c r="H61" s="241"/>
    </row>
    <row r="62" spans="1:10" ht="15">
      <c r="A62"/>
      <c r="B62" s="105"/>
      <c r="C62" s="105"/>
      <c r="D62" s="256"/>
      <c r="E62" s="256"/>
      <c r="F62" s="110"/>
      <c r="G62" s="241"/>
      <c r="H62" s="241"/>
    </row>
    <row r="63" spans="1:10" ht="15">
      <c r="A63"/>
      <c r="B63" s="105"/>
      <c r="C63" s="105"/>
      <c r="D63" s="256"/>
      <c r="E63" s="256"/>
      <c r="F63" s="110"/>
      <c r="G63" s="241"/>
      <c r="H63" s="241"/>
    </row>
    <row r="64" spans="1:10" ht="15">
      <c r="A64"/>
      <c r="B64" s="105"/>
      <c r="C64" s="105"/>
      <c r="D64" s="256"/>
      <c r="E64" s="256"/>
      <c r="F64" s="110"/>
      <c r="G64" s="241"/>
      <c r="H64" s="241"/>
    </row>
    <row r="65" spans="1:10" ht="15">
      <c r="A65"/>
      <c r="B65" s="105"/>
      <c r="C65" s="105"/>
      <c r="D65" s="256"/>
      <c r="E65" s="256"/>
      <c r="F65" s="110"/>
      <c r="G65" s="241"/>
      <c r="H65" s="241"/>
    </row>
    <row r="66" spans="1:10" ht="25.5">
      <c r="A66" s="178" t="s">
        <v>128</v>
      </c>
      <c r="B66" s="378" t="s">
        <v>588</v>
      </c>
      <c r="C66" s="378"/>
      <c r="D66" s="103" t="s">
        <v>579</v>
      </c>
      <c r="E66" s="103" t="s">
        <v>580</v>
      </c>
      <c r="F66" s="103" t="s">
        <v>581</v>
      </c>
      <c r="G66" s="103" t="s">
        <v>582</v>
      </c>
      <c r="H66" s="260" t="s">
        <v>583</v>
      </c>
      <c r="I66" s="178" t="s">
        <v>791</v>
      </c>
      <c r="J66" s="178" t="s">
        <v>581</v>
      </c>
    </row>
    <row r="67" spans="1:10" ht="25.5">
      <c r="A67" s="379">
        <f>VLOOKUP(A66,'3 - PLAN. ORÇAMENTÁRIA'!$A$16:$B$721,2,FALSE)</f>
        <v>10775</v>
      </c>
      <c r="B67" s="159" t="s">
        <v>129</v>
      </c>
      <c r="C67" s="221" t="s">
        <v>130</v>
      </c>
      <c r="D67" s="159" t="s">
        <v>119</v>
      </c>
      <c r="E67" s="159" t="s">
        <v>123</v>
      </c>
      <c r="F67" s="233">
        <v>1</v>
      </c>
      <c r="G67" s="232">
        <f>VLOOKUP(B67,'4 - R. ANALÍTICO - ORIGINAIS'!$B$9:$H$4132,6,FALSE)</f>
        <v>1500</v>
      </c>
      <c r="H67" s="380">
        <f>F67*G67</f>
        <v>1500</v>
      </c>
      <c r="I67" s="261">
        <f>VLOOKUP(A66,'3 - PLAN. ORÇAMENTÁRIA'!$A$17:$F$721,6,FALSE)</f>
        <v>10</v>
      </c>
      <c r="J67" s="381">
        <f>F67*I67</f>
        <v>10</v>
      </c>
    </row>
    <row r="68" spans="1:10" ht="15">
      <c r="A68" s="1"/>
      <c r="B68" s="222"/>
      <c r="C68" s="222"/>
      <c r="D68" s="222"/>
      <c r="E68" s="222"/>
      <c r="F68" s="382" t="s">
        <v>589</v>
      </c>
      <c r="G68" s="382"/>
      <c r="H68" s="158">
        <f>SUM(H67)</f>
        <v>1500</v>
      </c>
      <c r="I68" s="257"/>
      <c r="J68" s="257"/>
    </row>
    <row r="69" spans="1:10" ht="15">
      <c r="A69" s="1"/>
      <c r="B69" s="222"/>
      <c r="C69" s="222"/>
      <c r="D69" s="222"/>
      <c r="E69" s="222"/>
      <c r="F69" s="487"/>
      <c r="G69" s="487"/>
      <c r="H69" s="489"/>
      <c r="I69" s="257"/>
      <c r="J69" s="257"/>
    </row>
    <row r="70" spans="1:10" ht="25.5">
      <c r="A70" s="178" t="s">
        <v>131</v>
      </c>
      <c r="B70" s="378" t="s">
        <v>588</v>
      </c>
      <c r="C70" s="378"/>
      <c r="D70" s="103" t="s">
        <v>579</v>
      </c>
      <c r="E70" s="260" t="s">
        <v>580</v>
      </c>
      <c r="F70" s="255" t="s">
        <v>581</v>
      </c>
      <c r="G70" s="255" t="s">
        <v>582</v>
      </c>
      <c r="H70" s="255" t="s">
        <v>583</v>
      </c>
      <c r="I70" s="178" t="s">
        <v>791</v>
      </c>
      <c r="J70" s="178" t="s">
        <v>581</v>
      </c>
    </row>
    <row r="71" spans="1:10" ht="25.5">
      <c r="A71" s="379">
        <f>VLOOKUP(A70,'3 - PLAN. ORÇAMENTÁRIA'!$A$16:$B$721,2,FALSE)</f>
        <v>10777</v>
      </c>
      <c r="B71" s="159" t="s">
        <v>132</v>
      </c>
      <c r="C71" s="221" t="s">
        <v>133</v>
      </c>
      <c r="D71" s="159" t="s">
        <v>119</v>
      </c>
      <c r="E71" s="159" t="s">
        <v>123</v>
      </c>
      <c r="F71" s="383">
        <v>1</v>
      </c>
      <c r="G71" s="232">
        <f>VLOOKUP(B71,'4 - R. ANALÍTICO - ORIGINAIS'!$B$9:$H$4132,6,FALSE)</f>
        <v>1703.12</v>
      </c>
      <c r="H71" s="380">
        <f>F71*G71</f>
        <v>1703.12</v>
      </c>
      <c r="I71" s="261">
        <f>VLOOKUP(A70,'3 - PLAN. ORÇAMENTÁRIA'!$A$17:$F$721,6,FALSE)</f>
        <v>10</v>
      </c>
      <c r="J71" s="381">
        <f>F71*I71</f>
        <v>10</v>
      </c>
    </row>
    <row r="72" spans="1:10" ht="15">
      <c r="A72" s="1"/>
      <c r="B72" s="222"/>
      <c r="C72" s="222"/>
      <c r="D72" s="222"/>
      <c r="E72" s="222"/>
      <c r="F72" s="382" t="s">
        <v>589</v>
      </c>
      <c r="G72" s="382"/>
      <c r="H72" s="158">
        <f>SUM(H71)</f>
        <v>1703.12</v>
      </c>
      <c r="I72" s="257"/>
      <c r="J72" s="257"/>
    </row>
    <row r="73" spans="1:10" ht="15">
      <c r="A73" s="1"/>
      <c r="B73" s="222"/>
      <c r="C73" s="222"/>
      <c r="D73" s="222"/>
      <c r="E73" s="222"/>
      <c r="F73" s="487"/>
      <c r="G73" s="487"/>
      <c r="H73" s="489"/>
      <c r="I73" s="257"/>
      <c r="J73" s="257"/>
    </row>
    <row r="74" spans="1:10" ht="25.5">
      <c r="A74" s="178" t="s">
        <v>134</v>
      </c>
      <c r="B74" s="378" t="s">
        <v>588</v>
      </c>
      <c r="C74" s="378"/>
      <c r="D74" s="103" t="s">
        <v>579</v>
      </c>
      <c r="E74" s="260" t="s">
        <v>580</v>
      </c>
      <c r="F74" s="255" t="s">
        <v>581</v>
      </c>
      <c r="G74" s="255" t="s">
        <v>582</v>
      </c>
      <c r="H74" s="255" t="s">
        <v>583</v>
      </c>
      <c r="I74" s="178" t="s">
        <v>791</v>
      </c>
      <c r="J74" s="178" t="s">
        <v>581</v>
      </c>
    </row>
    <row r="75" spans="1:10" ht="25.5">
      <c r="A75" s="379">
        <f>VLOOKUP(A74,'3 - PLAN. ORÇAMENTÁRIA'!$A$16:$B$721,2,FALSE)</f>
        <v>10776</v>
      </c>
      <c r="B75" s="159" t="s">
        <v>135</v>
      </c>
      <c r="C75" s="221" t="s">
        <v>1239</v>
      </c>
      <c r="D75" s="159" t="s">
        <v>119</v>
      </c>
      <c r="E75" s="159" t="s">
        <v>123</v>
      </c>
      <c r="F75" s="384">
        <v>1</v>
      </c>
      <c r="G75" s="232">
        <f>VLOOKUP(B75,'4 - R. ANALÍTICO - ORIGINAIS'!$B$9:$H$4132,6,FALSE)</f>
        <v>1171.8699999999999</v>
      </c>
      <c r="H75" s="380">
        <f>F75*G75</f>
        <v>1171.8699999999999</v>
      </c>
      <c r="I75" s="261">
        <f>VLOOKUP(A74,'3 - PLAN. ORÇAMENTÁRIA'!$A$17:$F$721,6,FALSE)</f>
        <v>10</v>
      </c>
      <c r="J75" s="381">
        <f>F75*I75</f>
        <v>10</v>
      </c>
    </row>
    <row r="76" spans="1:10" ht="15">
      <c r="A76" s="1"/>
      <c r="B76" s="222"/>
      <c r="C76" s="222"/>
      <c r="D76" s="222"/>
      <c r="E76" s="222"/>
      <c r="F76" s="385" t="s">
        <v>589</v>
      </c>
      <c r="G76" s="385"/>
      <c r="H76" s="102">
        <f>SUM(H75)</f>
        <v>1171.8699999999999</v>
      </c>
      <c r="I76" s="257"/>
      <c r="J76" s="257"/>
    </row>
    <row r="77" spans="1:10" ht="15">
      <c r="A77" s="1"/>
      <c r="B77" s="1"/>
      <c r="C77" s="1"/>
      <c r="D77" s="1"/>
      <c r="E77" s="1"/>
      <c r="F77" s="1"/>
      <c r="G77" s="1"/>
      <c r="H77" s="1"/>
      <c r="I77" s="257"/>
      <c r="J77" s="257"/>
    </row>
    <row r="78" spans="1:10" ht="25.5">
      <c r="A78" s="178" t="s">
        <v>137</v>
      </c>
      <c r="B78" s="378" t="s">
        <v>588</v>
      </c>
      <c r="C78" s="378"/>
      <c r="D78" s="103" t="s">
        <v>579</v>
      </c>
      <c r="E78" s="103" t="s">
        <v>580</v>
      </c>
      <c r="F78" s="103" t="s">
        <v>581</v>
      </c>
      <c r="G78" s="103" t="s">
        <v>582</v>
      </c>
      <c r="H78" s="103" t="s">
        <v>583</v>
      </c>
      <c r="I78" s="178" t="s">
        <v>791</v>
      </c>
      <c r="J78" s="178" t="s">
        <v>581</v>
      </c>
    </row>
    <row r="79" spans="1:10" ht="25.5">
      <c r="A79" s="379" t="str">
        <f>VLOOKUP(A78,'3 - PLAN. ORÇAMENTÁRIA'!$A$16:$B$721,2,FALSE)</f>
        <v>CCU 004</v>
      </c>
      <c r="B79" s="159" t="s">
        <v>590</v>
      </c>
      <c r="C79" s="221" t="s">
        <v>591</v>
      </c>
      <c r="D79" s="159" t="s">
        <v>592</v>
      </c>
      <c r="E79" s="159" t="s">
        <v>144</v>
      </c>
      <c r="F79" s="174">
        <v>4.3999999999999997E-2</v>
      </c>
      <c r="G79" s="160">
        <f>VLOOKUP(B79,'5 - R. ANALÍTICO - MODIFICAD'!$B$1330:$H$1991,6,FALSE)</f>
        <v>56.18</v>
      </c>
      <c r="H79" s="380">
        <f>F79*G79</f>
        <v>2.4719199999999999</v>
      </c>
      <c r="I79" s="261">
        <f>VLOOKUP(A78,'3 - PLAN. ORÇAMENTÁRIA'!$A$17:$F$721,6,FALSE)</f>
        <v>4</v>
      </c>
      <c r="J79" s="381">
        <f>F79*I79</f>
        <v>0.17599999999999999</v>
      </c>
    </row>
    <row r="80" spans="1:10" ht="15">
      <c r="A80" s="1"/>
      <c r="B80" s="222"/>
      <c r="C80" s="222"/>
      <c r="D80" s="222"/>
      <c r="E80" s="222"/>
      <c r="F80" s="385" t="s">
        <v>589</v>
      </c>
      <c r="G80" s="385"/>
      <c r="H80" s="102">
        <f>SUM(H79)</f>
        <v>2.4719199999999999</v>
      </c>
      <c r="I80" s="257"/>
      <c r="J80" s="257"/>
    </row>
    <row r="81" spans="1:10" ht="15">
      <c r="A81" s="1"/>
      <c r="B81" s="1"/>
      <c r="C81" s="1"/>
      <c r="D81" s="1"/>
      <c r="E81" s="1"/>
      <c r="F81" s="1"/>
      <c r="G81" s="1"/>
      <c r="H81" s="1"/>
      <c r="I81" s="257"/>
      <c r="J81" s="257"/>
    </row>
    <row r="82" spans="1:10" ht="25.5">
      <c r="A82" s="178" t="s">
        <v>2172</v>
      </c>
      <c r="B82" s="378" t="s">
        <v>588</v>
      </c>
      <c r="C82" s="378"/>
      <c r="D82" s="103" t="s">
        <v>579</v>
      </c>
      <c r="E82" s="103" t="s">
        <v>580</v>
      </c>
      <c r="F82" s="103" t="s">
        <v>581</v>
      </c>
      <c r="G82" s="103" t="s">
        <v>582</v>
      </c>
      <c r="H82" s="103" t="s">
        <v>583</v>
      </c>
      <c r="I82" s="178" t="s">
        <v>791</v>
      </c>
      <c r="J82" s="178" t="s">
        <v>581</v>
      </c>
    </row>
    <row r="83" spans="1:10" ht="25.5">
      <c r="A83" s="379" t="str">
        <f>VLOOKUP(A82,'3 - PLAN. ORÇAMENTÁRIA'!$A$16:$B$721,2,FALSE)</f>
        <v>CCU 147</v>
      </c>
      <c r="B83" s="159" t="s">
        <v>590</v>
      </c>
      <c r="C83" s="221" t="s">
        <v>591</v>
      </c>
      <c r="D83" s="159" t="s">
        <v>592</v>
      </c>
      <c r="E83" s="159" t="s">
        <v>144</v>
      </c>
      <c r="F83" s="174">
        <v>4.3999999999999997E-2</v>
      </c>
      <c r="G83" s="160">
        <f>VLOOKUP(B83,'5 - R. ANALÍTICO - MODIFICAD'!$B$1330:$H$1991,6,FALSE)</f>
        <v>56.18</v>
      </c>
      <c r="H83" s="380">
        <f>F83*G83</f>
        <v>2.4719199999999999</v>
      </c>
      <c r="I83" s="261">
        <f>VLOOKUP(A82,'3 - PLAN. ORÇAMENTÁRIA'!$A$17:$F$721,6,FALSE)</f>
        <v>36.799999999999997</v>
      </c>
      <c r="J83" s="381">
        <f>F83*I83</f>
        <v>1.6191999999999998</v>
      </c>
    </row>
    <row r="84" spans="1:10" ht="15">
      <c r="A84" s="1"/>
      <c r="B84" s="222"/>
      <c r="C84" s="222"/>
      <c r="D84" s="222"/>
      <c r="E84" s="222"/>
      <c r="F84" s="385" t="s">
        <v>589</v>
      </c>
      <c r="G84" s="385"/>
      <c r="H84" s="102">
        <f>SUM(H83)</f>
        <v>2.4719199999999999</v>
      </c>
      <c r="I84" s="257"/>
      <c r="J84" s="257"/>
    </row>
    <row r="85" spans="1:10" ht="15">
      <c r="A85" s="1"/>
      <c r="B85" s="1"/>
      <c r="C85" s="1"/>
      <c r="D85" s="1"/>
      <c r="E85" s="1"/>
      <c r="F85" s="1"/>
      <c r="G85" s="1"/>
      <c r="H85" s="1"/>
      <c r="I85" s="257"/>
      <c r="J85" s="257"/>
    </row>
    <row r="86" spans="1:10" ht="25.5">
      <c r="A86" s="178" t="s">
        <v>155</v>
      </c>
      <c r="B86" s="378" t="s">
        <v>1301</v>
      </c>
      <c r="C86" s="378"/>
      <c r="D86" s="103" t="s">
        <v>579</v>
      </c>
      <c r="E86" s="103" t="s">
        <v>580</v>
      </c>
      <c r="F86" s="103" t="s">
        <v>581</v>
      </c>
      <c r="G86" s="103" t="s">
        <v>582</v>
      </c>
      <c r="H86" s="103" t="s">
        <v>583</v>
      </c>
      <c r="I86" s="178" t="s">
        <v>791</v>
      </c>
      <c r="J86" s="178" t="s">
        <v>581</v>
      </c>
    </row>
    <row r="87" spans="1:10" ht="25.5">
      <c r="A87" s="379">
        <f>VLOOKUP(A86,'3 - PLAN. ORÇAMENTÁRIA'!$A$16:$B$721,2,FALSE)</f>
        <v>98459</v>
      </c>
      <c r="B87" s="159" t="s">
        <v>1302</v>
      </c>
      <c r="C87" s="221" t="s">
        <v>1303</v>
      </c>
      <c r="D87" s="159" t="s">
        <v>119</v>
      </c>
      <c r="E87" s="159" t="s">
        <v>1304</v>
      </c>
      <c r="F87" s="174">
        <v>2.64E-2</v>
      </c>
      <c r="G87" s="232">
        <f>VLOOKUP(B87,'4 - R. ANALÍTICO - ORIGINAIS'!$B$9:$H$4132,6,FALSE)</f>
        <v>26.18</v>
      </c>
      <c r="H87" s="380">
        <f>F87*G87</f>
        <v>0.69115199999999999</v>
      </c>
      <c r="I87" s="261">
        <f>VLOOKUP(A86,'3 - PLAN. ORÇAMENTÁRIA'!$A$17:$F$721,6,FALSE)</f>
        <v>555.73</v>
      </c>
      <c r="J87" s="381">
        <f>F87*I87</f>
        <v>14.671272</v>
      </c>
    </row>
    <row r="88" spans="1:10" ht="25.5">
      <c r="A88" s="1"/>
      <c r="B88" s="159" t="s">
        <v>1305</v>
      </c>
      <c r="C88" s="221" t="s">
        <v>1306</v>
      </c>
      <c r="D88" s="159" t="s">
        <v>119</v>
      </c>
      <c r="E88" s="159" t="s">
        <v>1307</v>
      </c>
      <c r="F88" s="174">
        <v>6.6E-3</v>
      </c>
      <c r="G88" s="232">
        <f>VLOOKUP(B88,'4 - R. ANALÍTICO - ORIGINAIS'!$B$9:$H$4132,6,FALSE)</f>
        <v>27.22</v>
      </c>
      <c r="H88" s="380">
        <f>F88*G88</f>
        <v>0.17965199999999998</v>
      </c>
      <c r="I88" s="261">
        <f>I87</f>
        <v>555.73</v>
      </c>
      <c r="J88" s="381">
        <f>F88*I88</f>
        <v>3.667818</v>
      </c>
    </row>
    <row r="89" spans="1:10" ht="15">
      <c r="A89" s="1"/>
      <c r="B89" s="222"/>
      <c r="C89" s="222"/>
      <c r="D89" s="222"/>
      <c r="E89" s="222"/>
      <c r="F89" s="385" t="s">
        <v>1308</v>
      </c>
      <c r="G89" s="385"/>
      <c r="H89" s="102">
        <f>SUM(H87:H88)</f>
        <v>0.87080399999999991</v>
      </c>
      <c r="I89" s="257"/>
      <c r="J89" s="257"/>
    </row>
    <row r="90" spans="1:10" ht="15">
      <c r="A90" s="1"/>
      <c r="B90" s="1"/>
      <c r="C90" s="1"/>
      <c r="D90" s="1"/>
      <c r="E90" s="1"/>
      <c r="F90" s="1"/>
      <c r="G90" s="1"/>
      <c r="H90" s="1"/>
      <c r="I90" s="257"/>
      <c r="J90" s="257"/>
    </row>
    <row r="91" spans="1:10" ht="25.5">
      <c r="A91" s="178" t="s">
        <v>171</v>
      </c>
      <c r="B91" s="378" t="s">
        <v>1301</v>
      </c>
      <c r="C91" s="378"/>
      <c r="D91" s="103" t="s">
        <v>579</v>
      </c>
      <c r="E91" s="103" t="s">
        <v>580</v>
      </c>
      <c r="F91" s="103" t="s">
        <v>581</v>
      </c>
      <c r="G91" s="103" t="s">
        <v>582</v>
      </c>
      <c r="H91" s="103" t="s">
        <v>583</v>
      </c>
      <c r="I91" s="178" t="s">
        <v>791</v>
      </c>
      <c r="J91" s="178" t="s">
        <v>581</v>
      </c>
    </row>
    <row r="92" spans="1:10" ht="25.5">
      <c r="A92" s="379">
        <f>VLOOKUP(A91,'3 - PLAN. ORÇAMENTÁRIA'!$A$16:$B$721,2,FALSE)</f>
        <v>105009</v>
      </c>
      <c r="B92" s="159" t="s">
        <v>1302</v>
      </c>
      <c r="C92" s="221" t="s">
        <v>1303</v>
      </c>
      <c r="D92" s="159" t="s">
        <v>119</v>
      </c>
      <c r="E92" s="159" t="s">
        <v>1304</v>
      </c>
      <c r="F92" s="174">
        <v>3.7400000000000003E-2</v>
      </c>
      <c r="G92" s="232">
        <f>VLOOKUP(B92,'4 - R. ANALÍTICO - ORIGINAIS'!$B$9:$H$4132,6,FALSE)</f>
        <v>26.18</v>
      </c>
      <c r="H92" s="380">
        <f>F92*G92</f>
        <v>0.97913200000000011</v>
      </c>
      <c r="I92" s="261">
        <f>VLOOKUP(A91,'3 - PLAN. ORÇAMENTÁRIA'!$A$17:$F$721,6,FALSE)</f>
        <v>188</v>
      </c>
      <c r="J92" s="381">
        <f>F92*I92</f>
        <v>7.0312000000000001</v>
      </c>
    </row>
    <row r="93" spans="1:10" ht="25.5">
      <c r="A93" s="1"/>
      <c r="B93" s="159" t="s">
        <v>1305</v>
      </c>
      <c r="C93" s="221" t="s">
        <v>1306</v>
      </c>
      <c r="D93" s="159" t="s">
        <v>119</v>
      </c>
      <c r="E93" s="159" t="s">
        <v>1307</v>
      </c>
      <c r="F93" s="174">
        <v>9.2999999999999992E-3</v>
      </c>
      <c r="G93" s="232">
        <f>VLOOKUP(B93,'4 - R. ANALÍTICO - ORIGINAIS'!$B$9:$H$4132,6,FALSE)</f>
        <v>27.22</v>
      </c>
      <c r="H93" s="380">
        <f>F93*G93</f>
        <v>0.25314599999999998</v>
      </c>
      <c r="I93" s="261">
        <f>I92</f>
        <v>188</v>
      </c>
      <c r="J93" s="381">
        <f>F93*I93</f>
        <v>1.7484</v>
      </c>
    </row>
    <row r="94" spans="1:10" ht="15">
      <c r="A94" s="1"/>
      <c r="B94" s="222"/>
      <c r="C94" s="222"/>
      <c r="D94" s="222"/>
      <c r="E94" s="222"/>
      <c r="F94" s="385" t="s">
        <v>1308</v>
      </c>
      <c r="G94" s="385"/>
      <c r="H94" s="102">
        <f>SUM(H92:H93)</f>
        <v>1.232278</v>
      </c>
      <c r="I94" s="257"/>
      <c r="J94" s="257"/>
    </row>
    <row r="95" spans="1:10" ht="15">
      <c r="A95" s="1"/>
      <c r="B95" s="1"/>
      <c r="C95" s="1"/>
      <c r="D95" s="1"/>
      <c r="E95" s="1"/>
      <c r="F95" s="1"/>
      <c r="G95" s="1"/>
      <c r="H95" s="1"/>
      <c r="I95" s="257"/>
      <c r="J95" s="257"/>
    </row>
    <row r="96" spans="1:10" ht="25.5">
      <c r="A96" s="178" t="s">
        <v>182</v>
      </c>
      <c r="B96" s="378" t="s">
        <v>1301</v>
      </c>
      <c r="C96" s="378"/>
      <c r="D96" s="103" t="s">
        <v>579</v>
      </c>
      <c r="E96" s="103" t="s">
        <v>580</v>
      </c>
      <c r="F96" s="103" t="s">
        <v>581</v>
      </c>
      <c r="G96" s="103" t="s">
        <v>582</v>
      </c>
      <c r="H96" s="103" t="s">
        <v>583</v>
      </c>
      <c r="I96" s="178" t="s">
        <v>791</v>
      </c>
      <c r="J96" s="178" t="s">
        <v>581</v>
      </c>
    </row>
    <row r="97" spans="1:10" ht="15">
      <c r="A97" s="379">
        <f>VLOOKUP(A96,'3 - PLAN. ORÇAMENTÁRIA'!$A$16:$B$721,2,FALSE)</f>
        <v>98525</v>
      </c>
      <c r="B97" s="159" t="s">
        <v>1337</v>
      </c>
      <c r="C97" s="221" t="s">
        <v>1338</v>
      </c>
      <c r="D97" s="159" t="s">
        <v>119</v>
      </c>
      <c r="E97" s="159" t="s">
        <v>1304</v>
      </c>
      <c r="F97" s="174">
        <v>2.8999999999999998E-3</v>
      </c>
      <c r="G97" s="232">
        <f>VLOOKUP(B97,'4 - R. ANALÍTICO - ORIGINAIS'!$B$9:$H$4132,6,FALSE)</f>
        <v>74.430000000000007</v>
      </c>
      <c r="H97" s="380">
        <f>F97*G97</f>
        <v>0.21584700000000001</v>
      </c>
      <c r="I97" s="261">
        <f>VLOOKUP(A96,'3 - PLAN. ORÇAMENTÁRIA'!$A$17:$F$721,6,FALSE)</f>
        <v>3951.22</v>
      </c>
      <c r="J97" s="381">
        <f>F97*I97</f>
        <v>11.458537999999999</v>
      </c>
    </row>
    <row r="98" spans="1:10" ht="15">
      <c r="A98" s="1"/>
      <c r="B98" s="159" t="s">
        <v>1339</v>
      </c>
      <c r="C98" s="221" t="s">
        <v>1340</v>
      </c>
      <c r="D98" s="159" t="s">
        <v>119</v>
      </c>
      <c r="E98" s="159" t="s">
        <v>1307</v>
      </c>
      <c r="F98" s="174">
        <v>1.6999999999999999E-3</v>
      </c>
      <c r="G98" s="232">
        <f>VLOOKUP(B98,'4 - R. ANALÍTICO - ORIGINAIS'!$B$9:$H$4132,6,FALSE)</f>
        <v>196.37</v>
      </c>
      <c r="H98" s="380">
        <f>F98*G98</f>
        <v>0.33382899999999999</v>
      </c>
      <c r="I98" s="261">
        <f>I97</f>
        <v>3951.22</v>
      </c>
      <c r="J98" s="381">
        <f>F98*I98</f>
        <v>6.7170739999999993</v>
      </c>
    </row>
    <row r="99" spans="1:10" ht="15">
      <c r="A99" s="1"/>
      <c r="B99" s="222"/>
      <c r="C99" s="222"/>
      <c r="D99" s="222"/>
      <c r="E99" s="222"/>
      <c r="F99" s="385" t="s">
        <v>1308</v>
      </c>
      <c r="G99" s="385"/>
      <c r="H99" s="102">
        <f>SUM(H97:H98)</f>
        <v>0.54967600000000005</v>
      </c>
      <c r="I99" s="257"/>
      <c r="J99" s="257"/>
    </row>
    <row r="100" spans="1:10" ht="15">
      <c r="A100" s="1"/>
      <c r="B100" s="1"/>
      <c r="C100" s="1"/>
      <c r="D100" s="1"/>
      <c r="E100" s="1"/>
      <c r="F100" s="1"/>
      <c r="G100" s="1"/>
      <c r="H100" s="1"/>
      <c r="I100" s="257"/>
      <c r="J100" s="257"/>
    </row>
    <row r="101" spans="1:10" ht="25.5">
      <c r="A101" s="178" t="s">
        <v>2278</v>
      </c>
      <c r="B101" s="378" t="s">
        <v>1301</v>
      </c>
      <c r="C101" s="378"/>
      <c r="D101" s="103" t="s">
        <v>579</v>
      </c>
      <c r="E101" s="103" t="s">
        <v>580</v>
      </c>
      <c r="F101" s="103" t="s">
        <v>581</v>
      </c>
      <c r="G101" s="103" t="s">
        <v>582</v>
      </c>
      <c r="H101" s="103" t="s">
        <v>583</v>
      </c>
      <c r="I101" s="178" t="s">
        <v>791</v>
      </c>
      <c r="J101" s="178" t="s">
        <v>581</v>
      </c>
    </row>
    <row r="102" spans="1:10" ht="25.5">
      <c r="A102" s="379">
        <f>VLOOKUP(A101,'3 - PLAN. ORÇAMENTÁRIA'!$A$16:$B$721,2,FALSE)</f>
        <v>100983</v>
      </c>
      <c r="B102" s="159" t="s">
        <v>1342</v>
      </c>
      <c r="C102" s="221" t="s">
        <v>1343</v>
      </c>
      <c r="D102" s="159" t="s">
        <v>119</v>
      </c>
      <c r="E102" s="159" t="s">
        <v>1304</v>
      </c>
      <c r="F102" s="174">
        <v>1.0999999999999999E-2</v>
      </c>
      <c r="G102" s="232">
        <f>VLOOKUP(B102,'4 - R. ANALÍTICO - ORIGINAIS'!$B$9:$H$4132,6,FALSE)</f>
        <v>90.65</v>
      </c>
      <c r="H102" s="380">
        <f>F102*G102</f>
        <v>0.99714999999999998</v>
      </c>
      <c r="I102" s="261">
        <f>VLOOKUP(A101,'3 - PLAN. ORÇAMENTÁRIA'!$A$17:$F$721,6,FALSE)</f>
        <v>770.49</v>
      </c>
      <c r="J102" s="381">
        <f>F102*I102</f>
        <v>8.4753899999999991</v>
      </c>
    </row>
    <row r="103" spans="1:10" ht="25.5">
      <c r="A103" s="1"/>
      <c r="B103" s="159" t="s">
        <v>1344</v>
      </c>
      <c r="C103" s="221" t="s">
        <v>1345</v>
      </c>
      <c r="D103" s="159" t="s">
        <v>119</v>
      </c>
      <c r="E103" s="159" t="s">
        <v>1307</v>
      </c>
      <c r="F103" s="174">
        <v>1.6899999999999998E-2</v>
      </c>
      <c r="G103" s="232">
        <f>VLOOKUP(B103,'4 - R. ANALÍTICO - ORIGINAIS'!$B$9:$H$4132,6,FALSE)</f>
        <v>334.12</v>
      </c>
      <c r="H103" s="380">
        <f>F103*G103</f>
        <v>5.6466279999999998</v>
      </c>
      <c r="I103" s="261">
        <f>I102</f>
        <v>770.49</v>
      </c>
      <c r="J103" s="381">
        <f>F103*I103</f>
        <v>13.021280999999998</v>
      </c>
    </row>
    <row r="104" spans="1:10" ht="25.5">
      <c r="A104" s="1"/>
      <c r="B104" s="159" t="s">
        <v>1346</v>
      </c>
      <c r="C104" s="221" t="s">
        <v>1347</v>
      </c>
      <c r="D104" s="159" t="s">
        <v>119</v>
      </c>
      <c r="E104" s="159" t="s">
        <v>1304</v>
      </c>
      <c r="F104" s="174">
        <v>8.5000000000000006E-3</v>
      </c>
      <c r="G104" s="232">
        <f>VLOOKUP(B104,'4 - R. ANALÍTICO - ORIGINAIS'!$B$9:$H$4132,6,FALSE)</f>
        <v>90.12</v>
      </c>
      <c r="H104" s="380">
        <f>F104*G104</f>
        <v>0.76602000000000015</v>
      </c>
      <c r="I104" s="261">
        <f>I103</f>
        <v>770.49</v>
      </c>
      <c r="J104" s="381">
        <f>F104*I104</f>
        <v>6.5491650000000003</v>
      </c>
    </row>
    <row r="105" spans="1:10" ht="25.5">
      <c r="A105" s="1"/>
      <c r="B105" s="159" t="s">
        <v>1348</v>
      </c>
      <c r="C105" s="221" t="s">
        <v>1349</v>
      </c>
      <c r="D105" s="159" t="s">
        <v>119</v>
      </c>
      <c r="E105" s="159" t="s">
        <v>1307</v>
      </c>
      <c r="F105" s="174">
        <v>8.3000000000000001E-3</v>
      </c>
      <c r="G105" s="232">
        <f>VLOOKUP(B105,'4 - R. ANALÍTICO - ORIGINAIS'!$B$9:$H$4132,6,FALSE)</f>
        <v>213.48</v>
      </c>
      <c r="H105" s="380">
        <f>F105*G105</f>
        <v>1.771884</v>
      </c>
      <c r="I105" s="261">
        <f>I104</f>
        <v>770.49</v>
      </c>
      <c r="J105" s="381">
        <f>F105*I105</f>
        <v>6.3950670000000001</v>
      </c>
    </row>
    <row r="106" spans="1:10" ht="15">
      <c r="A106" s="1"/>
      <c r="B106" s="222"/>
      <c r="C106" s="222"/>
      <c r="D106" s="222"/>
      <c r="E106" s="222"/>
      <c r="F106" s="385" t="s">
        <v>1308</v>
      </c>
      <c r="G106" s="385"/>
      <c r="H106" s="102">
        <f>SUM(H102:H105)</f>
        <v>9.1816819999999986</v>
      </c>
      <c r="I106" s="257"/>
      <c r="J106" s="257"/>
    </row>
    <row r="107" spans="1:10" ht="15">
      <c r="A107" s="1"/>
      <c r="B107" s="1"/>
      <c r="C107" s="1"/>
      <c r="D107" s="1"/>
      <c r="E107" s="1"/>
      <c r="F107" s="1"/>
      <c r="G107" s="1"/>
      <c r="H107" s="1"/>
      <c r="I107" s="257"/>
      <c r="J107" s="257"/>
    </row>
    <row r="108" spans="1:10" ht="25.5">
      <c r="A108" s="178" t="s">
        <v>2279</v>
      </c>
      <c r="B108" s="378" t="s">
        <v>1301</v>
      </c>
      <c r="C108" s="378"/>
      <c r="D108" s="103" t="s">
        <v>579</v>
      </c>
      <c r="E108" s="103" t="s">
        <v>580</v>
      </c>
      <c r="F108" s="103" t="s">
        <v>581</v>
      </c>
      <c r="G108" s="103" t="s">
        <v>582</v>
      </c>
      <c r="H108" s="103" t="s">
        <v>583</v>
      </c>
      <c r="I108" s="178" t="s">
        <v>791</v>
      </c>
      <c r="J108" s="178" t="s">
        <v>581</v>
      </c>
    </row>
    <row r="109" spans="1:10" ht="25.5">
      <c r="A109" s="379">
        <f>VLOOKUP(A108,'3 - PLAN. ORÇAMENTÁRIA'!$A$16:$B$721,2,FALSE)</f>
        <v>93591</v>
      </c>
      <c r="B109" s="159" t="s">
        <v>1342</v>
      </c>
      <c r="C109" s="221" t="s">
        <v>1343</v>
      </c>
      <c r="D109" s="159" t="s">
        <v>119</v>
      </c>
      <c r="E109" s="159" t="s">
        <v>1304</v>
      </c>
      <c r="F109" s="174">
        <v>3.2000000000000002E-3</v>
      </c>
      <c r="G109" s="232">
        <f>VLOOKUP(B109,'4 - R. ANALÍTICO - ORIGINAIS'!$B$9:$H$4132,6,FALSE)</f>
        <v>90.65</v>
      </c>
      <c r="H109" s="380">
        <f>F109*G109</f>
        <v>0.29008</v>
      </c>
      <c r="I109" s="261">
        <f>VLOOKUP(A108,'3 - PLAN. ORÇAMENTÁRIA'!$A$17:$F$721,6,FALSE)</f>
        <v>14793.37</v>
      </c>
      <c r="J109" s="381">
        <f>F109*I109</f>
        <v>47.338784000000004</v>
      </c>
    </row>
    <row r="110" spans="1:10" ht="25.5">
      <c r="A110" s="1"/>
      <c r="B110" s="159" t="s">
        <v>1344</v>
      </c>
      <c r="C110" s="221" t="s">
        <v>1345</v>
      </c>
      <c r="D110" s="159" t="s">
        <v>119</v>
      </c>
      <c r="E110" s="159" t="s">
        <v>1307</v>
      </c>
      <c r="F110" s="174">
        <v>7.4999999999999997E-3</v>
      </c>
      <c r="G110" s="232">
        <f>VLOOKUP(B110,'4 - R. ANALÍTICO - ORIGINAIS'!$B$9:$H$4132,6,FALSE)</f>
        <v>334.12</v>
      </c>
      <c r="H110" s="380">
        <f>F110*G110</f>
        <v>2.5059</v>
      </c>
      <c r="I110" s="261">
        <f>I109</f>
        <v>14793.37</v>
      </c>
      <c r="J110" s="381">
        <f>F110*I110</f>
        <v>110.950275</v>
      </c>
    </row>
    <row r="111" spans="1:10" ht="15">
      <c r="A111" s="1"/>
      <c r="B111" s="222"/>
      <c r="C111" s="222"/>
      <c r="D111" s="222"/>
      <c r="E111" s="222"/>
      <c r="F111" s="385" t="s">
        <v>1308</v>
      </c>
      <c r="G111" s="385"/>
      <c r="H111" s="102">
        <f>SUM(H109:H110)</f>
        <v>2.7959800000000001</v>
      </c>
      <c r="I111" s="257"/>
      <c r="J111" s="257"/>
    </row>
    <row r="112" spans="1:10" ht="15">
      <c r="A112" s="1"/>
      <c r="B112" s="1"/>
      <c r="C112" s="1"/>
      <c r="D112" s="1"/>
      <c r="E112" s="1"/>
      <c r="F112" s="1"/>
      <c r="G112" s="1"/>
      <c r="H112" s="1"/>
      <c r="I112" s="257"/>
      <c r="J112" s="257"/>
    </row>
    <row r="113" spans="1:10" ht="25.5">
      <c r="A113" s="178" t="s">
        <v>188</v>
      </c>
      <c r="B113" s="378" t="s">
        <v>1301</v>
      </c>
      <c r="C113" s="378"/>
      <c r="D113" s="103" t="s">
        <v>579</v>
      </c>
      <c r="E113" s="103" t="s">
        <v>580</v>
      </c>
      <c r="F113" s="103" t="s">
        <v>581</v>
      </c>
      <c r="G113" s="103" t="s">
        <v>582</v>
      </c>
      <c r="H113" s="103" t="s">
        <v>583</v>
      </c>
      <c r="I113" s="178" t="s">
        <v>791</v>
      </c>
      <c r="J113" s="178" t="s">
        <v>581</v>
      </c>
    </row>
    <row r="114" spans="1:10" ht="25.5">
      <c r="A114" s="379">
        <f>VLOOKUP(A113,'3 - PLAN. ORÇAMENTÁRIA'!$A$16:$B$721,2,FALSE)</f>
        <v>101135</v>
      </c>
      <c r="B114" s="159">
        <v>5853</v>
      </c>
      <c r="C114" s="221" t="s">
        <v>1363</v>
      </c>
      <c r="D114" s="159" t="s">
        <v>119</v>
      </c>
      <c r="E114" s="159" t="s">
        <v>1304</v>
      </c>
      <c r="F114" s="174">
        <v>1.34E-2</v>
      </c>
      <c r="G114" s="232">
        <f>VLOOKUP(B114,'4 - R. ANALÍTICO - ORIGINAIS'!$B$9:$H$4132,6,FALSE)</f>
        <v>88.78</v>
      </c>
      <c r="H114" s="380">
        <f>F114*G114</f>
        <v>1.1896520000000002</v>
      </c>
      <c r="I114" s="261">
        <f>VLOOKUP(A113,'3 - PLAN. ORÇAMENTÁRIA'!$A$17:$F$721,6,FALSE)</f>
        <v>138.96</v>
      </c>
      <c r="J114" s="381">
        <f>F114*I114</f>
        <v>1.8620640000000002</v>
      </c>
    </row>
    <row r="115" spans="1:10" ht="25.5">
      <c r="A115" s="1"/>
      <c r="B115" s="159">
        <v>5851</v>
      </c>
      <c r="C115" s="221" t="s">
        <v>1365</v>
      </c>
      <c r="D115" s="159" t="s">
        <v>119</v>
      </c>
      <c r="E115" s="159" t="s">
        <v>1307</v>
      </c>
      <c r="F115" s="174">
        <v>7.9000000000000008E-3</v>
      </c>
      <c r="G115" s="232">
        <f>VLOOKUP(B115,'4 - R. ANALÍTICO - ORIGINAIS'!$B$9:$H$4132,6,FALSE)</f>
        <v>259.54000000000002</v>
      </c>
      <c r="H115" s="380">
        <f>F115*G115</f>
        <v>2.0503660000000004</v>
      </c>
      <c r="I115" s="261">
        <f>I114</f>
        <v>138.96</v>
      </c>
      <c r="J115" s="381">
        <f>F115*I115</f>
        <v>1.0977840000000001</v>
      </c>
    </row>
    <row r="116" spans="1:10" ht="15">
      <c r="A116" s="1"/>
      <c r="B116" s="222"/>
      <c r="C116" s="222"/>
      <c r="D116" s="222"/>
      <c r="E116" s="222"/>
      <c r="F116" s="385" t="s">
        <v>1308</v>
      </c>
      <c r="G116" s="385"/>
      <c r="H116" s="102">
        <f>SUM(H114:H115)</f>
        <v>3.2400180000000005</v>
      </c>
      <c r="I116" s="257"/>
      <c r="J116" s="257"/>
    </row>
    <row r="117" spans="1:10" ht="15">
      <c r="A117" s="1"/>
      <c r="B117" s="1"/>
      <c r="C117" s="1"/>
      <c r="D117" s="1"/>
      <c r="E117" s="1"/>
      <c r="F117" s="1"/>
      <c r="G117" s="1"/>
      <c r="H117" s="1"/>
      <c r="I117" s="257"/>
      <c r="J117" s="257"/>
    </row>
    <row r="118" spans="1:10" ht="25.5">
      <c r="A118" s="178" t="s">
        <v>189</v>
      </c>
      <c r="B118" s="378" t="s">
        <v>1301</v>
      </c>
      <c r="C118" s="378"/>
      <c r="D118" s="103" t="s">
        <v>579</v>
      </c>
      <c r="E118" s="103" t="s">
        <v>580</v>
      </c>
      <c r="F118" s="103" t="s">
        <v>581</v>
      </c>
      <c r="G118" s="103" t="s">
        <v>582</v>
      </c>
      <c r="H118" s="103" t="s">
        <v>583</v>
      </c>
      <c r="I118" s="178" t="s">
        <v>791</v>
      </c>
      <c r="J118" s="178" t="s">
        <v>581</v>
      </c>
    </row>
    <row r="119" spans="1:10" ht="25.5">
      <c r="A119" s="379" t="str">
        <f>VLOOKUP(A118,'3 - PLAN. ORÇAMENTÁRIA'!$A$16:$B$721,2,FALSE)</f>
        <v>CCU 156</v>
      </c>
      <c r="B119" s="159">
        <v>5853</v>
      </c>
      <c r="C119" s="221" t="s">
        <v>1363</v>
      </c>
      <c r="D119" s="159" t="s">
        <v>119</v>
      </c>
      <c r="E119" s="159" t="s">
        <v>1304</v>
      </c>
      <c r="F119" s="174">
        <v>6.1034000000000001E-3</v>
      </c>
      <c r="G119" s="232">
        <f>VLOOKUP(B119,'4 - R. ANALÍTICO - ORIGINAIS'!$B$9:$H$4132,6,FALSE)</f>
        <v>88.78</v>
      </c>
      <c r="H119" s="380">
        <f>F119*G119</f>
        <v>0.54185985199999998</v>
      </c>
      <c r="I119" s="261">
        <f>VLOOKUP(A118,'3 - PLAN. ORÇAMENTÁRIA'!$A$17:$F$721,6,FALSE)</f>
        <v>1601.16</v>
      </c>
      <c r="J119" s="381">
        <f>F119*I119</f>
        <v>9.7725199440000008</v>
      </c>
    </row>
    <row r="120" spans="1:10" ht="25.5">
      <c r="A120" s="1"/>
      <c r="B120" s="159">
        <v>5851</v>
      </c>
      <c r="C120" s="221" t="s">
        <v>1365</v>
      </c>
      <c r="D120" s="159" t="s">
        <v>119</v>
      </c>
      <c r="E120" s="159" t="s">
        <v>1307</v>
      </c>
      <c r="F120" s="174">
        <v>2.5225999999999998E-3</v>
      </c>
      <c r="G120" s="232">
        <f>VLOOKUP(B120,'4 - R. ANALÍTICO - ORIGINAIS'!$B$9:$H$4132,6,FALSE)</f>
        <v>259.54000000000002</v>
      </c>
      <c r="H120" s="380">
        <f>F120*G120</f>
        <v>0.65471560400000006</v>
      </c>
      <c r="I120" s="261">
        <f>I119</f>
        <v>1601.16</v>
      </c>
      <c r="J120" s="381">
        <f>F120*I120</f>
        <v>4.0390862160000003</v>
      </c>
    </row>
    <row r="121" spans="1:10" ht="15">
      <c r="A121" s="1"/>
      <c r="B121" s="222"/>
      <c r="C121" s="222"/>
      <c r="D121" s="222"/>
      <c r="E121" s="222"/>
      <c r="F121" s="385" t="s">
        <v>1308</v>
      </c>
      <c r="G121" s="385"/>
      <c r="H121" s="102">
        <f>SUM(H119:H120)</f>
        <v>1.1965754560000001</v>
      </c>
      <c r="I121" s="257"/>
      <c r="J121" s="257"/>
    </row>
    <row r="122" spans="1:10" ht="15">
      <c r="A122" s="1"/>
      <c r="B122" s="1"/>
      <c r="C122" s="1"/>
      <c r="D122" s="1"/>
      <c r="E122" s="1"/>
      <c r="F122" s="1"/>
      <c r="G122" s="1"/>
      <c r="H122" s="1"/>
      <c r="I122" s="257"/>
      <c r="J122" s="257"/>
    </row>
    <row r="123" spans="1:10" ht="25.5">
      <c r="A123" s="178" t="s">
        <v>191</v>
      </c>
      <c r="B123" s="378" t="s">
        <v>1301</v>
      </c>
      <c r="C123" s="378"/>
      <c r="D123" s="103" t="s">
        <v>579</v>
      </c>
      <c r="E123" s="103" t="s">
        <v>580</v>
      </c>
      <c r="F123" s="103" t="s">
        <v>581</v>
      </c>
      <c r="G123" s="103" t="s">
        <v>582</v>
      </c>
      <c r="H123" s="103" t="s">
        <v>583</v>
      </c>
      <c r="I123" s="178" t="s">
        <v>791</v>
      </c>
      <c r="J123" s="178" t="s">
        <v>581</v>
      </c>
    </row>
    <row r="124" spans="1:10" ht="25.5">
      <c r="A124" s="379">
        <f>VLOOKUP(A123,'3 - PLAN. ORÇAMENTÁRIA'!$A$16:$B$721,2,FALSE)</f>
        <v>96385</v>
      </c>
      <c r="B124" s="159" t="s">
        <v>1350</v>
      </c>
      <c r="C124" s="221" t="s">
        <v>1351</v>
      </c>
      <c r="D124" s="159" t="s">
        <v>119</v>
      </c>
      <c r="E124" s="159" t="s">
        <v>1304</v>
      </c>
      <c r="F124" s="174">
        <v>3.14119E-2</v>
      </c>
      <c r="G124" s="232">
        <f>VLOOKUP(B124,'4 - R. ANALÍTICO - ORIGINAIS'!$B$9:$H$4132,6,FALSE)</f>
        <v>75.08</v>
      </c>
      <c r="H124" s="380">
        <f t="shared" ref="H124:H129" si="15">F124*G124</f>
        <v>2.358405452</v>
      </c>
      <c r="I124" s="261">
        <f>VLOOKUP(A123,'3 - PLAN. ORÇAMENTÁRIA'!$A$17:$F$721,6,FALSE)</f>
        <v>1781.81</v>
      </c>
      <c r="J124" s="381">
        <f t="shared" ref="J124:J129" si="16">F124*I124</f>
        <v>55.970037538999996</v>
      </c>
    </row>
    <row r="125" spans="1:10" ht="25.5">
      <c r="A125" s="1"/>
      <c r="B125" s="159" t="s">
        <v>1352</v>
      </c>
      <c r="C125" s="221" t="s">
        <v>1353</v>
      </c>
      <c r="D125" s="159" t="s">
        <v>119</v>
      </c>
      <c r="E125" s="159" t="s">
        <v>1307</v>
      </c>
      <c r="F125" s="174">
        <v>4.2570000000000004E-3</v>
      </c>
      <c r="G125" s="232">
        <f>VLOOKUP(B125,'4 - R. ANALÍTICO - ORIGINAIS'!$B$9:$H$4132,6,FALSE)</f>
        <v>317.85000000000002</v>
      </c>
      <c r="H125" s="380">
        <f t="shared" si="15"/>
        <v>1.3530874500000003</v>
      </c>
      <c r="I125" s="261">
        <f>I124</f>
        <v>1781.81</v>
      </c>
      <c r="J125" s="381">
        <f t="shared" si="16"/>
        <v>7.5851651700000007</v>
      </c>
    </row>
    <row r="126" spans="1:10" ht="25.5">
      <c r="A126" s="1"/>
      <c r="B126" s="159" t="s">
        <v>1354</v>
      </c>
      <c r="C126" s="221" t="s">
        <v>1355</v>
      </c>
      <c r="D126" s="159" t="s">
        <v>119</v>
      </c>
      <c r="E126" s="159" t="s">
        <v>1304</v>
      </c>
      <c r="F126" s="174">
        <v>3.11577E-2</v>
      </c>
      <c r="G126" s="232">
        <f>VLOOKUP(B126,'4 - R. ANALÍTICO - ORIGINAIS'!$B$9:$H$4132,6,FALSE)</f>
        <v>102.39</v>
      </c>
      <c r="H126" s="380">
        <f t="shared" si="15"/>
        <v>3.1902369030000002</v>
      </c>
      <c r="I126" s="261">
        <f>I125</f>
        <v>1781.81</v>
      </c>
      <c r="J126" s="381">
        <f t="shared" si="16"/>
        <v>55.517101437000001</v>
      </c>
    </row>
    <row r="127" spans="1:10" ht="25.5">
      <c r="A127" s="1"/>
      <c r="B127" s="159" t="s">
        <v>1356</v>
      </c>
      <c r="C127" s="221" t="s">
        <v>1357</v>
      </c>
      <c r="D127" s="159" t="s">
        <v>119</v>
      </c>
      <c r="E127" s="159" t="s">
        <v>1307</v>
      </c>
      <c r="F127" s="174">
        <v>4.5111999999999999E-3</v>
      </c>
      <c r="G127" s="232">
        <f>VLOOKUP(B127,'4 - R. ANALÍTICO - ORIGINAIS'!$B$9:$H$4132,6,FALSE)</f>
        <v>259.29000000000002</v>
      </c>
      <c r="H127" s="380">
        <f t="shared" si="15"/>
        <v>1.1697090480000001</v>
      </c>
      <c r="I127" s="261">
        <f>I126</f>
        <v>1781.81</v>
      </c>
      <c r="J127" s="381">
        <f t="shared" si="16"/>
        <v>8.0381012720000005</v>
      </c>
    </row>
    <row r="128" spans="1:10" ht="25.5">
      <c r="A128" s="1"/>
      <c r="B128" s="159" t="s">
        <v>1358</v>
      </c>
      <c r="C128" s="221" t="s">
        <v>1359</v>
      </c>
      <c r="D128" s="159" t="s">
        <v>119</v>
      </c>
      <c r="E128" s="159" t="s">
        <v>1304</v>
      </c>
      <c r="F128" s="174">
        <v>2.5237800000000001E-2</v>
      </c>
      <c r="G128" s="232">
        <f>VLOOKUP(B128,'4 - R. ANALÍTICO - ORIGINAIS'!$B$9:$H$4132,6,FALSE)</f>
        <v>70.62</v>
      </c>
      <c r="H128" s="380">
        <f t="shared" si="15"/>
        <v>1.7822934360000002</v>
      </c>
      <c r="I128" s="261">
        <f>I127</f>
        <v>1781.81</v>
      </c>
      <c r="J128" s="381">
        <f t="shared" si="16"/>
        <v>44.968964417999999</v>
      </c>
    </row>
    <row r="129" spans="1:10" ht="25.5">
      <c r="A129" s="1"/>
      <c r="B129" s="159" t="s">
        <v>1360</v>
      </c>
      <c r="C129" s="221" t="s">
        <v>1361</v>
      </c>
      <c r="D129" s="159" t="s">
        <v>119</v>
      </c>
      <c r="E129" s="159" t="s">
        <v>1307</v>
      </c>
      <c r="F129" s="174">
        <v>1.04312E-2</v>
      </c>
      <c r="G129" s="232">
        <f>VLOOKUP(B129,'4 - R. ANALÍTICO - ORIGINAIS'!$B$9:$H$4132,6,FALSE)</f>
        <v>171.22</v>
      </c>
      <c r="H129" s="380">
        <f t="shared" si="15"/>
        <v>1.786030064</v>
      </c>
      <c r="I129" s="261">
        <f>I128</f>
        <v>1781.81</v>
      </c>
      <c r="J129" s="381">
        <f t="shared" si="16"/>
        <v>18.586416472</v>
      </c>
    </row>
    <row r="130" spans="1:10" ht="15">
      <c r="A130" s="1"/>
      <c r="B130" s="222"/>
      <c r="C130" s="222"/>
      <c r="D130" s="222"/>
      <c r="E130" s="222"/>
      <c r="F130" s="385" t="s">
        <v>1308</v>
      </c>
      <c r="G130" s="385"/>
      <c r="H130" s="102">
        <f>SUM(H124:H129)</f>
        <v>11.639762353</v>
      </c>
      <c r="I130" s="257"/>
      <c r="J130" s="257"/>
    </row>
    <row r="131" spans="1:10" ht="15">
      <c r="A131" s="1"/>
      <c r="B131" s="1"/>
      <c r="C131" s="1"/>
      <c r="D131" s="1"/>
      <c r="E131" s="1"/>
      <c r="F131" s="1"/>
      <c r="G131" s="1"/>
      <c r="H131" s="1"/>
      <c r="I131" s="257"/>
      <c r="J131" s="257"/>
    </row>
    <row r="132" spans="1:10" ht="25.5">
      <c r="A132" s="178" t="s">
        <v>196</v>
      </c>
      <c r="B132" s="378" t="s">
        <v>1301</v>
      </c>
      <c r="C132" s="378"/>
      <c r="D132" s="103" t="s">
        <v>579</v>
      </c>
      <c r="E132" s="103" t="s">
        <v>580</v>
      </c>
      <c r="F132" s="103" t="s">
        <v>581</v>
      </c>
      <c r="G132" s="103" t="s">
        <v>582</v>
      </c>
      <c r="H132" s="103" t="s">
        <v>583</v>
      </c>
      <c r="I132" s="178" t="s">
        <v>791</v>
      </c>
      <c r="J132" s="178" t="s">
        <v>581</v>
      </c>
    </row>
    <row r="133" spans="1:10" ht="38.25">
      <c r="A133" s="379" t="str">
        <f>VLOOKUP(A132,'3 - PLAN. ORÇAMENTÁRIA'!$A$16:$B$721,2,FALSE)</f>
        <v>CCU 036</v>
      </c>
      <c r="B133" s="159">
        <v>90675</v>
      </c>
      <c r="C133" s="221" t="s">
        <v>1366</v>
      </c>
      <c r="D133" s="159" t="s">
        <v>119</v>
      </c>
      <c r="E133" s="159" t="s">
        <v>1304</v>
      </c>
      <c r="F133" s="174">
        <v>6.3740000000000005E-2</v>
      </c>
      <c r="G133" s="232">
        <f>VLOOKUP(B133,'5 - R. ANALÍTICO - MODIFICAD'!$B$27:$H$1212,6,FALSE)</f>
        <v>336.65</v>
      </c>
      <c r="H133" s="380">
        <f>F133*G133</f>
        <v>21.458071</v>
      </c>
      <c r="I133" s="261">
        <f>VLOOKUP(A132,'3 - PLAN. ORÇAMENTÁRIA'!$A$17:$F$721,6,FALSE)</f>
        <v>523</v>
      </c>
      <c r="J133" s="381">
        <f>F133*I133</f>
        <v>33.336020000000005</v>
      </c>
    </row>
    <row r="134" spans="1:10" ht="38.25">
      <c r="A134" s="1"/>
      <c r="B134" s="159" t="s">
        <v>2562</v>
      </c>
      <c r="C134" s="221" t="s">
        <v>1367</v>
      </c>
      <c r="D134" s="159" t="s">
        <v>119</v>
      </c>
      <c r="E134" s="159" t="s">
        <v>1307</v>
      </c>
      <c r="F134" s="174">
        <v>2.596E-2</v>
      </c>
      <c r="G134" s="232">
        <f>VLOOKUP(B134,'5 - R. ANALÍTICO - MODIFICAD'!$B$27:$H$1212,6,FALSE)</f>
        <v>761.64</v>
      </c>
      <c r="H134" s="380">
        <f>F134*G134</f>
        <v>19.772174400000001</v>
      </c>
      <c r="I134" s="261">
        <f>I133</f>
        <v>523</v>
      </c>
      <c r="J134" s="381">
        <f>F134*I134</f>
        <v>13.57708</v>
      </c>
    </row>
    <row r="135" spans="1:10" ht="15">
      <c r="A135" s="1"/>
      <c r="B135" s="222"/>
      <c r="C135" s="222"/>
      <c r="D135" s="222"/>
      <c r="E135" s="222"/>
      <c r="F135" s="385" t="s">
        <v>1308</v>
      </c>
      <c r="G135" s="385"/>
      <c r="H135" s="102">
        <f>SUM(H133:H134)</f>
        <v>41.230245400000001</v>
      </c>
      <c r="I135" s="257"/>
      <c r="J135" s="257"/>
    </row>
    <row r="136" spans="1:10" ht="15">
      <c r="A136" s="1"/>
      <c r="B136" s="1"/>
      <c r="C136" s="1"/>
      <c r="D136" s="1"/>
      <c r="E136" s="1"/>
      <c r="F136" s="1"/>
      <c r="G136" s="1"/>
      <c r="H136" s="1"/>
      <c r="I136" s="257"/>
      <c r="J136" s="257"/>
    </row>
    <row r="137" spans="1:10" ht="25.5">
      <c r="A137" s="178" t="s">
        <v>2865</v>
      </c>
      <c r="B137" s="378" t="s">
        <v>1301</v>
      </c>
      <c r="C137" s="378"/>
      <c r="D137" s="103" t="s">
        <v>579</v>
      </c>
      <c r="E137" s="103" t="s">
        <v>580</v>
      </c>
      <c r="F137" s="103" t="s">
        <v>581</v>
      </c>
      <c r="G137" s="103" t="s">
        <v>582</v>
      </c>
      <c r="H137" s="103" t="s">
        <v>583</v>
      </c>
      <c r="I137" s="178" t="s">
        <v>791</v>
      </c>
      <c r="J137" s="178" t="s">
        <v>581</v>
      </c>
    </row>
    <row r="138" spans="1:10" ht="25.5">
      <c r="A138" s="379">
        <f>VLOOKUP(A137,'3 - PLAN. ORÇAMENTÁRIA'!$A$16:$B$721,2,FALSE)</f>
        <v>95601</v>
      </c>
      <c r="B138" s="159" t="s">
        <v>1381</v>
      </c>
      <c r="C138" s="221" t="s">
        <v>1382</v>
      </c>
      <c r="D138" s="159" t="s">
        <v>119</v>
      </c>
      <c r="E138" s="159" t="s">
        <v>1304</v>
      </c>
      <c r="F138" s="174">
        <v>0.20030000000000001</v>
      </c>
      <c r="G138" s="232">
        <f>VLOOKUP(B138,'4 - R. ANALÍTICO - ORIGINAIS'!$B$9:$H$4132,6,FALSE)</f>
        <v>26.85</v>
      </c>
      <c r="H138" s="380">
        <f>F138*G138</f>
        <v>5.3780550000000007</v>
      </c>
      <c r="I138" s="261">
        <f>VLOOKUP(A137,'3 - PLAN. ORÇAMENTÁRIA'!$A$17:$F$721,6,FALSE)</f>
        <v>77</v>
      </c>
      <c r="J138" s="381">
        <f>F138*I138</f>
        <v>15.4231</v>
      </c>
    </row>
    <row r="139" spans="1:10" ht="25.5">
      <c r="A139" s="1"/>
      <c r="B139" s="159" t="s">
        <v>1383</v>
      </c>
      <c r="C139" s="221" t="s">
        <v>1384</v>
      </c>
      <c r="D139" s="159" t="s">
        <v>119</v>
      </c>
      <c r="E139" s="159" t="s">
        <v>1307</v>
      </c>
      <c r="F139" s="174">
        <v>0.16270000000000001</v>
      </c>
      <c r="G139" s="232">
        <f>VLOOKUP(B139,'4 - R. ANALÍTICO - ORIGINAIS'!$B$9:$H$4132,6,FALSE)</f>
        <v>28.94</v>
      </c>
      <c r="H139" s="380">
        <f>F139*G139</f>
        <v>4.7085380000000008</v>
      </c>
      <c r="I139" s="261">
        <f>I138</f>
        <v>77</v>
      </c>
      <c r="J139" s="381">
        <f>F139*I139</f>
        <v>12.527900000000001</v>
      </c>
    </row>
    <row r="140" spans="1:10" ht="15">
      <c r="A140" s="1"/>
      <c r="B140" s="222"/>
      <c r="C140" s="222"/>
      <c r="D140" s="222"/>
      <c r="E140" s="222"/>
      <c r="F140" s="385" t="s">
        <v>1308</v>
      </c>
      <c r="G140" s="385"/>
      <c r="H140" s="102">
        <f>SUM(H138:H139)</f>
        <v>10.086593000000001</v>
      </c>
      <c r="I140" s="257"/>
      <c r="J140" s="257"/>
    </row>
    <row r="141" spans="1:10" ht="15">
      <c r="A141" s="1"/>
      <c r="B141" s="1"/>
      <c r="C141" s="1"/>
      <c r="D141" s="1"/>
      <c r="E141" s="1"/>
      <c r="F141" s="1"/>
      <c r="G141" s="1"/>
      <c r="H141" s="1"/>
      <c r="I141" s="257"/>
      <c r="J141" s="257"/>
    </row>
    <row r="142" spans="1:10" ht="25.5">
      <c r="A142" s="178" t="s">
        <v>209</v>
      </c>
      <c r="B142" s="378" t="s">
        <v>1301</v>
      </c>
      <c r="C142" s="378"/>
      <c r="D142" s="103" t="s">
        <v>579</v>
      </c>
      <c r="E142" s="103" t="s">
        <v>580</v>
      </c>
      <c r="F142" s="103" t="s">
        <v>581</v>
      </c>
      <c r="G142" s="103" t="s">
        <v>582</v>
      </c>
      <c r="H142" s="103" t="s">
        <v>583</v>
      </c>
      <c r="I142" s="178" t="s">
        <v>791</v>
      </c>
      <c r="J142" s="178" t="s">
        <v>581</v>
      </c>
    </row>
    <row r="143" spans="1:10" ht="25.5">
      <c r="A143" s="379">
        <f>VLOOKUP(A142,'3 - PLAN. ORÇAMENTÁRIA'!$A$16:$B$721,2,FALSE)</f>
        <v>101616</v>
      </c>
      <c r="B143" s="159" t="s">
        <v>1385</v>
      </c>
      <c r="C143" s="221" t="s">
        <v>1386</v>
      </c>
      <c r="D143" s="159" t="s">
        <v>119</v>
      </c>
      <c r="E143" s="159" t="s">
        <v>1304</v>
      </c>
      <c r="F143" s="174">
        <v>3.5999999999999999E-3</v>
      </c>
      <c r="G143" s="232">
        <f>VLOOKUP(B143,'4 - R. ANALÍTICO - ORIGINAIS'!$B$9:$H$4132,6,FALSE)</f>
        <v>27.12</v>
      </c>
      <c r="H143" s="380">
        <f>F143*G143</f>
        <v>9.7631999999999997E-2</v>
      </c>
      <c r="I143" s="261">
        <f>VLOOKUP(A142,'3 - PLAN. ORÇAMENTÁRIA'!$A$17:$F$721,6,FALSE)</f>
        <v>24.57</v>
      </c>
      <c r="J143" s="381">
        <f>F143*I143</f>
        <v>8.8452000000000003E-2</v>
      </c>
    </row>
    <row r="144" spans="1:10" ht="25.5">
      <c r="A144" s="1"/>
      <c r="B144" s="159" t="s">
        <v>1387</v>
      </c>
      <c r="C144" s="221" t="s">
        <v>1388</v>
      </c>
      <c r="D144" s="159" t="s">
        <v>119</v>
      </c>
      <c r="E144" s="159" t="s">
        <v>1307</v>
      </c>
      <c r="F144" s="174">
        <v>3.5999999999999999E-3</v>
      </c>
      <c r="G144" s="232">
        <f>VLOOKUP(B144,'4 - R. ANALÍTICO - ORIGINAIS'!$B$9:$H$4132,6,FALSE)</f>
        <v>34.299999999999997</v>
      </c>
      <c r="H144" s="380">
        <f>F144*G144</f>
        <v>0.12347999999999999</v>
      </c>
      <c r="I144" s="261">
        <f>I143</f>
        <v>24.57</v>
      </c>
      <c r="J144" s="381">
        <f>F144*I144</f>
        <v>8.8452000000000003E-2</v>
      </c>
    </row>
    <row r="145" spans="1:10" ht="15">
      <c r="A145" s="1"/>
      <c r="B145" s="222"/>
      <c r="C145" s="222"/>
      <c r="D145" s="222"/>
      <c r="E145" s="222"/>
      <c r="F145" s="385" t="s">
        <v>1308</v>
      </c>
      <c r="G145" s="385"/>
      <c r="H145" s="102">
        <f>SUM(H143:H144)</f>
        <v>0.22111199999999998</v>
      </c>
      <c r="I145" s="257"/>
      <c r="J145" s="257"/>
    </row>
    <row r="146" spans="1:10" ht="15">
      <c r="A146" s="1"/>
      <c r="B146" s="1"/>
      <c r="C146" s="1"/>
      <c r="D146" s="1"/>
      <c r="E146" s="1"/>
      <c r="F146" s="1"/>
      <c r="G146" s="1"/>
      <c r="H146" s="1"/>
      <c r="I146" s="257"/>
      <c r="J146" s="257"/>
    </row>
    <row r="147" spans="1:10" ht="25.5">
      <c r="A147" s="178" t="s">
        <v>214</v>
      </c>
      <c r="B147" s="378" t="s">
        <v>1301</v>
      </c>
      <c r="C147" s="378"/>
      <c r="D147" s="103" t="s">
        <v>579</v>
      </c>
      <c r="E147" s="103" t="s">
        <v>580</v>
      </c>
      <c r="F147" s="103" t="s">
        <v>581</v>
      </c>
      <c r="G147" s="103" t="s">
        <v>582</v>
      </c>
      <c r="H147" s="103" t="s">
        <v>583</v>
      </c>
      <c r="I147" s="178" t="s">
        <v>791</v>
      </c>
      <c r="J147" s="178" t="s">
        <v>581</v>
      </c>
    </row>
    <row r="148" spans="1:10" ht="25.5">
      <c r="A148" s="379">
        <f>VLOOKUP(A147,'3 - PLAN. ORÇAMENTÁRIA'!$A$16:$B$721,2,FALSE)</f>
        <v>95640</v>
      </c>
      <c r="B148" s="159" t="s">
        <v>1302</v>
      </c>
      <c r="C148" s="221" t="s">
        <v>1303</v>
      </c>
      <c r="D148" s="159" t="s">
        <v>119</v>
      </c>
      <c r="E148" s="159" t="s">
        <v>1304</v>
      </c>
      <c r="F148" s="174">
        <v>9.8000000000000004E-2</v>
      </c>
      <c r="G148" s="232">
        <f>VLOOKUP(B148,'4 - R. ANALÍTICO - ORIGINAIS'!$B$9:$H$4132,6,FALSE)</f>
        <v>26.18</v>
      </c>
      <c r="H148" s="380">
        <f>F148*G148</f>
        <v>2.5656400000000001</v>
      </c>
      <c r="I148" s="261">
        <f>VLOOKUP(A147,'3 - PLAN. ORÇAMENTÁRIA'!$A$17:$F$721,6,FALSE)</f>
        <v>97.38</v>
      </c>
      <c r="J148" s="381">
        <f>F148*I148</f>
        <v>9.5432399999999991</v>
      </c>
    </row>
    <row r="149" spans="1:10" ht="25.5">
      <c r="A149" s="1"/>
      <c r="B149" s="159" t="s">
        <v>1305</v>
      </c>
      <c r="C149" s="221" t="s">
        <v>1306</v>
      </c>
      <c r="D149" s="159" t="s">
        <v>119</v>
      </c>
      <c r="E149" s="159" t="s">
        <v>1307</v>
      </c>
      <c r="F149" s="174">
        <v>2.4E-2</v>
      </c>
      <c r="G149" s="232">
        <f>VLOOKUP(B149,'4 - R. ANALÍTICO - ORIGINAIS'!$B$9:$H$4132,6,FALSE)</f>
        <v>27.22</v>
      </c>
      <c r="H149" s="380">
        <f>F149*G149</f>
        <v>0.65327999999999997</v>
      </c>
      <c r="I149" s="261">
        <f>I148</f>
        <v>97.38</v>
      </c>
      <c r="J149" s="381">
        <f>F149*I149</f>
        <v>2.3371200000000001</v>
      </c>
    </row>
    <row r="150" spans="1:10" ht="15">
      <c r="A150" s="1"/>
      <c r="B150" s="222"/>
      <c r="C150" s="222"/>
      <c r="D150" s="222"/>
      <c r="E150" s="222"/>
      <c r="F150" s="385" t="s">
        <v>1308</v>
      </c>
      <c r="G150" s="385"/>
      <c r="H150" s="102">
        <f>SUM(H148:H149)</f>
        <v>3.2189200000000002</v>
      </c>
      <c r="I150" s="257"/>
      <c r="J150" s="257"/>
    </row>
    <row r="151" spans="1:10" ht="15">
      <c r="A151" s="1"/>
      <c r="B151" s="1"/>
      <c r="C151" s="1"/>
      <c r="D151" s="1"/>
      <c r="E151" s="1"/>
      <c r="F151" s="1"/>
      <c r="G151" s="1"/>
      <c r="H151" s="1"/>
      <c r="I151" s="257"/>
      <c r="J151" s="257"/>
    </row>
    <row r="152" spans="1:10" ht="25.5">
      <c r="A152" s="178" t="s">
        <v>216</v>
      </c>
      <c r="B152" s="378" t="s">
        <v>1301</v>
      </c>
      <c r="C152" s="378"/>
      <c r="D152" s="103" t="s">
        <v>579</v>
      </c>
      <c r="E152" s="103" t="s">
        <v>580</v>
      </c>
      <c r="F152" s="103" t="s">
        <v>581</v>
      </c>
      <c r="G152" s="103" t="s">
        <v>582</v>
      </c>
      <c r="H152" s="103" t="s">
        <v>583</v>
      </c>
      <c r="I152" s="178" t="s">
        <v>791</v>
      </c>
      <c r="J152" s="178" t="s">
        <v>581</v>
      </c>
    </row>
    <row r="153" spans="1:10" ht="25.5">
      <c r="A153" s="379">
        <f>VLOOKUP(A152,'3 - PLAN. ORÇAMENTÁRIA'!$A$16:$B$721,2,FALSE)</f>
        <v>96557</v>
      </c>
      <c r="B153" s="159" t="s">
        <v>1401</v>
      </c>
      <c r="C153" s="221" t="s">
        <v>1402</v>
      </c>
      <c r="D153" s="159" t="s">
        <v>119</v>
      </c>
      <c r="E153" s="159" t="s">
        <v>1304</v>
      </c>
      <c r="F153" s="174">
        <v>7.4999999999999997E-2</v>
      </c>
      <c r="G153" s="232">
        <f>VLOOKUP(B153,'4 - R. ANALÍTICO - ORIGINAIS'!$B$9:$H$4132,6,FALSE)</f>
        <v>0.53</v>
      </c>
      <c r="H153" s="380">
        <f>F153*G153</f>
        <v>3.9750000000000001E-2</v>
      </c>
      <c r="I153" s="261">
        <f>VLOOKUP(A152,'3 - PLAN. ORÇAMENTÁRIA'!$A$17:$F$721,6,FALSE)</f>
        <v>14.31</v>
      </c>
      <c r="J153" s="381">
        <f>F153*I153</f>
        <v>1.07325</v>
      </c>
    </row>
    <row r="154" spans="1:10" ht="25.5">
      <c r="A154" s="1"/>
      <c r="B154" s="159" t="s">
        <v>1403</v>
      </c>
      <c r="C154" s="221" t="s">
        <v>1404</v>
      </c>
      <c r="D154" s="159" t="s">
        <v>119</v>
      </c>
      <c r="E154" s="159" t="s">
        <v>1307</v>
      </c>
      <c r="F154" s="174">
        <v>9.1999999999999998E-2</v>
      </c>
      <c r="G154" s="232">
        <f>VLOOKUP(B154,'4 - R. ANALÍTICO - ORIGINAIS'!$B$9:$H$4132,6,FALSE)</f>
        <v>1.23</v>
      </c>
      <c r="H154" s="380">
        <f>F154*G154</f>
        <v>0.11316</v>
      </c>
      <c r="I154" s="261">
        <f>I153</f>
        <v>14.31</v>
      </c>
      <c r="J154" s="381">
        <f>F154*I154</f>
        <v>1.3165200000000001</v>
      </c>
    </row>
    <row r="155" spans="1:10" ht="15">
      <c r="A155" s="1"/>
      <c r="B155" s="222"/>
      <c r="C155" s="222"/>
      <c r="D155" s="222"/>
      <c r="E155" s="222"/>
      <c r="F155" s="385" t="s">
        <v>1308</v>
      </c>
      <c r="G155" s="385"/>
      <c r="H155" s="102">
        <f>SUM(H153:H154)</f>
        <v>0.15290999999999999</v>
      </c>
      <c r="I155" s="257"/>
      <c r="J155" s="257"/>
    </row>
    <row r="156" spans="1:10" ht="15">
      <c r="A156" s="1"/>
      <c r="B156" s="1"/>
      <c r="C156" s="1"/>
      <c r="D156" s="1"/>
      <c r="E156" s="1"/>
      <c r="F156" s="1"/>
      <c r="G156" s="1"/>
      <c r="H156" s="1"/>
      <c r="I156" s="257"/>
      <c r="J156" s="257"/>
    </row>
    <row r="157" spans="1:10" ht="25.5">
      <c r="A157" s="178" t="s">
        <v>218</v>
      </c>
      <c r="B157" s="378" t="s">
        <v>1301</v>
      </c>
      <c r="C157" s="378"/>
      <c r="D157" s="103" t="s">
        <v>579</v>
      </c>
      <c r="E157" s="103" t="s">
        <v>580</v>
      </c>
      <c r="F157" s="103" t="s">
        <v>581</v>
      </c>
      <c r="G157" s="103" t="s">
        <v>582</v>
      </c>
      <c r="H157" s="103" t="s">
        <v>583</v>
      </c>
      <c r="I157" s="178" t="s">
        <v>791</v>
      </c>
      <c r="J157" s="178" t="s">
        <v>581</v>
      </c>
    </row>
    <row r="158" spans="1:10" ht="25.5">
      <c r="A158" s="379">
        <f>VLOOKUP(A157,'3 - PLAN. ORÇAMENTÁRIA'!$A$16:$B$721,2,FALSE)</f>
        <v>93382</v>
      </c>
      <c r="B158" s="159" t="s">
        <v>1350</v>
      </c>
      <c r="C158" s="221" t="s">
        <v>1351</v>
      </c>
      <c r="D158" s="159" t="s">
        <v>119</v>
      </c>
      <c r="E158" s="159" t="s">
        <v>1304</v>
      </c>
      <c r="F158" s="174">
        <v>5.9999999999999995E-4</v>
      </c>
      <c r="G158" s="232">
        <f>VLOOKUP(B158,'4 - R. ANALÍTICO - ORIGINAIS'!$B$9:$H$4132,6,FALSE)</f>
        <v>75.08</v>
      </c>
      <c r="H158" s="380">
        <f>F158*G158</f>
        <v>4.5047999999999998E-2</v>
      </c>
      <c r="I158" s="261">
        <f>VLOOKUP(A157,'3 - PLAN. ORÇAMENTÁRIA'!$A$17:$F$721,6,FALSE)</f>
        <v>11.77</v>
      </c>
      <c r="J158" s="381">
        <f>F158*I158</f>
        <v>7.0619999999999988E-3</v>
      </c>
    </row>
    <row r="159" spans="1:10" ht="25.5">
      <c r="A159" s="1"/>
      <c r="B159" s="159" t="s">
        <v>1352</v>
      </c>
      <c r="C159" s="221" t="s">
        <v>1353</v>
      </c>
      <c r="D159" s="159" t="s">
        <v>119</v>
      </c>
      <c r="E159" s="159" t="s">
        <v>1307</v>
      </c>
      <c r="F159" s="174">
        <v>5.4000000000000003E-3</v>
      </c>
      <c r="G159" s="232">
        <f>VLOOKUP(B159,'4 - R. ANALÍTICO - ORIGINAIS'!$B$9:$H$4132,6,FALSE)</f>
        <v>317.85000000000002</v>
      </c>
      <c r="H159" s="380">
        <f>F159*G159</f>
        <v>1.7163900000000003</v>
      </c>
      <c r="I159" s="261">
        <f>I158</f>
        <v>11.77</v>
      </c>
      <c r="J159" s="381">
        <f>F159*I159</f>
        <v>6.3558000000000003E-2</v>
      </c>
    </row>
    <row r="160" spans="1:10" ht="25.5">
      <c r="A160" s="1"/>
      <c r="B160" s="159" t="s">
        <v>1387</v>
      </c>
      <c r="C160" s="221" t="s">
        <v>1388</v>
      </c>
      <c r="D160" s="159" t="s">
        <v>119</v>
      </c>
      <c r="E160" s="159" t="s">
        <v>1307</v>
      </c>
      <c r="F160" s="174">
        <v>0.19620000000000001</v>
      </c>
      <c r="G160" s="232">
        <f>VLOOKUP(B160,'4 - R. ANALÍTICO - ORIGINAIS'!$B$9:$H$4132,6,FALSE)</f>
        <v>34.299999999999997</v>
      </c>
      <c r="H160" s="380">
        <f>F160*G160</f>
        <v>6.72966</v>
      </c>
      <c r="I160" s="261">
        <f>I159</f>
        <v>11.77</v>
      </c>
      <c r="J160" s="381">
        <f>F160*I160</f>
        <v>2.3092740000000003</v>
      </c>
    </row>
    <row r="161" spans="1:10" ht="15">
      <c r="A161" s="1"/>
      <c r="B161" s="222"/>
      <c r="C161" s="222"/>
      <c r="D161" s="222"/>
      <c r="E161" s="222"/>
      <c r="F161" s="385" t="s">
        <v>1308</v>
      </c>
      <c r="G161" s="385"/>
      <c r="H161" s="102">
        <f>SUM(H158:H160)</f>
        <v>8.4910980000000009</v>
      </c>
      <c r="I161" s="257"/>
      <c r="J161" s="257"/>
    </row>
    <row r="162" spans="1:10" ht="15">
      <c r="A162" s="1"/>
      <c r="B162" s="1"/>
      <c r="C162" s="1"/>
      <c r="D162" s="1"/>
      <c r="E162" s="1"/>
      <c r="F162" s="1"/>
      <c r="G162" s="1"/>
      <c r="H162" s="1"/>
      <c r="I162" s="257"/>
      <c r="J162" s="257"/>
    </row>
    <row r="163" spans="1:10" ht="25.5">
      <c r="A163" s="178" t="s">
        <v>225</v>
      </c>
      <c r="B163" s="378" t="s">
        <v>1301</v>
      </c>
      <c r="C163" s="378"/>
      <c r="D163" s="103" t="s">
        <v>579</v>
      </c>
      <c r="E163" s="103" t="s">
        <v>580</v>
      </c>
      <c r="F163" s="103" t="s">
        <v>581</v>
      </c>
      <c r="G163" s="103" t="s">
        <v>582</v>
      </c>
      <c r="H163" s="103" t="s">
        <v>583</v>
      </c>
      <c r="I163" s="178" t="s">
        <v>791</v>
      </c>
      <c r="J163" s="178" t="s">
        <v>581</v>
      </c>
    </row>
    <row r="164" spans="1:10" ht="25.5">
      <c r="A164" s="379">
        <f>VLOOKUP(A163,'3 - PLAN. ORÇAMENTÁRIA'!$A$16:$B$721,2,FALSE)</f>
        <v>101616</v>
      </c>
      <c r="B164" s="159" t="s">
        <v>1385</v>
      </c>
      <c r="C164" s="221" t="s">
        <v>1386</v>
      </c>
      <c r="D164" s="159" t="s">
        <v>119</v>
      </c>
      <c r="E164" s="159" t="s">
        <v>1304</v>
      </c>
      <c r="F164" s="174">
        <v>3.5999999999999999E-3</v>
      </c>
      <c r="G164" s="232">
        <f>VLOOKUP(B164,'4 - R. ANALÍTICO - ORIGINAIS'!$B$9:$H$4132,6,FALSE)</f>
        <v>27.12</v>
      </c>
      <c r="H164" s="380">
        <f>F164*G164</f>
        <v>9.7631999999999997E-2</v>
      </c>
      <c r="I164" s="261">
        <f>VLOOKUP(A163,'3 - PLAN. ORÇAMENTÁRIA'!$A$17:$F$721,6,FALSE)</f>
        <v>57.95</v>
      </c>
      <c r="J164" s="381">
        <f>F164*I164</f>
        <v>0.20862</v>
      </c>
    </row>
    <row r="165" spans="1:10" ht="25.5">
      <c r="A165" s="1"/>
      <c r="B165" s="159" t="s">
        <v>1387</v>
      </c>
      <c r="C165" s="221" t="s">
        <v>1388</v>
      </c>
      <c r="D165" s="159" t="s">
        <v>119</v>
      </c>
      <c r="E165" s="159" t="s">
        <v>1307</v>
      </c>
      <c r="F165" s="174">
        <v>3.5999999999999999E-3</v>
      </c>
      <c r="G165" s="232">
        <f>VLOOKUP(B165,'4 - R. ANALÍTICO - ORIGINAIS'!$B$9:$H$4132,6,FALSE)</f>
        <v>34.299999999999997</v>
      </c>
      <c r="H165" s="380">
        <f>F165*G165</f>
        <v>0.12347999999999999</v>
      </c>
      <c r="I165" s="261">
        <f>I164</f>
        <v>57.95</v>
      </c>
      <c r="J165" s="381">
        <f>F165*I165</f>
        <v>0.20862</v>
      </c>
    </row>
    <row r="166" spans="1:10" ht="15">
      <c r="A166" s="1"/>
      <c r="B166" s="222"/>
      <c r="C166" s="222"/>
      <c r="D166" s="222"/>
      <c r="E166" s="222"/>
      <c r="F166" s="385" t="s">
        <v>1308</v>
      </c>
      <c r="G166" s="385"/>
      <c r="H166" s="102">
        <f>SUM(H164:H165)</f>
        <v>0.22111199999999998</v>
      </c>
      <c r="I166" s="257"/>
      <c r="J166" s="257"/>
    </row>
    <row r="167" spans="1:10" ht="15">
      <c r="A167" s="1"/>
      <c r="B167" s="1"/>
      <c r="C167" s="1"/>
      <c r="D167" s="1"/>
      <c r="E167" s="1"/>
      <c r="F167" s="1"/>
      <c r="G167" s="1"/>
      <c r="H167" s="1"/>
      <c r="I167" s="257"/>
      <c r="J167" s="257"/>
    </row>
    <row r="168" spans="1:10" ht="25.5">
      <c r="A168" s="178" t="s">
        <v>227</v>
      </c>
      <c r="B168" s="378" t="s">
        <v>1301</v>
      </c>
      <c r="C168" s="378"/>
      <c r="D168" s="103" t="s">
        <v>579</v>
      </c>
      <c r="E168" s="103" t="s">
        <v>580</v>
      </c>
      <c r="F168" s="103" t="s">
        <v>581</v>
      </c>
      <c r="G168" s="103" t="s">
        <v>582</v>
      </c>
      <c r="H168" s="103" t="s">
        <v>583</v>
      </c>
      <c r="I168" s="178" t="s">
        <v>791</v>
      </c>
      <c r="J168" s="178" t="s">
        <v>581</v>
      </c>
    </row>
    <row r="169" spans="1:10" ht="25.5">
      <c r="A169" s="379">
        <f>VLOOKUP(A168,'3 - PLAN. ORÇAMENTÁRIA'!$A$16:$B$721,2,FALSE)</f>
        <v>96542</v>
      </c>
      <c r="B169" s="159" t="s">
        <v>1302</v>
      </c>
      <c r="C169" s="221" t="s">
        <v>1303</v>
      </c>
      <c r="D169" s="159" t="s">
        <v>119</v>
      </c>
      <c r="E169" s="159" t="s">
        <v>1304</v>
      </c>
      <c r="F169" s="174">
        <v>5.6000000000000001E-2</v>
      </c>
      <c r="G169" s="232">
        <f>VLOOKUP(B169,'4 - R. ANALÍTICO - ORIGINAIS'!$B$9:$H$4132,6,FALSE)</f>
        <v>26.18</v>
      </c>
      <c r="H169" s="380">
        <f>F169*G169</f>
        <v>1.46608</v>
      </c>
      <c r="I169" s="261">
        <f>VLOOKUP(A168,'3 - PLAN. ORÇAMENTÁRIA'!$A$17:$F$721,6,FALSE)</f>
        <v>170.08</v>
      </c>
      <c r="J169" s="381">
        <f>F169*I169</f>
        <v>9.5244800000000005</v>
      </c>
    </row>
    <row r="170" spans="1:10" ht="25.5">
      <c r="A170" s="1"/>
      <c r="B170" s="159" t="s">
        <v>1305</v>
      </c>
      <c r="C170" s="221" t="s">
        <v>1306</v>
      </c>
      <c r="D170" s="159" t="s">
        <v>119</v>
      </c>
      <c r="E170" s="159" t="s">
        <v>1307</v>
      </c>
      <c r="F170" s="174">
        <v>1.4E-2</v>
      </c>
      <c r="G170" s="232">
        <f>VLOOKUP(B170,'4 - R. ANALÍTICO - ORIGINAIS'!$B$9:$H$4132,6,FALSE)</f>
        <v>27.22</v>
      </c>
      <c r="H170" s="380">
        <f>F170*G170</f>
        <v>0.38107999999999997</v>
      </c>
      <c r="I170" s="261">
        <f>I169</f>
        <v>170.08</v>
      </c>
      <c r="J170" s="381">
        <f>F170*I170</f>
        <v>2.3811200000000001</v>
      </c>
    </row>
    <row r="171" spans="1:10" ht="15">
      <c r="A171" s="1"/>
      <c r="B171" s="222"/>
      <c r="C171" s="222"/>
      <c r="D171" s="222"/>
      <c r="E171" s="222"/>
      <c r="F171" s="385" t="s">
        <v>1308</v>
      </c>
      <c r="G171" s="385"/>
      <c r="H171" s="102">
        <f>SUM(H169:H170)</f>
        <v>1.8471600000000001</v>
      </c>
      <c r="I171" s="257"/>
      <c r="J171" s="257"/>
    </row>
    <row r="172" spans="1:10" ht="15">
      <c r="A172" s="1"/>
      <c r="B172" s="1"/>
      <c r="C172" s="1"/>
      <c r="D172" s="1"/>
      <c r="E172" s="1"/>
      <c r="F172" s="1"/>
      <c r="G172" s="1"/>
      <c r="H172" s="1"/>
      <c r="I172" s="257"/>
      <c r="J172" s="257"/>
    </row>
    <row r="173" spans="1:10" ht="25.5">
      <c r="A173" s="178" t="s">
        <v>229</v>
      </c>
      <c r="B173" s="378" t="s">
        <v>1301</v>
      </c>
      <c r="C173" s="378"/>
      <c r="D173" s="103" t="s">
        <v>579</v>
      </c>
      <c r="E173" s="103" t="s">
        <v>580</v>
      </c>
      <c r="F173" s="103" t="s">
        <v>581</v>
      </c>
      <c r="G173" s="103" t="s">
        <v>582</v>
      </c>
      <c r="H173" s="103" t="s">
        <v>583</v>
      </c>
      <c r="I173" s="178" t="s">
        <v>791</v>
      </c>
      <c r="J173" s="178" t="s">
        <v>581</v>
      </c>
    </row>
    <row r="174" spans="1:10" ht="25.5">
      <c r="A174" s="379">
        <f>VLOOKUP(A173,'3 - PLAN. ORÇAMENTÁRIA'!$A$16:$B$721,2,FALSE)</f>
        <v>96557</v>
      </c>
      <c r="B174" s="159" t="s">
        <v>1401</v>
      </c>
      <c r="C174" s="221" t="s">
        <v>1402</v>
      </c>
      <c r="D174" s="159" t="s">
        <v>119</v>
      </c>
      <c r="E174" s="159" t="s">
        <v>1304</v>
      </c>
      <c r="F174" s="174">
        <v>7.4999999999999997E-2</v>
      </c>
      <c r="G174" s="232">
        <f>VLOOKUP(B174,'4 - R. ANALÍTICO - ORIGINAIS'!$B$9:$H$4132,6,FALSE)</f>
        <v>0.53</v>
      </c>
      <c r="H174" s="380">
        <f>F174*G174</f>
        <v>3.9750000000000001E-2</v>
      </c>
      <c r="I174" s="261">
        <f>VLOOKUP(A173,'3 - PLAN. ORÇAMENTÁRIA'!$A$17:$F$721,6,FALSE)</f>
        <v>14.59</v>
      </c>
      <c r="J174" s="381">
        <f>F174*I174</f>
        <v>1.0942499999999999</v>
      </c>
    </row>
    <row r="175" spans="1:10" ht="25.5">
      <c r="A175" s="1"/>
      <c r="B175" s="159" t="s">
        <v>1403</v>
      </c>
      <c r="C175" s="221" t="s">
        <v>1404</v>
      </c>
      <c r="D175" s="159" t="s">
        <v>119</v>
      </c>
      <c r="E175" s="159" t="s">
        <v>1307</v>
      </c>
      <c r="F175" s="174">
        <v>9.1999999999999998E-2</v>
      </c>
      <c r="G175" s="232">
        <f>VLOOKUP(B175,'4 - R. ANALÍTICO - ORIGINAIS'!$B$9:$H$4132,6,FALSE)</f>
        <v>1.23</v>
      </c>
      <c r="H175" s="380">
        <f>F175*G175</f>
        <v>0.11316</v>
      </c>
      <c r="I175" s="261">
        <f>I174</f>
        <v>14.59</v>
      </c>
      <c r="J175" s="381">
        <f>F175*I175</f>
        <v>1.3422799999999999</v>
      </c>
    </row>
    <row r="176" spans="1:10" ht="15">
      <c r="A176" s="1"/>
      <c r="B176" s="222"/>
      <c r="C176" s="222"/>
      <c r="D176" s="222"/>
      <c r="E176" s="222"/>
      <c r="F176" s="385" t="s">
        <v>1308</v>
      </c>
      <c r="G176" s="385"/>
      <c r="H176" s="102">
        <f>SUM(H174:H175)</f>
        <v>0.15290999999999999</v>
      </c>
      <c r="I176" s="257"/>
      <c r="J176" s="257"/>
    </row>
    <row r="177" spans="1:10" ht="15">
      <c r="A177" s="1"/>
      <c r="B177" s="1"/>
      <c r="C177" s="1"/>
      <c r="D177" s="1"/>
      <c r="E177" s="1"/>
      <c r="F177" s="1"/>
      <c r="G177" s="1"/>
      <c r="H177" s="1"/>
      <c r="I177" s="257"/>
      <c r="J177" s="257"/>
    </row>
    <row r="178" spans="1:10" ht="25.5">
      <c r="A178" s="178" t="s">
        <v>230</v>
      </c>
      <c r="B178" s="378" t="s">
        <v>1301</v>
      </c>
      <c r="C178" s="378"/>
      <c r="D178" s="103" t="s">
        <v>579</v>
      </c>
      <c r="E178" s="103" t="s">
        <v>580</v>
      </c>
      <c r="F178" s="103" t="s">
        <v>581</v>
      </c>
      <c r="G178" s="103" t="s">
        <v>582</v>
      </c>
      <c r="H178" s="103" t="s">
        <v>583</v>
      </c>
      <c r="I178" s="178" t="s">
        <v>791</v>
      </c>
      <c r="J178" s="178" t="s">
        <v>581</v>
      </c>
    </row>
    <row r="179" spans="1:10" ht="25.5">
      <c r="A179" s="379">
        <f>VLOOKUP(A178,'3 - PLAN. ORÇAMENTÁRIA'!$A$16:$B$721,2,FALSE)</f>
        <v>93382</v>
      </c>
      <c r="B179" s="159" t="s">
        <v>1350</v>
      </c>
      <c r="C179" s="221" t="s">
        <v>1351</v>
      </c>
      <c r="D179" s="159" t="s">
        <v>119</v>
      </c>
      <c r="E179" s="159" t="s">
        <v>1304</v>
      </c>
      <c r="F179" s="174">
        <v>5.9999999999999995E-4</v>
      </c>
      <c r="G179" s="232">
        <f>VLOOKUP(B179,'4 - R. ANALÍTICO - ORIGINAIS'!$B$9:$H$4132,6,FALSE)</f>
        <v>75.08</v>
      </c>
      <c r="H179" s="380">
        <f>F179*G179</f>
        <v>4.5047999999999998E-2</v>
      </c>
      <c r="I179" s="261">
        <f>VLOOKUP(A178,'3 - PLAN. ORÇAMENTÁRIA'!$A$17:$F$721,6,FALSE)</f>
        <v>36.729999999999997</v>
      </c>
      <c r="J179" s="381">
        <f>F179*I179</f>
        <v>2.2037999999999995E-2</v>
      </c>
    </row>
    <row r="180" spans="1:10" ht="25.5">
      <c r="A180" s="1"/>
      <c r="B180" s="159" t="s">
        <v>1352</v>
      </c>
      <c r="C180" s="221" t="s">
        <v>1353</v>
      </c>
      <c r="D180" s="159" t="s">
        <v>119</v>
      </c>
      <c r="E180" s="159" t="s">
        <v>1307</v>
      </c>
      <c r="F180" s="174">
        <v>5.4000000000000003E-3</v>
      </c>
      <c r="G180" s="232">
        <f>VLOOKUP(B180,'4 - R. ANALÍTICO - ORIGINAIS'!$B$9:$H$4132,6,FALSE)</f>
        <v>317.85000000000002</v>
      </c>
      <c r="H180" s="380">
        <f>F180*G180</f>
        <v>1.7163900000000003</v>
      </c>
      <c r="I180" s="261">
        <f>I179</f>
        <v>36.729999999999997</v>
      </c>
      <c r="J180" s="381">
        <f>F180*I180</f>
        <v>0.19834199999999999</v>
      </c>
    </row>
    <row r="181" spans="1:10" ht="25.5">
      <c r="A181" s="1"/>
      <c r="B181" s="159" t="s">
        <v>1387</v>
      </c>
      <c r="C181" s="221" t="s">
        <v>1388</v>
      </c>
      <c r="D181" s="159" t="s">
        <v>119</v>
      </c>
      <c r="E181" s="159" t="s">
        <v>1307</v>
      </c>
      <c r="F181" s="174">
        <v>0.19620000000000001</v>
      </c>
      <c r="G181" s="232">
        <f>VLOOKUP(B181,'4 - R. ANALÍTICO - ORIGINAIS'!$B$9:$H$4132,6,FALSE)</f>
        <v>34.299999999999997</v>
      </c>
      <c r="H181" s="380">
        <f>F181*G181</f>
        <v>6.72966</v>
      </c>
      <c r="I181" s="261">
        <f>I180</f>
        <v>36.729999999999997</v>
      </c>
      <c r="J181" s="381">
        <f>F181*I181</f>
        <v>7.2064259999999996</v>
      </c>
    </row>
    <row r="182" spans="1:10" ht="15">
      <c r="A182" s="1"/>
      <c r="B182" s="222"/>
      <c r="C182" s="222"/>
      <c r="D182" s="222"/>
      <c r="E182" s="222"/>
      <c r="F182" s="385" t="s">
        <v>1308</v>
      </c>
      <c r="G182" s="385"/>
      <c r="H182" s="102">
        <f>SUM(H179:H181)</f>
        <v>8.4910980000000009</v>
      </c>
      <c r="I182" s="257"/>
      <c r="J182" s="257"/>
    </row>
    <row r="183" spans="1:10" ht="15">
      <c r="A183" s="1"/>
      <c r="B183" s="1"/>
      <c r="C183" s="1"/>
      <c r="D183" s="1"/>
      <c r="E183" s="1"/>
      <c r="F183" s="1"/>
      <c r="G183" s="1"/>
      <c r="H183" s="1"/>
      <c r="I183" s="257"/>
      <c r="J183" s="257"/>
    </row>
    <row r="184" spans="1:10" ht="25.5">
      <c r="A184" s="178" t="s">
        <v>2273</v>
      </c>
      <c r="B184" s="378" t="s">
        <v>1301</v>
      </c>
      <c r="C184" s="378"/>
      <c r="D184" s="103" t="s">
        <v>579</v>
      </c>
      <c r="E184" s="103" t="s">
        <v>580</v>
      </c>
      <c r="F184" s="103" t="s">
        <v>581</v>
      </c>
      <c r="G184" s="103" t="s">
        <v>582</v>
      </c>
      <c r="H184" s="103" t="s">
        <v>583</v>
      </c>
      <c r="I184" s="178" t="s">
        <v>791</v>
      </c>
      <c r="J184" s="178" t="s">
        <v>581</v>
      </c>
    </row>
    <row r="185" spans="1:10" ht="25.5">
      <c r="A185" s="379" t="str">
        <f>VLOOKUP(A184,'3 - PLAN. ORÇAMENTÁRIA'!$A$16:$B$721,2,FALSE)</f>
        <v>CCU 012</v>
      </c>
      <c r="B185" s="356" t="s">
        <v>1790</v>
      </c>
      <c r="C185" s="357" t="s">
        <v>1791</v>
      </c>
      <c r="D185" s="356" t="s">
        <v>119</v>
      </c>
      <c r="E185" s="356" t="s">
        <v>1304</v>
      </c>
      <c r="F185" s="358">
        <v>1.4E-3</v>
      </c>
      <c r="G185" s="232">
        <f>VLOOKUP(B185,'4 - R. ANALÍTICO - ORIGINAIS'!$B$9:$H$4132,6,FALSE)</f>
        <v>174.79</v>
      </c>
      <c r="H185" s="380">
        <f>F185*G185</f>
        <v>0.24470599999999998</v>
      </c>
      <c r="I185" s="261">
        <f>VLOOKUP(A184,'3 - PLAN. ORÇAMENTÁRIA'!$A$17:$F$721,6,FALSE)</f>
        <v>3785</v>
      </c>
      <c r="J185" s="381">
        <f>F185*I185</f>
        <v>5.2990000000000004</v>
      </c>
    </row>
    <row r="186" spans="1:10" ht="25.5">
      <c r="A186" s="1"/>
      <c r="B186" s="356" t="s">
        <v>1792</v>
      </c>
      <c r="C186" s="357" t="s">
        <v>1793</v>
      </c>
      <c r="D186" s="356" t="s">
        <v>119</v>
      </c>
      <c r="E186" s="356" t="s">
        <v>1307</v>
      </c>
      <c r="F186" s="358">
        <v>1.5100000000000001E-3</v>
      </c>
      <c r="G186" s="232">
        <f>VLOOKUP(B186,'4 - R. ANALÍTICO - ORIGINAIS'!$B$9:$H$4132,6,FALSE)</f>
        <v>343.98</v>
      </c>
      <c r="H186" s="380">
        <f>F186*G186</f>
        <v>0.51940980000000003</v>
      </c>
      <c r="I186" s="261">
        <f>I185</f>
        <v>3785</v>
      </c>
      <c r="J186" s="381">
        <f>F186*I186</f>
        <v>5.7153499999999999</v>
      </c>
    </row>
    <row r="187" spans="1:10" ht="15">
      <c r="A187" s="1"/>
      <c r="B187" s="222"/>
      <c r="C187" s="222"/>
      <c r="D187" s="222"/>
      <c r="E187" s="222"/>
      <c r="F187" s="385" t="s">
        <v>1308</v>
      </c>
      <c r="G187" s="385"/>
      <c r="H187" s="158">
        <f>SUM(H185:H186)</f>
        <v>0.76411580000000001</v>
      </c>
      <c r="I187" s="257"/>
      <c r="J187" s="257"/>
    </row>
    <row r="188" spans="1:10" ht="15">
      <c r="A188" s="1"/>
      <c r="B188" s="1"/>
      <c r="C188" s="1"/>
      <c r="D188" s="1"/>
      <c r="E188" s="1"/>
      <c r="F188" s="1"/>
      <c r="G188" s="1"/>
      <c r="H188" s="1"/>
      <c r="I188" s="257"/>
      <c r="J188" s="257"/>
    </row>
    <row r="189" spans="1:10" ht="25.5">
      <c r="A189" s="178" t="s">
        <v>2274</v>
      </c>
      <c r="B189" s="648" t="s">
        <v>1301</v>
      </c>
      <c r="C189" s="648"/>
      <c r="D189" s="231" t="s">
        <v>579</v>
      </c>
      <c r="E189" s="231" t="s">
        <v>580</v>
      </c>
      <c r="F189" s="231" t="s">
        <v>581</v>
      </c>
      <c r="G189" s="231" t="s">
        <v>582</v>
      </c>
      <c r="H189" s="103" t="s">
        <v>583</v>
      </c>
      <c r="I189" s="178" t="s">
        <v>791</v>
      </c>
      <c r="J189" s="178" t="s">
        <v>581</v>
      </c>
    </row>
    <row r="190" spans="1:10" ht="25.5">
      <c r="A190" s="379" t="str">
        <f>VLOOKUP(A189,'3 - PLAN. ORÇAMENTÁRIA'!$A$16:$B$721,2,FALSE)</f>
        <v>CCU 140</v>
      </c>
      <c r="B190" s="356" t="s">
        <v>1790</v>
      </c>
      <c r="C190" s="357" t="s">
        <v>1791</v>
      </c>
      <c r="D190" s="356" t="s">
        <v>119</v>
      </c>
      <c r="E190" s="356" t="s">
        <v>1304</v>
      </c>
      <c r="F190" s="358">
        <v>3.6703E-3</v>
      </c>
      <c r="G190" s="232">
        <f>VLOOKUP(B190,'4 - R. ANALÍTICO - ORIGINAIS'!$B$9:$H$4132,6,FALSE)</f>
        <v>174.79</v>
      </c>
      <c r="H190" s="380">
        <f>F190*G190</f>
        <v>0.64153173699999999</v>
      </c>
      <c r="I190" s="261">
        <f>VLOOKUP(A189,'3 - PLAN. ORÇAMENTÁRIA'!$A$17:$F$721,6,FALSE)</f>
        <v>9261.1</v>
      </c>
      <c r="J190" s="381">
        <f>F190*I190</f>
        <v>33.991015330000003</v>
      </c>
    </row>
    <row r="191" spans="1:10" ht="25.5">
      <c r="A191" s="1"/>
      <c r="B191" s="356" t="s">
        <v>1792</v>
      </c>
      <c r="C191" s="357" t="s">
        <v>1793</v>
      </c>
      <c r="D191" s="356" t="s">
        <v>119</v>
      </c>
      <c r="E191" s="356" t="s">
        <v>1307</v>
      </c>
      <c r="F191" s="358">
        <v>3.9667000000000001E-3</v>
      </c>
      <c r="G191" s="232">
        <f>VLOOKUP(B191,'4 - R. ANALÍTICO - ORIGINAIS'!$B$9:$H$4132,6,FALSE)</f>
        <v>343.98</v>
      </c>
      <c r="H191" s="380">
        <f>F191*G191</f>
        <v>1.3644654660000002</v>
      </c>
      <c r="I191" s="261">
        <f>I190</f>
        <v>9261.1</v>
      </c>
      <c r="J191" s="381">
        <f>F191*I191</f>
        <v>36.736005370000001</v>
      </c>
    </row>
    <row r="192" spans="1:10" ht="15">
      <c r="A192" s="1"/>
      <c r="B192" s="222"/>
      <c r="C192" s="222"/>
      <c r="D192" s="222"/>
      <c r="E192" s="222"/>
      <c r="F192" s="385" t="s">
        <v>1308</v>
      </c>
      <c r="G192" s="385"/>
      <c r="H192" s="158">
        <f>SUM(H190:H191)</f>
        <v>2.0059972030000002</v>
      </c>
      <c r="I192" s="257"/>
      <c r="J192" s="257"/>
    </row>
    <row r="193" spans="1:10" ht="15">
      <c r="A193" s="1"/>
      <c r="B193" s="1"/>
      <c r="C193" s="1"/>
      <c r="D193" s="1"/>
      <c r="E193" s="1"/>
      <c r="F193" s="1"/>
      <c r="G193" s="1"/>
      <c r="H193" s="1"/>
      <c r="I193" s="257"/>
      <c r="J193" s="257"/>
    </row>
    <row r="194" spans="1:10" ht="25.5">
      <c r="A194" s="178" t="s">
        <v>891</v>
      </c>
      <c r="B194" s="628" t="s">
        <v>1301</v>
      </c>
      <c r="C194" s="628"/>
      <c r="D194" s="103" t="s">
        <v>579</v>
      </c>
      <c r="E194" s="103" t="s">
        <v>580</v>
      </c>
      <c r="F194" s="103" t="s">
        <v>581</v>
      </c>
      <c r="G194" s="103" t="s">
        <v>582</v>
      </c>
      <c r="H194" s="103" t="s">
        <v>583</v>
      </c>
      <c r="I194" s="178" t="s">
        <v>791</v>
      </c>
      <c r="J194" s="178" t="s">
        <v>581</v>
      </c>
    </row>
    <row r="195" spans="1:10" ht="38.25">
      <c r="A195" s="379" t="str">
        <f>VLOOKUP(A194,'3 - PLAN. ORÇAMENTÁRIA'!$A$16:$B$721,2,FALSE)</f>
        <v>CCU 015</v>
      </c>
      <c r="B195" s="159">
        <v>90675</v>
      </c>
      <c r="C195" s="229" t="s">
        <v>1366</v>
      </c>
      <c r="D195" s="159" t="s">
        <v>119</v>
      </c>
      <c r="E195" s="159" t="s">
        <v>1304</v>
      </c>
      <c r="F195" s="174">
        <v>5.9400000000000001E-2</v>
      </c>
      <c r="G195" s="232">
        <f>VLOOKUP(B195,'5 - R. ANALÍTICO - MODIFICAD'!$B$27:$H$1212,6,FALSE)</f>
        <v>336.65</v>
      </c>
      <c r="H195" s="380">
        <f>F195*G195</f>
        <v>19.99701</v>
      </c>
      <c r="I195" s="261">
        <f>VLOOKUP(A194,'3 - PLAN. ORÇAMENTÁRIA'!$A$17:$F$721,6,FALSE)</f>
        <v>216</v>
      </c>
      <c r="J195" s="381">
        <f>F195*I195</f>
        <v>12.830400000000001</v>
      </c>
    </row>
    <row r="196" spans="1:10" ht="38.25">
      <c r="A196" s="1"/>
      <c r="B196" s="159">
        <v>90674</v>
      </c>
      <c r="C196" s="229" t="s">
        <v>1367</v>
      </c>
      <c r="D196" s="159" t="s">
        <v>119</v>
      </c>
      <c r="E196" s="159" t="s">
        <v>2510</v>
      </c>
      <c r="F196" s="174">
        <v>2.4199999999999999E-2</v>
      </c>
      <c r="G196" s="232">
        <f>VLOOKUP(B196,'5 - R. ANALÍTICO - MODIFICAD'!$B$27:$H$1212,6,FALSE)</f>
        <v>761.64</v>
      </c>
      <c r="H196" s="380">
        <f>F196*G196</f>
        <v>18.431687999999998</v>
      </c>
      <c r="I196" s="261">
        <f>I195</f>
        <v>216</v>
      </c>
      <c r="J196" s="381">
        <f>F196*I196</f>
        <v>5.2271999999999998</v>
      </c>
    </row>
    <row r="197" spans="1:10" ht="15">
      <c r="A197" s="1"/>
      <c r="B197" s="222"/>
      <c r="C197" s="222"/>
      <c r="D197" s="222"/>
      <c r="E197" s="222"/>
      <c r="F197" s="385" t="s">
        <v>1308</v>
      </c>
      <c r="G197" s="385"/>
      <c r="H197" s="102">
        <f>SUM(H195:H196)</f>
        <v>38.428697999999997</v>
      </c>
      <c r="I197" s="257"/>
      <c r="J197" s="257"/>
    </row>
    <row r="198" spans="1:10" ht="15">
      <c r="A198" s="1"/>
      <c r="B198" s="1"/>
      <c r="C198" s="1"/>
      <c r="D198" s="1"/>
      <c r="E198" s="1"/>
      <c r="F198" s="1"/>
      <c r="G198" s="1"/>
      <c r="H198" s="1"/>
      <c r="I198" s="257"/>
      <c r="J198" s="257"/>
    </row>
    <row r="199" spans="1:10" ht="25.5">
      <c r="A199" s="178" t="s">
        <v>2935</v>
      </c>
      <c r="B199" s="378" t="s">
        <v>1301</v>
      </c>
      <c r="C199" s="378"/>
      <c r="D199" s="103" t="s">
        <v>579</v>
      </c>
      <c r="E199" s="103" t="s">
        <v>580</v>
      </c>
      <c r="F199" s="103" t="s">
        <v>581</v>
      </c>
      <c r="G199" s="103" t="s">
        <v>582</v>
      </c>
      <c r="H199" s="103" t="s">
        <v>583</v>
      </c>
      <c r="I199" s="178" t="s">
        <v>791</v>
      </c>
      <c r="J199" s="178" t="s">
        <v>581</v>
      </c>
    </row>
    <row r="200" spans="1:10" ht="25.5">
      <c r="A200" s="379">
        <f>VLOOKUP(A199,'3 - PLAN. ORÇAMENTÁRIA'!$A$16:$B$721,2,FALSE)</f>
        <v>95601</v>
      </c>
      <c r="B200" s="159" t="s">
        <v>1381</v>
      </c>
      <c r="C200" s="221" t="s">
        <v>1382</v>
      </c>
      <c r="D200" s="159" t="s">
        <v>119</v>
      </c>
      <c r="E200" s="159" t="s">
        <v>1304</v>
      </c>
      <c r="F200" s="174">
        <v>0.20030000000000001</v>
      </c>
      <c r="G200" s="232">
        <f>VLOOKUP(B200,'4 - R. ANALÍTICO - ORIGINAIS'!$B$9:$H$4132,6,FALSE)</f>
        <v>26.85</v>
      </c>
      <c r="H200" s="380">
        <f>F200*G200</f>
        <v>5.3780550000000007</v>
      </c>
      <c r="I200" s="261">
        <f>VLOOKUP(A199,'3 - PLAN. ORÇAMENTÁRIA'!$A$17:$F$721,6,FALSE)</f>
        <v>145</v>
      </c>
      <c r="J200" s="381">
        <f>F200*I200</f>
        <v>29.043500000000002</v>
      </c>
    </row>
    <row r="201" spans="1:10" ht="25.5">
      <c r="A201" s="1"/>
      <c r="B201" s="159" t="s">
        <v>1383</v>
      </c>
      <c r="C201" s="221" t="s">
        <v>1384</v>
      </c>
      <c r="D201" s="159" t="s">
        <v>119</v>
      </c>
      <c r="E201" s="159" t="s">
        <v>1307</v>
      </c>
      <c r="F201" s="174">
        <v>0.16270000000000001</v>
      </c>
      <c r="G201" s="232">
        <f>VLOOKUP(B201,'4 - R. ANALÍTICO - ORIGINAIS'!$B$9:$H$4132,6,FALSE)</f>
        <v>28.94</v>
      </c>
      <c r="H201" s="380">
        <f>F201*G201</f>
        <v>4.7085380000000008</v>
      </c>
      <c r="I201" s="261">
        <f>I200</f>
        <v>145</v>
      </c>
      <c r="J201" s="381">
        <f>F201*I201</f>
        <v>23.5915</v>
      </c>
    </row>
    <row r="202" spans="1:10" ht="15">
      <c r="A202" s="1"/>
      <c r="B202" s="222"/>
      <c r="C202" s="222"/>
      <c r="D202" s="222"/>
      <c r="E202" s="222"/>
      <c r="F202" s="385" t="s">
        <v>1308</v>
      </c>
      <c r="G202" s="385"/>
      <c r="H202" s="102">
        <f>SUM(H200:H201)</f>
        <v>10.086593000000001</v>
      </c>
      <c r="I202" s="257"/>
      <c r="J202" s="257"/>
    </row>
    <row r="203" spans="1:10" ht="15">
      <c r="A203" s="1"/>
      <c r="B203" s="1"/>
      <c r="C203" s="1"/>
      <c r="D203" s="1"/>
      <c r="E203" s="1"/>
      <c r="F203" s="1"/>
      <c r="G203" s="1"/>
      <c r="H203" s="1"/>
      <c r="I203" s="257"/>
      <c r="J203" s="257"/>
    </row>
    <row r="204" spans="1:10" ht="25.5">
      <c r="A204" s="178" t="s">
        <v>895</v>
      </c>
      <c r="B204" s="378" t="s">
        <v>1301</v>
      </c>
      <c r="C204" s="378"/>
      <c r="D204" s="103" t="s">
        <v>579</v>
      </c>
      <c r="E204" s="103" t="s">
        <v>580</v>
      </c>
      <c r="F204" s="103" t="s">
        <v>581</v>
      </c>
      <c r="G204" s="103" t="s">
        <v>582</v>
      </c>
      <c r="H204" s="103" t="s">
        <v>583</v>
      </c>
      <c r="I204" s="178" t="s">
        <v>791</v>
      </c>
      <c r="J204" s="178" t="s">
        <v>581</v>
      </c>
    </row>
    <row r="205" spans="1:10" ht="25.5">
      <c r="A205" s="379">
        <f>VLOOKUP(A204,'3 - PLAN. ORÇAMENTÁRIA'!$A$16:$B$721,2,FALSE)</f>
        <v>101616</v>
      </c>
      <c r="B205" s="159" t="s">
        <v>1385</v>
      </c>
      <c r="C205" s="221" t="s">
        <v>1386</v>
      </c>
      <c r="D205" s="159" t="s">
        <v>119</v>
      </c>
      <c r="E205" s="159" t="s">
        <v>1304</v>
      </c>
      <c r="F205" s="174">
        <v>3.5999999999999999E-3</v>
      </c>
      <c r="G205" s="232">
        <f>VLOOKUP(B205,'4 - R. ANALÍTICO - ORIGINAIS'!$B$9:$H$4132,6,FALSE)</f>
        <v>27.12</v>
      </c>
      <c r="H205" s="380">
        <f>F205*G205</f>
        <v>9.7631999999999997E-2</v>
      </c>
      <c r="I205" s="261">
        <f>VLOOKUP(A204,'3 - PLAN. ORÇAMENTÁRIA'!$A$17:$F$721,6,FALSE)</f>
        <v>6.48</v>
      </c>
      <c r="J205" s="381">
        <f>F205*I205</f>
        <v>2.3328000000000002E-2</v>
      </c>
    </row>
    <row r="206" spans="1:10" ht="25.5">
      <c r="A206" s="1"/>
      <c r="B206" s="159" t="s">
        <v>1387</v>
      </c>
      <c r="C206" s="221" t="s">
        <v>1388</v>
      </c>
      <c r="D206" s="159" t="s">
        <v>119</v>
      </c>
      <c r="E206" s="159" t="s">
        <v>1307</v>
      </c>
      <c r="F206" s="174">
        <v>3.5999999999999999E-3</v>
      </c>
      <c r="G206" s="232">
        <f>VLOOKUP(B206,'4 - R. ANALÍTICO - ORIGINAIS'!$B$9:$H$4132,6,FALSE)</f>
        <v>34.299999999999997</v>
      </c>
      <c r="H206" s="380">
        <f>F206*G206</f>
        <v>0.12347999999999999</v>
      </c>
      <c r="I206" s="261">
        <f>I205</f>
        <v>6.48</v>
      </c>
      <c r="J206" s="381">
        <f>F206*I206</f>
        <v>2.3328000000000002E-2</v>
      </c>
    </row>
    <row r="207" spans="1:10" ht="15">
      <c r="A207" s="1"/>
      <c r="B207" s="222"/>
      <c r="C207" s="222"/>
      <c r="D207" s="222"/>
      <c r="E207" s="222"/>
      <c r="F207" s="385" t="s">
        <v>1308</v>
      </c>
      <c r="G207" s="385"/>
      <c r="H207" s="102">
        <f>SUM(H205:H206)</f>
        <v>0.22111199999999998</v>
      </c>
      <c r="I207" s="257"/>
      <c r="J207" s="257"/>
    </row>
    <row r="208" spans="1:10" ht="15">
      <c r="A208" s="1"/>
      <c r="B208" s="1"/>
      <c r="C208" s="1"/>
      <c r="D208" s="1"/>
      <c r="E208" s="1"/>
      <c r="F208" s="1"/>
      <c r="G208" s="1"/>
      <c r="H208" s="1"/>
      <c r="I208" s="257"/>
      <c r="J208" s="257"/>
    </row>
    <row r="209" spans="1:10" ht="25.5">
      <c r="A209" s="178" t="s">
        <v>897</v>
      </c>
      <c r="B209" s="378" t="s">
        <v>1301</v>
      </c>
      <c r="C209" s="378"/>
      <c r="D209" s="103" t="s">
        <v>579</v>
      </c>
      <c r="E209" s="103" t="s">
        <v>580</v>
      </c>
      <c r="F209" s="103" t="s">
        <v>581</v>
      </c>
      <c r="G209" s="103" t="s">
        <v>582</v>
      </c>
      <c r="H209" s="103" t="s">
        <v>583</v>
      </c>
      <c r="I209" s="178" t="s">
        <v>791</v>
      </c>
      <c r="J209" s="178" t="s">
        <v>581</v>
      </c>
    </row>
    <row r="210" spans="1:10" ht="25.5">
      <c r="A210" s="379">
        <f>VLOOKUP(A209,'3 - PLAN. ORÇAMENTÁRIA'!$A$16:$B$721,2,FALSE)</f>
        <v>96540</v>
      </c>
      <c r="B210" s="159" t="s">
        <v>1302</v>
      </c>
      <c r="C210" s="221" t="s">
        <v>1303</v>
      </c>
      <c r="D210" s="159" t="s">
        <v>119</v>
      </c>
      <c r="E210" s="159" t="s">
        <v>1304</v>
      </c>
      <c r="F210" s="174">
        <v>9.8000000000000004E-2</v>
      </c>
      <c r="G210" s="232">
        <f>VLOOKUP(B210,'4 - R. ANALÍTICO - ORIGINAIS'!$B$9:$H$4132,6,FALSE)</f>
        <v>26.18</v>
      </c>
      <c r="H210" s="380">
        <f>F210*G210</f>
        <v>2.5656400000000001</v>
      </c>
      <c r="I210" s="261">
        <f>VLOOKUP(A209,'3 - PLAN. ORÇAMENTÁRIA'!$A$17:$F$721,6,FALSE)</f>
        <v>25.92</v>
      </c>
      <c r="J210" s="381">
        <f>F210*I210</f>
        <v>2.5401600000000002</v>
      </c>
    </row>
    <row r="211" spans="1:10" ht="25.5">
      <c r="A211" s="1"/>
      <c r="B211" s="159" t="s">
        <v>1305</v>
      </c>
      <c r="C211" s="221" t="s">
        <v>1306</v>
      </c>
      <c r="D211" s="159" t="s">
        <v>119</v>
      </c>
      <c r="E211" s="159" t="s">
        <v>1307</v>
      </c>
      <c r="F211" s="174">
        <v>2.4E-2</v>
      </c>
      <c r="G211" s="232">
        <f>VLOOKUP(B211,'4 - R. ANALÍTICO - ORIGINAIS'!$B$9:$H$4132,6,FALSE)</f>
        <v>27.22</v>
      </c>
      <c r="H211" s="380">
        <f>F211*G211</f>
        <v>0.65327999999999997</v>
      </c>
      <c r="I211" s="261">
        <f>I210</f>
        <v>25.92</v>
      </c>
      <c r="J211" s="381">
        <f>F211*I211</f>
        <v>0.62208000000000008</v>
      </c>
    </row>
    <row r="212" spans="1:10" ht="15">
      <c r="A212" s="1"/>
      <c r="B212" s="222"/>
      <c r="C212" s="222"/>
      <c r="D212" s="222"/>
      <c r="E212" s="222"/>
      <c r="F212" s="385" t="s">
        <v>1308</v>
      </c>
      <c r="G212" s="385"/>
      <c r="H212" s="102">
        <f>SUM(H210:H211)</f>
        <v>3.2189200000000002</v>
      </c>
      <c r="I212" s="257"/>
      <c r="J212" s="257"/>
    </row>
    <row r="213" spans="1:10" ht="15">
      <c r="A213" s="1"/>
      <c r="B213" s="1"/>
      <c r="C213" s="1"/>
      <c r="D213" s="1"/>
      <c r="E213" s="1"/>
      <c r="F213" s="1"/>
      <c r="G213" s="1"/>
      <c r="H213" s="1"/>
      <c r="I213" s="257"/>
      <c r="J213" s="257"/>
    </row>
    <row r="214" spans="1:10" ht="25.5">
      <c r="A214" s="178" t="s">
        <v>898</v>
      </c>
      <c r="B214" s="378" t="s">
        <v>1301</v>
      </c>
      <c r="C214" s="378"/>
      <c r="D214" s="103" t="s">
        <v>579</v>
      </c>
      <c r="E214" s="103" t="s">
        <v>580</v>
      </c>
      <c r="F214" s="103" t="s">
        <v>581</v>
      </c>
      <c r="G214" s="103" t="s">
        <v>582</v>
      </c>
      <c r="H214" s="103" t="s">
        <v>583</v>
      </c>
      <c r="I214" s="178" t="s">
        <v>791</v>
      </c>
      <c r="J214" s="178" t="s">
        <v>581</v>
      </c>
    </row>
    <row r="215" spans="1:10" ht="25.5">
      <c r="A215" s="379">
        <f>VLOOKUP(A214,'3 - PLAN. ORÇAMENTÁRIA'!$A$16:$B$721,2,FALSE)</f>
        <v>96557</v>
      </c>
      <c r="B215" s="159" t="s">
        <v>1401</v>
      </c>
      <c r="C215" s="221" t="s">
        <v>1402</v>
      </c>
      <c r="D215" s="159" t="s">
        <v>119</v>
      </c>
      <c r="E215" s="159" t="s">
        <v>1304</v>
      </c>
      <c r="F215" s="174">
        <v>7.4999999999999997E-2</v>
      </c>
      <c r="G215" s="232">
        <f>VLOOKUP(B215,'4 - R. ANALÍTICO - ORIGINAIS'!$B$9:$H$4132,6,FALSE)</f>
        <v>0.53</v>
      </c>
      <c r="H215" s="380">
        <f>F215*G215</f>
        <v>3.9750000000000001E-2</v>
      </c>
      <c r="I215" s="261">
        <f>VLOOKUP(A214,'3 - PLAN. ORÇAMENTÁRIA'!$A$17:$F$721,6,FALSE)</f>
        <v>3.96</v>
      </c>
      <c r="J215" s="381">
        <f>F215*I215</f>
        <v>0.29699999999999999</v>
      </c>
    </row>
    <row r="216" spans="1:10" ht="25.5">
      <c r="A216" s="1"/>
      <c r="B216" s="159" t="s">
        <v>1403</v>
      </c>
      <c r="C216" s="221" t="s">
        <v>1404</v>
      </c>
      <c r="D216" s="159" t="s">
        <v>119</v>
      </c>
      <c r="E216" s="159" t="s">
        <v>1307</v>
      </c>
      <c r="F216" s="174">
        <v>9.1999999999999998E-2</v>
      </c>
      <c r="G216" s="232">
        <f>VLOOKUP(B216,'4 - R. ANALÍTICO - ORIGINAIS'!$B$9:$H$4132,6,FALSE)</f>
        <v>1.23</v>
      </c>
      <c r="H216" s="380">
        <f>F216*G216</f>
        <v>0.11316</v>
      </c>
      <c r="I216" s="261">
        <f>I215</f>
        <v>3.96</v>
      </c>
      <c r="J216" s="381">
        <f>F216*I216</f>
        <v>0.36431999999999998</v>
      </c>
    </row>
    <row r="217" spans="1:10" ht="15">
      <c r="A217" s="1"/>
      <c r="B217" s="222"/>
      <c r="C217" s="222"/>
      <c r="D217" s="222"/>
      <c r="E217" s="222"/>
      <c r="F217" s="385" t="s">
        <v>1308</v>
      </c>
      <c r="G217" s="385"/>
      <c r="H217" s="102">
        <f>SUM(H215:H216)</f>
        <v>0.15290999999999999</v>
      </c>
      <c r="I217" s="257"/>
      <c r="J217" s="257"/>
    </row>
    <row r="218" spans="1:10" ht="15">
      <c r="A218" s="1"/>
      <c r="B218" s="1"/>
      <c r="C218" s="1"/>
      <c r="D218" s="1"/>
      <c r="E218" s="1"/>
      <c r="F218" s="1"/>
      <c r="G218" s="1"/>
      <c r="H218" s="1"/>
      <c r="I218" s="257"/>
      <c r="J218" s="257"/>
    </row>
    <row r="219" spans="1:10" ht="25.5">
      <c r="A219" s="178" t="s">
        <v>899</v>
      </c>
      <c r="B219" s="378" t="s">
        <v>1301</v>
      </c>
      <c r="C219" s="378"/>
      <c r="D219" s="103" t="s">
        <v>579</v>
      </c>
      <c r="E219" s="103" t="s">
        <v>580</v>
      </c>
      <c r="F219" s="103" t="s">
        <v>581</v>
      </c>
      <c r="G219" s="103" t="s">
        <v>582</v>
      </c>
      <c r="H219" s="103" t="s">
        <v>583</v>
      </c>
      <c r="I219" s="178" t="s">
        <v>791</v>
      </c>
      <c r="J219" s="178" t="s">
        <v>581</v>
      </c>
    </row>
    <row r="220" spans="1:10" ht="25.5">
      <c r="A220" s="379">
        <f>VLOOKUP(A219,'3 - PLAN. ORÇAMENTÁRIA'!$A$16:$B$721,2,FALSE)</f>
        <v>93382</v>
      </c>
      <c r="B220" s="159" t="s">
        <v>1350</v>
      </c>
      <c r="C220" s="221" t="s">
        <v>1351</v>
      </c>
      <c r="D220" s="159" t="s">
        <v>119</v>
      </c>
      <c r="E220" s="159" t="s">
        <v>1304</v>
      </c>
      <c r="F220" s="174">
        <v>5.9999999999999995E-4</v>
      </c>
      <c r="G220" s="232">
        <f>VLOOKUP(B220,'4 - R. ANALÍTICO - ORIGINAIS'!$B$9:$H$4132,6,FALSE)</f>
        <v>75.08</v>
      </c>
      <c r="H220" s="380">
        <f>F220*G220</f>
        <v>4.5047999999999998E-2</v>
      </c>
      <c r="I220" s="261">
        <f>VLOOKUP(A219,'3 - PLAN. ORÇAMENTÁRIA'!$A$17:$F$721,6,FALSE)</f>
        <v>2.95</v>
      </c>
      <c r="J220" s="381">
        <f>F220*I220</f>
        <v>1.7699999999999999E-3</v>
      </c>
    </row>
    <row r="221" spans="1:10" ht="25.5">
      <c r="A221" s="1"/>
      <c r="B221" s="159" t="s">
        <v>1352</v>
      </c>
      <c r="C221" s="221" t="s">
        <v>1353</v>
      </c>
      <c r="D221" s="159" t="s">
        <v>119</v>
      </c>
      <c r="E221" s="159" t="s">
        <v>1307</v>
      </c>
      <c r="F221" s="174">
        <v>5.4000000000000003E-3</v>
      </c>
      <c r="G221" s="232">
        <f>VLOOKUP(B221,'4 - R. ANALÍTICO - ORIGINAIS'!$B$9:$H$4132,6,FALSE)</f>
        <v>317.85000000000002</v>
      </c>
      <c r="H221" s="380">
        <f>F221*G221</f>
        <v>1.7163900000000003</v>
      </c>
      <c r="I221" s="261">
        <f>I220</f>
        <v>2.95</v>
      </c>
      <c r="J221" s="381">
        <f>F221*I221</f>
        <v>1.5930000000000003E-2</v>
      </c>
    </row>
    <row r="222" spans="1:10" ht="25.5">
      <c r="A222" s="1"/>
      <c r="B222" s="159" t="s">
        <v>1387</v>
      </c>
      <c r="C222" s="221" t="s">
        <v>1388</v>
      </c>
      <c r="D222" s="159" t="s">
        <v>119</v>
      </c>
      <c r="E222" s="159" t="s">
        <v>1307</v>
      </c>
      <c r="F222" s="174">
        <v>0.19620000000000001</v>
      </c>
      <c r="G222" s="232">
        <f>VLOOKUP(B222,'4 - R. ANALÍTICO - ORIGINAIS'!$B$9:$H$4132,6,FALSE)</f>
        <v>34.299999999999997</v>
      </c>
      <c r="H222" s="380">
        <f>F222*G222</f>
        <v>6.72966</v>
      </c>
      <c r="I222" s="261">
        <f>I221</f>
        <v>2.95</v>
      </c>
      <c r="J222" s="381">
        <f>F222*I222</f>
        <v>0.57879000000000003</v>
      </c>
    </row>
    <row r="223" spans="1:10" ht="15">
      <c r="A223" s="1"/>
      <c r="B223" s="222"/>
      <c r="C223" s="222"/>
      <c r="D223" s="222"/>
      <c r="E223" s="222"/>
      <c r="F223" s="385" t="s">
        <v>1308</v>
      </c>
      <c r="G223" s="385"/>
      <c r="H223" s="102">
        <f>SUM(H220:H222)</f>
        <v>8.4910980000000009</v>
      </c>
      <c r="I223" s="257"/>
      <c r="J223" s="257"/>
    </row>
    <row r="224" spans="1:10" ht="15">
      <c r="A224" s="1"/>
      <c r="B224" s="1"/>
      <c r="C224" s="1"/>
      <c r="D224" s="1"/>
      <c r="E224" s="1"/>
      <c r="F224" s="1"/>
      <c r="G224" s="1"/>
      <c r="H224" s="1"/>
      <c r="I224" s="257"/>
      <c r="J224" s="257"/>
    </row>
    <row r="225" spans="1:10" ht="25.5">
      <c r="A225" s="178" t="s">
        <v>902</v>
      </c>
      <c r="B225" s="378" t="s">
        <v>1301</v>
      </c>
      <c r="C225" s="378"/>
      <c r="D225" s="103" t="s">
        <v>579</v>
      </c>
      <c r="E225" s="103" t="s">
        <v>580</v>
      </c>
      <c r="F225" s="103" t="s">
        <v>581</v>
      </c>
      <c r="G225" s="103" t="s">
        <v>582</v>
      </c>
      <c r="H225" s="103" t="s">
        <v>583</v>
      </c>
      <c r="I225" s="178" t="s">
        <v>791</v>
      </c>
      <c r="J225" s="178" t="s">
        <v>581</v>
      </c>
    </row>
    <row r="226" spans="1:10" ht="25.5">
      <c r="A226" s="379">
        <f>VLOOKUP(A225,'3 - PLAN. ORÇAMENTÁRIA'!$A$16:$B$721,2,FALSE)</f>
        <v>101616</v>
      </c>
      <c r="B226" s="159" t="s">
        <v>1385</v>
      </c>
      <c r="C226" s="221" t="s">
        <v>1386</v>
      </c>
      <c r="D226" s="159" t="s">
        <v>119</v>
      </c>
      <c r="E226" s="159" t="s">
        <v>1304</v>
      </c>
      <c r="F226" s="174">
        <v>3.5999999999999999E-3</v>
      </c>
      <c r="G226" s="232">
        <f>VLOOKUP(B226,'4 - R. ANALÍTICO - ORIGINAIS'!$B$9:$H$4132,6,FALSE)</f>
        <v>27.12</v>
      </c>
      <c r="H226" s="380">
        <f>F226*G226</f>
        <v>9.7631999999999997E-2</v>
      </c>
      <c r="I226" s="261">
        <f>VLOOKUP(A225,'3 - PLAN. ORÇAMENTÁRIA'!$A$17:$F$721,6,FALSE)</f>
        <v>83.05</v>
      </c>
      <c r="J226" s="381">
        <f>F226*I226</f>
        <v>0.29897999999999997</v>
      </c>
    </row>
    <row r="227" spans="1:10" ht="25.5">
      <c r="A227" s="1"/>
      <c r="B227" s="159" t="s">
        <v>1387</v>
      </c>
      <c r="C227" s="221" t="s">
        <v>1388</v>
      </c>
      <c r="D227" s="159" t="s">
        <v>119</v>
      </c>
      <c r="E227" s="159" t="s">
        <v>1307</v>
      </c>
      <c r="F227" s="174">
        <v>3.5999999999999999E-3</v>
      </c>
      <c r="G227" s="232">
        <f>VLOOKUP(B227,'4 - R. ANALÍTICO - ORIGINAIS'!$B$9:$H$4132,6,FALSE)</f>
        <v>34.299999999999997</v>
      </c>
      <c r="H227" s="380">
        <f>F227*G227</f>
        <v>0.12347999999999999</v>
      </c>
      <c r="I227" s="261">
        <f>I226</f>
        <v>83.05</v>
      </c>
      <c r="J227" s="381">
        <f>F227*I227</f>
        <v>0.29897999999999997</v>
      </c>
    </row>
    <row r="228" spans="1:10" ht="15">
      <c r="A228" s="1"/>
      <c r="B228" s="222"/>
      <c r="C228" s="222"/>
      <c r="D228" s="222"/>
      <c r="E228" s="222"/>
      <c r="F228" s="385" t="s">
        <v>1308</v>
      </c>
      <c r="G228" s="385"/>
      <c r="H228" s="102">
        <f>SUM(H226:H227)</f>
        <v>0.22111199999999998</v>
      </c>
      <c r="I228" s="257"/>
      <c r="J228" s="257"/>
    </row>
    <row r="229" spans="1:10" ht="15">
      <c r="A229" s="1"/>
      <c r="B229" s="1"/>
      <c r="C229" s="1"/>
      <c r="D229" s="1"/>
      <c r="E229" s="1"/>
      <c r="F229" s="1"/>
      <c r="G229" s="1"/>
      <c r="H229" s="1"/>
      <c r="I229" s="257"/>
      <c r="J229" s="257"/>
    </row>
    <row r="230" spans="1:10" ht="25.5">
      <c r="A230" s="178" t="s">
        <v>904</v>
      </c>
      <c r="B230" s="378" t="s">
        <v>1301</v>
      </c>
      <c r="C230" s="378"/>
      <c r="D230" s="103" t="s">
        <v>579</v>
      </c>
      <c r="E230" s="103" t="s">
        <v>580</v>
      </c>
      <c r="F230" s="103" t="s">
        <v>581</v>
      </c>
      <c r="G230" s="103" t="s">
        <v>582</v>
      </c>
      <c r="H230" s="103" t="s">
        <v>583</v>
      </c>
      <c r="I230" s="178" t="s">
        <v>791</v>
      </c>
      <c r="J230" s="178" t="s">
        <v>581</v>
      </c>
    </row>
    <row r="231" spans="1:10" ht="25.5">
      <c r="A231" s="379">
        <f>VLOOKUP(A230,'3 - PLAN. ORÇAMENTÁRIA'!$A$16:$B$721,2,FALSE)</f>
        <v>96542</v>
      </c>
      <c r="B231" s="159" t="s">
        <v>1302</v>
      </c>
      <c r="C231" s="221" t="s">
        <v>1303</v>
      </c>
      <c r="D231" s="159" t="s">
        <v>119</v>
      </c>
      <c r="E231" s="159" t="s">
        <v>1304</v>
      </c>
      <c r="F231" s="174">
        <v>5.6000000000000001E-2</v>
      </c>
      <c r="G231" s="232">
        <f>VLOOKUP(B231,'4 - R. ANALÍTICO - ORIGINAIS'!$B$9:$H$4132,6,FALSE)</f>
        <v>26.18</v>
      </c>
      <c r="H231" s="380">
        <f>F231*G231</f>
        <v>1.46608</v>
      </c>
      <c r="I231" s="261">
        <f>VLOOKUP(A230,'3 - PLAN. ORÇAMENTÁRIA'!$A$17:$F$721,6,FALSE)</f>
        <v>210.85</v>
      </c>
      <c r="J231" s="381">
        <f>F231*I231</f>
        <v>11.807600000000001</v>
      </c>
    </row>
    <row r="232" spans="1:10" ht="25.5">
      <c r="A232" s="1"/>
      <c r="B232" s="159" t="s">
        <v>1305</v>
      </c>
      <c r="C232" s="221" t="s">
        <v>1306</v>
      </c>
      <c r="D232" s="159" t="s">
        <v>119</v>
      </c>
      <c r="E232" s="159" t="s">
        <v>1307</v>
      </c>
      <c r="F232" s="174">
        <v>1.4E-2</v>
      </c>
      <c r="G232" s="232">
        <f>VLOOKUP(B232,'4 - R. ANALÍTICO - ORIGINAIS'!$B$9:$H$4132,6,FALSE)</f>
        <v>27.22</v>
      </c>
      <c r="H232" s="380">
        <f>F232*G232</f>
        <v>0.38107999999999997</v>
      </c>
      <c r="I232" s="261">
        <f>I231</f>
        <v>210.85</v>
      </c>
      <c r="J232" s="381">
        <f>F232*I232</f>
        <v>2.9519000000000002</v>
      </c>
    </row>
    <row r="233" spans="1:10" ht="15">
      <c r="A233" s="1"/>
      <c r="B233" s="222"/>
      <c r="C233" s="222"/>
      <c r="D233" s="222"/>
      <c r="E233" s="222"/>
      <c r="F233" s="385" t="s">
        <v>1308</v>
      </c>
      <c r="G233" s="385"/>
      <c r="H233" s="102">
        <f>SUM(H231:H232)</f>
        <v>1.8471600000000001</v>
      </c>
      <c r="I233" s="257"/>
      <c r="J233" s="257"/>
    </row>
    <row r="234" spans="1:10" ht="15">
      <c r="A234" s="1"/>
      <c r="B234" s="1"/>
      <c r="C234" s="1"/>
      <c r="D234" s="1"/>
      <c r="E234" s="1"/>
      <c r="F234" s="1"/>
      <c r="G234" s="1"/>
      <c r="H234" s="1"/>
      <c r="I234" s="257"/>
      <c r="J234" s="257"/>
    </row>
    <row r="235" spans="1:10" ht="25.5">
      <c r="A235" s="178" t="s">
        <v>905</v>
      </c>
      <c r="B235" s="378" t="s">
        <v>1301</v>
      </c>
      <c r="C235" s="378"/>
      <c r="D235" s="103" t="s">
        <v>579</v>
      </c>
      <c r="E235" s="103" t="s">
        <v>580</v>
      </c>
      <c r="F235" s="103" t="s">
        <v>581</v>
      </c>
      <c r="G235" s="103" t="s">
        <v>582</v>
      </c>
      <c r="H235" s="103" t="s">
        <v>583</v>
      </c>
      <c r="I235" s="178" t="s">
        <v>791</v>
      </c>
      <c r="J235" s="178" t="s">
        <v>581</v>
      </c>
    </row>
    <row r="236" spans="1:10" ht="25.5">
      <c r="A236" s="379">
        <f>VLOOKUP(A235,'3 - PLAN. ORÇAMENTÁRIA'!$A$16:$B$721,2,FALSE)</f>
        <v>96557</v>
      </c>
      <c r="B236" s="159" t="s">
        <v>1401</v>
      </c>
      <c r="C236" s="221" t="s">
        <v>1402</v>
      </c>
      <c r="D236" s="159" t="s">
        <v>119</v>
      </c>
      <c r="E236" s="159" t="s">
        <v>1304</v>
      </c>
      <c r="F236" s="174">
        <v>7.4999999999999997E-2</v>
      </c>
      <c r="G236" s="232">
        <f>VLOOKUP(B236,'4 - R. ANALÍTICO - ORIGINAIS'!$B$9:$H$4132,6,FALSE)</f>
        <v>0.53</v>
      </c>
      <c r="H236" s="380">
        <f>F236*G236</f>
        <v>3.9750000000000001E-2</v>
      </c>
      <c r="I236" s="261">
        <f>VLOOKUP(A235,'3 - PLAN. ORÇAMENTÁRIA'!$A$17:$F$721,6,FALSE)</f>
        <v>18.73</v>
      </c>
      <c r="J236" s="381">
        <f>F236*I236</f>
        <v>1.4047499999999999</v>
      </c>
    </row>
    <row r="237" spans="1:10" ht="25.5">
      <c r="A237" s="1"/>
      <c r="B237" s="159" t="s">
        <v>1403</v>
      </c>
      <c r="C237" s="221" t="s">
        <v>1404</v>
      </c>
      <c r="D237" s="159" t="s">
        <v>119</v>
      </c>
      <c r="E237" s="159" t="s">
        <v>1307</v>
      </c>
      <c r="F237" s="174">
        <v>9.1999999999999998E-2</v>
      </c>
      <c r="G237" s="232">
        <f>VLOOKUP(B237,'4 - R. ANALÍTICO - ORIGINAIS'!$B$9:$H$4132,6,FALSE)</f>
        <v>1.23</v>
      </c>
      <c r="H237" s="380">
        <f>F237*G237</f>
        <v>0.11316</v>
      </c>
      <c r="I237" s="261">
        <f>I236</f>
        <v>18.73</v>
      </c>
      <c r="J237" s="381">
        <f>F237*I237</f>
        <v>1.72316</v>
      </c>
    </row>
    <row r="238" spans="1:10" ht="15">
      <c r="A238" s="1"/>
      <c r="B238" s="222"/>
      <c r="C238" s="222"/>
      <c r="D238" s="222"/>
      <c r="E238" s="222"/>
      <c r="F238" s="385" t="s">
        <v>1308</v>
      </c>
      <c r="G238" s="385"/>
      <c r="H238" s="102">
        <f>SUM(H236:H237)</f>
        <v>0.15290999999999999</v>
      </c>
      <c r="I238" s="257"/>
      <c r="J238" s="257"/>
    </row>
    <row r="239" spans="1:10" ht="15">
      <c r="A239" s="1"/>
      <c r="B239" s="1"/>
      <c r="C239" s="1"/>
      <c r="D239" s="1"/>
      <c r="E239" s="1"/>
      <c r="F239" s="1"/>
      <c r="G239" s="1"/>
      <c r="H239" s="1"/>
      <c r="I239" s="257"/>
      <c r="J239" s="257"/>
    </row>
    <row r="240" spans="1:10" ht="25.5">
      <c r="A240" s="178" t="s">
        <v>906</v>
      </c>
      <c r="B240" s="378" t="s">
        <v>1301</v>
      </c>
      <c r="C240" s="378"/>
      <c r="D240" s="103" t="s">
        <v>579</v>
      </c>
      <c r="E240" s="103" t="s">
        <v>580</v>
      </c>
      <c r="F240" s="103" t="s">
        <v>581</v>
      </c>
      <c r="G240" s="103" t="s">
        <v>582</v>
      </c>
      <c r="H240" s="103" t="s">
        <v>583</v>
      </c>
      <c r="I240" s="178" t="s">
        <v>791</v>
      </c>
      <c r="J240" s="178" t="s">
        <v>581</v>
      </c>
    </row>
    <row r="241" spans="1:10" ht="25.5">
      <c r="A241" s="379">
        <f>VLOOKUP(A240,'3 - PLAN. ORÇAMENTÁRIA'!$A$16:$B$721,2,FALSE)</f>
        <v>93382</v>
      </c>
      <c r="B241" s="159" t="s">
        <v>1350</v>
      </c>
      <c r="C241" s="221" t="s">
        <v>1351</v>
      </c>
      <c r="D241" s="159" t="s">
        <v>119</v>
      </c>
      <c r="E241" s="159" t="s">
        <v>1304</v>
      </c>
      <c r="F241" s="174">
        <v>5.9999999999999995E-4</v>
      </c>
      <c r="G241" s="232">
        <f>VLOOKUP(B241,'4 - R. ANALÍTICO - ORIGINAIS'!$B$9:$H$4132,6,FALSE)</f>
        <v>75.08</v>
      </c>
      <c r="H241" s="380">
        <f>F241*G241</f>
        <v>4.5047999999999998E-2</v>
      </c>
      <c r="I241" s="261">
        <f>VLOOKUP(A240,'3 - PLAN. ORÇAMENTÁRIA'!$A$17:$F$721,6,FALSE)</f>
        <v>40.78</v>
      </c>
      <c r="J241" s="381">
        <f>F241*I241</f>
        <v>2.4468E-2</v>
      </c>
    </row>
    <row r="242" spans="1:10" ht="25.5">
      <c r="A242" s="1"/>
      <c r="B242" s="159" t="s">
        <v>1352</v>
      </c>
      <c r="C242" s="221" t="s">
        <v>1353</v>
      </c>
      <c r="D242" s="159" t="s">
        <v>119</v>
      </c>
      <c r="E242" s="159" t="s">
        <v>1307</v>
      </c>
      <c r="F242" s="174">
        <v>5.4000000000000003E-3</v>
      </c>
      <c r="G242" s="232">
        <f>VLOOKUP(B242,'4 - R. ANALÍTICO - ORIGINAIS'!$B$9:$H$4132,6,FALSE)</f>
        <v>317.85000000000002</v>
      </c>
      <c r="H242" s="380">
        <f>F242*G242</f>
        <v>1.7163900000000003</v>
      </c>
      <c r="I242" s="261">
        <f>I241</f>
        <v>40.78</v>
      </c>
      <c r="J242" s="381">
        <f>F242*I242</f>
        <v>0.22021200000000002</v>
      </c>
    </row>
    <row r="243" spans="1:10" ht="25.5">
      <c r="A243" s="1"/>
      <c r="B243" s="159" t="s">
        <v>1387</v>
      </c>
      <c r="C243" s="221" t="s">
        <v>1388</v>
      </c>
      <c r="D243" s="159" t="s">
        <v>119</v>
      </c>
      <c r="E243" s="159" t="s">
        <v>1307</v>
      </c>
      <c r="F243" s="174">
        <v>0.19620000000000001</v>
      </c>
      <c r="G243" s="232">
        <f>VLOOKUP(B243,'4 - R. ANALÍTICO - ORIGINAIS'!$B$9:$H$4132,6,FALSE)</f>
        <v>34.299999999999997</v>
      </c>
      <c r="H243" s="380">
        <f>F243*G243</f>
        <v>6.72966</v>
      </c>
      <c r="I243" s="261">
        <f>I242</f>
        <v>40.78</v>
      </c>
      <c r="J243" s="381">
        <f>F243*I243</f>
        <v>8.0010360000000009</v>
      </c>
    </row>
    <row r="244" spans="1:10" ht="15">
      <c r="A244" s="1"/>
      <c r="B244" s="222"/>
      <c r="C244" s="222"/>
      <c r="D244" s="222"/>
      <c r="E244" s="222"/>
      <c r="F244" s="385" t="s">
        <v>1308</v>
      </c>
      <c r="G244" s="385"/>
      <c r="H244" s="102">
        <f>SUM(H241:H243)</f>
        <v>8.4910980000000009</v>
      </c>
      <c r="I244" s="257"/>
      <c r="J244" s="257"/>
    </row>
    <row r="245" spans="1:10" ht="15">
      <c r="A245" s="1"/>
      <c r="B245" s="1"/>
      <c r="C245" s="1"/>
      <c r="D245" s="1"/>
      <c r="E245" s="1"/>
      <c r="F245" s="1"/>
      <c r="G245" s="1"/>
      <c r="H245" s="1"/>
      <c r="I245" s="257"/>
      <c r="J245" s="257"/>
    </row>
    <row r="246" spans="1:10" ht="25.5">
      <c r="A246" s="178" t="s">
        <v>1058</v>
      </c>
      <c r="B246" s="378" t="s">
        <v>588</v>
      </c>
      <c r="C246" s="378"/>
      <c r="D246" s="103" t="s">
        <v>579</v>
      </c>
      <c r="E246" s="103" t="s">
        <v>580</v>
      </c>
      <c r="F246" s="103" t="s">
        <v>581</v>
      </c>
      <c r="G246" s="103" t="s">
        <v>582</v>
      </c>
      <c r="H246" s="103" t="s">
        <v>583</v>
      </c>
      <c r="I246" s="178" t="s">
        <v>791</v>
      </c>
      <c r="J246" s="178" t="s">
        <v>581</v>
      </c>
    </row>
    <row r="247" spans="1:10" ht="25.5">
      <c r="A247" s="379">
        <f>VLOOKUP(A246,'3 - PLAN. ORÇAMENTÁRIA'!$A$16:$B$721,2,FALSE)</f>
        <v>92431</v>
      </c>
      <c r="B247" s="159" t="s">
        <v>1420</v>
      </c>
      <c r="C247" s="221" t="s">
        <v>1421</v>
      </c>
      <c r="D247" s="159" t="s">
        <v>119</v>
      </c>
      <c r="E247" s="159" t="s">
        <v>1422</v>
      </c>
      <c r="F247" s="174">
        <v>0.19600000000000001</v>
      </c>
      <c r="G247" s="232">
        <f>VLOOKUP(B247,'4 - R. ANALÍTICO - ORIGINAIS'!$B$9:$H$4132,6,FALSE)</f>
        <v>23.06</v>
      </c>
      <c r="H247" s="380">
        <f>F247*G247</f>
        <v>4.5197599999999998</v>
      </c>
      <c r="I247" s="261">
        <f>VLOOKUP(A246,'3 - PLAN. ORÇAMENTÁRIA'!$A$17:$F$721,6,FALSE)</f>
        <v>16.45</v>
      </c>
      <c r="J247" s="381">
        <f>F247*I247</f>
        <v>3.2242000000000002</v>
      </c>
    </row>
    <row r="248" spans="1:10" ht="25.5">
      <c r="A248" s="1"/>
      <c r="B248" s="159" t="s">
        <v>1423</v>
      </c>
      <c r="C248" s="221" t="s">
        <v>1424</v>
      </c>
      <c r="D248" s="159" t="s">
        <v>119</v>
      </c>
      <c r="E248" s="159" t="s">
        <v>123</v>
      </c>
      <c r="F248" s="174">
        <v>0.78500000000000003</v>
      </c>
      <c r="G248" s="232">
        <f>VLOOKUP(B248,'4 - R. ANALÍTICO - ORIGINAIS'!$B$9:$H$4132,6,FALSE)</f>
        <v>8.8800000000000008</v>
      </c>
      <c r="H248" s="380">
        <f>F248*G248</f>
        <v>6.9708000000000006</v>
      </c>
      <c r="I248" s="261">
        <f>I247</f>
        <v>16.45</v>
      </c>
      <c r="J248" s="381">
        <f>F248*I248</f>
        <v>12.91325</v>
      </c>
    </row>
    <row r="249" spans="1:10" ht="25.5">
      <c r="A249" s="1"/>
      <c r="B249" s="159" t="s">
        <v>1425</v>
      </c>
      <c r="C249" s="221" t="s">
        <v>1426</v>
      </c>
      <c r="D249" s="159" t="s">
        <v>119</v>
      </c>
      <c r="E249" s="159" t="s">
        <v>1422</v>
      </c>
      <c r="F249" s="174">
        <v>0.39300000000000002</v>
      </c>
      <c r="G249" s="232">
        <f>VLOOKUP(B249,'4 - R. ANALÍTICO - ORIGINAIS'!$B$9:$H$4132,6,FALSE)</f>
        <v>24.1</v>
      </c>
      <c r="H249" s="380">
        <f>F249*G249</f>
        <v>9.4713000000000012</v>
      </c>
      <c r="I249" s="261">
        <f>I248</f>
        <v>16.45</v>
      </c>
      <c r="J249" s="381">
        <f>F249*I249</f>
        <v>6.4648500000000002</v>
      </c>
    </row>
    <row r="250" spans="1:10" ht="15">
      <c r="A250" s="1"/>
      <c r="B250" s="222"/>
      <c r="C250" s="222"/>
      <c r="D250" s="222"/>
      <c r="E250" s="222"/>
      <c r="F250" s="385" t="s">
        <v>589</v>
      </c>
      <c r="G250" s="385"/>
      <c r="H250" s="102">
        <f>SUM(H247:H249)</f>
        <v>20.961860000000001</v>
      </c>
      <c r="I250" s="257"/>
      <c r="J250" s="257"/>
    </row>
    <row r="251" spans="1:10" ht="15">
      <c r="A251" s="1"/>
      <c r="B251" s="1"/>
      <c r="C251" s="1"/>
      <c r="D251" s="1"/>
      <c r="E251" s="1"/>
      <c r="F251" s="1"/>
      <c r="G251" s="1"/>
      <c r="H251" s="1"/>
      <c r="I251" s="257"/>
      <c r="J251" s="257"/>
    </row>
    <row r="252" spans="1:10" ht="25.5">
      <c r="A252" s="178" t="s">
        <v>1059</v>
      </c>
      <c r="B252" s="378" t="s">
        <v>1301</v>
      </c>
      <c r="C252" s="378"/>
      <c r="D252" s="103" t="s">
        <v>579</v>
      </c>
      <c r="E252" s="103" t="s">
        <v>580</v>
      </c>
      <c r="F252" s="103" t="s">
        <v>581</v>
      </c>
      <c r="G252" s="103" t="s">
        <v>582</v>
      </c>
      <c r="H252" s="103" t="s">
        <v>583</v>
      </c>
      <c r="I252" s="178" t="s">
        <v>791</v>
      </c>
      <c r="J252" s="178" t="s">
        <v>581</v>
      </c>
    </row>
    <row r="253" spans="1:10" ht="25.5">
      <c r="A253" s="379" t="str">
        <f>VLOOKUP(A252,'3 - PLAN. ORÇAMENTÁRIA'!$A$16:$B$721,2,FALSE)</f>
        <v>CCU 202</v>
      </c>
      <c r="B253" s="159">
        <v>90587</v>
      </c>
      <c r="C253" s="221" t="s">
        <v>1402</v>
      </c>
      <c r="D253" s="159" t="s">
        <v>119</v>
      </c>
      <c r="E253" s="159" t="s">
        <v>1304</v>
      </c>
      <c r="F253" s="174">
        <v>7.4999999999999997E-2</v>
      </c>
      <c r="G253" s="232">
        <f>VLOOKUP(B253,'5 - R. ANALÍTICO - MODIFICAD'!$B$27:$H$1326,6,FALSE)</f>
        <v>0.53</v>
      </c>
      <c r="H253" s="380">
        <f>F253*G253</f>
        <v>3.9750000000000001E-2</v>
      </c>
      <c r="I253" s="261">
        <f>VLOOKUP(A252,'3 - PLAN. ORÇAMENTÁRIA'!$A$17:$F$721,6,FALSE)</f>
        <v>0.86</v>
      </c>
      <c r="J253" s="381">
        <f>F253*I253</f>
        <v>6.4500000000000002E-2</v>
      </c>
    </row>
    <row r="254" spans="1:10" ht="25.5">
      <c r="A254" s="1"/>
      <c r="B254" s="159">
        <v>90586</v>
      </c>
      <c r="C254" s="221" t="s">
        <v>1404</v>
      </c>
      <c r="D254" s="159" t="s">
        <v>119</v>
      </c>
      <c r="E254" s="159" t="s">
        <v>1307</v>
      </c>
      <c r="F254" s="174">
        <v>9.1999999999999998E-2</v>
      </c>
      <c r="G254" s="232">
        <f>VLOOKUP(B254,'5 - R. ANALÍTICO - MODIFICAD'!$B$27:$H$1326,6,FALSE)</f>
        <v>1.23</v>
      </c>
      <c r="H254" s="380">
        <f>F254*G254</f>
        <v>0.11316</v>
      </c>
      <c r="I254" s="261">
        <f>I253</f>
        <v>0.86</v>
      </c>
      <c r="J254" s="381">
        <f>F254*I254</f>
        <v>7.9119999999999996E-2</v>
      </c>
    </row>
    <row r="255" spans="1:10" ht="15">
      <c r="A255" s="1"/>
      <c r="B255" s="222"/>
      <c r="C255" s="222"/>
      <c r="D255" s="222"/>
      <c r="E255" s="222"/>
      <c r="F255" s="385" t="s">
        <v>1308</v>
      </c>
      <c r="G255" s="385"/>
      <c r="H255" s="102">
        <f>SUM(H253:H254)</f>
        <v>0.15290999999999999</v>
      </c>
      <c r="I255" s="257"/>
      <c r="J255" s="257"/>
    </row>
    <row r="256" spans="1:10" ht="15">
      <c r="A256" s="1"/>
      <c r="B256" s="1"/>
      <c r="C256" s="1"/>
      <c r="D256" s="1"/>
      <c r="E256" s="1"/>
      <c r="F256" s="1"/>
      <c r="G256" s="1"/>
      <c r="H256" s="1"/>
      <c r="I256" s="257"/>
      <c r="J256" s="257"/>
    </row>
    <row r="257" spans="1:10" ht="25.5">
      <c r="A257" s="178" t="s">
        <v>3222</v>
      </c>
      <c r="B257" s="378" t="s">
        <v>1301</v>
      </c>
      <c r="C257" s="378"/>
      <c r="D257" s="103" t="s">
        <v>579</v>
      </c>
      <c r="E257" s="103" t="s">
        <v>580</v>
      </c>
      <c r="F257" s="103" t="s">
        <v>581</v>
      </c>
      <c r="G257" s="103" t="s">
        <v>582</v>
      </c>
      <c r="H257" s="103" t="s">
        <v>583</v>
      </c>
      <c r="I257" s="178" t="s">
        <v>791</v>
      </c>
      <c r="J257" s="178" t="s">
        <v>581</v>
      </c>
    </row>
    <row r="258" spans="1:10" ht="25.5">
      <c r="A258" s="379">
        <f>VLOOKUP(A257,'3 - PLAN. ORÇAMENTÁRIA'!$A$16:$B$721,2,FALSE)</f>
        <v>89993</v>
      </c>
      <c r="B258" s="159" t="s">
        <v>1585</v>
      </c>
      <c r="C258" s="221" t="s">
        <v>1586</v>
      </c>
      <c r="D258" s="159" t="s">
        <v>119</v>
      </c>
      <c r="E258" s="159" t="s">
        <v>1304</v>
      </c>
      <c r="F258" s="174">
        <v>4.2000000000000003E-2</v>
      </c>
      <c r="G258" s="232">
        <f>VLOOKUP(B258,'4 - R. ANALÍTICO - ORIGINAIS'!$B$9:$H$4132,6,FALSE)</f>
        <v>0.86</v>
      </c>
      <c r="H258" s="380">
        <f>F258*G258</f>
        <v>3.6119999999999999E-2</v>
      </c>
      <c r="I258" s="261">
        <f>VLOOKUP(A257,'3 - PLAN. ORÇAMENTÁRIA'!$A$17:$F$721,6,FALSE)</f>
        <v>4.55</v>
      </c>
      <c r="J258" s="381">
        <f>F258*I258</f>
        <v>0.19109999999999999</v>
      </c>
    </row>
    <row r="259" spans="1:10" ht="25.5">
      <c r="A259" s="1"/>
      <c r="B259" s="159" t="s">
        <v>1587</v>
      </c>
      <c r="C259" s="221" t="s">
        <v>1588</v>
      </c>
      <c r="D259" s="159" t="s">
        <v>119</v>
      </c>
      <c r="E259" s="159" t="s">
        <v>1307</v>
      </c>
      <c r="F259" s="174">
        <v>2.5000000000000001E-2</v>
      </c>
      <c r="G259" s="232">
        <f>VLOOKUP(B259,'4 - R. ANALÍTICO - ORIGINAIS'!$B$9:$H$4132,6,FALSE)</f>
        <v>6.35</v>
      </c>
      <c r="H259" s="380">
        <f>F259*G259</f>
        <v>0.15875</v>
      </c>
      <c r="I259" s="261">
        <f>I258</f>
        <v>4.55</v>
      </c>
      <c r="J259" s="381">
        <f>F259*I259</f>
        <v>0.11375</v>
      </c>
    </row>
    <row r="260" spans="1:10" ht="15">
      <c r="A260" s="1"/>
      <c r="B260" s="222"/>
      <c r="C260" s="222"/>
      <c r="D260" s="222"/>
      <c r="E260" s="222"/>
      <c r="F260" s="385" t="s">
        <v>1308</v>
      </c>
      <c r="G260" s="385"/>
      <c r="H260" s="102">
        <f>SUM(H258:H259)</f>
        <v>0.19486999999999999</v>
      </c>
      <c r="I260" s="257"/>
      <c r="J260" s="257"/>
    </row>
    <row r="261" spans="1:10" ht="15">
      <c r="A261" s="1"/>
      <c r="B261" s="1"/>
      <c r="C261" s="1"/>
      <c r="D261" s="1"/>
      <c r="E261" s="1"/>
      <c r="F261" s="1"/>
      <c r="G261" s="1"/>
      <c r="H261" s="1"/>
      <c r="I261" s="257"/>
      <c r="J261" s="257"/>
    </row>
    <row r="262" spans="1:10" ht="25.5">
      <c r="A262" s="178" t="s">
        <v>1085</v>
      </c>
      <c r="B262" s="378" t="s">
        <v>1301</v>
      </c>
      <c r="C262" s="378"/>
      <c r="D262" s="103" t="s">
        <v>579</v>
      </c>
      <c r="E262" s="103" t="s">
        <v>580</v>
      </c>
      <c r="F262" s="103" t="s">
        <v>581</v>
      </c>
      <c r="G262" s="103" t="s">
        <v>582</v>
      </c>
      <c r="H262" s="103" t="s">
        <v>583</v>
      </c>
      <c r="I262" s="178" t="s">
        <v>791</v>
      </c>
      <c r="J262" s="178" t="s">
        <v>581</v>
      </c>
    </row>
    <row r="263" spans="1:10" ht="25.5">
      <c r="A263" s="379" t="str">
        <f>VLOOKUP(A262,'3 - PLAN. ORÇAMENTÁRIA'!$A$16:$B$721,2,FALSE)</f>
        <v>CCU 112</v>
      </c>
      <c r="B263" s="159">
        <v>91693</v>
      </c>
      <c r="C263" s="221" t="s">
        <v>1303</v>
      </c>
      <c r="D263" s="159" t="s">
        <v>119</v>
      </c>
      <c r="E263" s="159" t="s">
        <v>1304</v>
      </c>
      <c r="F263" s="174">
        <v>0.39800000000000002</v>
      </c>
      <c r="G263" s="232">
        <f>VLOOKUP(B263,'5 - R. ANALÍTICO - MODIFICAD'!$B$27:$H$1212,6,FALSE)</f>
        <v>26.18</v>
      </c>
      <c r="H263" s="380">
        <f>F263*G263</f>
        <v>10.419640000000001</v>
      </c>
      <c r="I263" s="261">
        <f>VLOOKUP(A262,'3 - PLAN. ORÇAMENTÁRIA'!$A$17:$F$721,6,FALSE)</f>
        <v>42.2</v>
      </c>
      <c r="J263" s="381">
        <f>F263*I263</f>
        <v>16.7956</v>
      </c>
    </row>
    <row r="264" spans="1:10" ht="25.5">
      <c r="A264" s="1"/>
      <c r="B264" s="159">
        <v>91692</v>
      </c>
      <c r="C264" s="221" t="s">
        <v>1306</v>
      </c>
      <c r="D264" s="159" t="s">
        <v>119</v>
      </c>
      <c r="E264" s="159" t="s">
        <v>1307</v>
      </c>
      <c r="F264" s="174">
        <v>2.1000000000000001E-2</v>
      </c>
      <c r="G264" s="232">
        <f>VLOOKUP(B264,'5 - R. ANALÍTICO - MODIFICAD'!$B$27:$H$1212,6,FALSE)</f>
        <v>27.22</v>
      </c>
      <c r="H264" s="380">
        <f>F264*G264</f>
        <v>0.57162000000000002</v>
      </c>
      <c r="I264" s="261">
        <f>I263</f>
        <v>42.2</v>
      </c>
      <c r="J264" s="381">
        <f>F264*I264</f>
        <v>0.8862000000000001</v>
      </c>
    </row>
    <row r="265" spans="1:10" ht="15">
      <c r="A265" s="1"/>
      <c r="B265" s="163"/>
      <c r="C265" s="243"/>
      <c r="D265" s="244"/>
      <c r="E265" s="244"/>
      <c r="F265" s="385" t="s">
        <v>1308</v>
      </c>
      <c r="G265" s="385"/>
      <c r="H265" s="102">
        <f>SUM(H263:H264)</f>
        <v>10.99126</v>
      </c>
      <c r="I265" s="257"/>
      <c r="J265" s="257"/>
    </row>
    <row r="266" spans="1:10" ht="15">
      <c r="A266" s="1"/>
      <c r="B266" s="1"/>
      <c r="C266" s="1"/>
      <c r="D266" s="1"/>
      <c r="E266" s="1"/>
      <c r="F266" s="1"/>
      <c r="G266" s="1"/>
      <c r="H266" s="1"/>
      <c r="I266" s="257"/>
      <c r="J266" s="257"/>
    </row>
    <row r="267" spans="1:10" ht="25.5">
      <c r="A267" s="178" t="s">
        <v>280</v>
      </c>
      <c r="B267" s="378" t="s">
        <v>1301</v>
      </c>
      <c r="C267" s="378"/>
      <c r="D267" s="103" t="s">
        <v>579</v>
      </c>
      <c r="E267" s="103" t="s">
        <v>580</v>
      </c>
      <c r="F267" s="103" t="s">
        <v>581</v>
      </c>
      <c r="G267" s="103" t="s">
        <v>582</v>
      </c>
      <c r="H267" s="103" t="s">
        <v>583</v>
      </c>
      <c r="I267" s="178" t="s">
        <v>791</v>
      </c>
      <c r="J267" s="178" t="s">
        <v>581</v>
      </c>
    </row>
    <row r="268" spans="1:10" ht="25.5">
      <c r="A268" s="379" t="str">
        <f>VLOOKUP(A267,'3 - PLAN. ORÇAMENTÁRIA'!$A$16:$B$721,2,FALSE)</f>
        <v>CCU 159</v>
      </c>
      <c r="B268" s="159">
        <v>93282</v>
      </c>
      <c r="C268" s="221" t="s">
        <v>1506</v>
      </c>
      <c r="D268" s="159" t="s">
        <v>119</v>
      </c>
      <c r="E268" s="159" t="s">
        <v>1304</v>
      </c>
      <c r="F268" s="174">
        <v>1.1999999999999999E-3</v>
      </c>
      <c r="G268" s="232">
        <f>VLOOKUP(B268,'5 - R. ANALÍTICO - MODIFICAD'!$B$27:$H$1212,6,FALSE)</f>
        <v>26.48</v>
      </c>
      <c r="H268" s="380">
        <f>F268*G268</f>
        <v>3.1775999999999999E-2</v>
      </c>
      <c r="I268" s="261">
        <f>VLOOKUP(A267,'3 - PLAN. ORÇAMENTÁRIA'!$A$17:$F$721,6,FALSE)</f>
        <v>337.09</v>
      </c>
      <c r="J268" s="381">
        <f>F268*I268</f>
        <v>0.40450799999999992</v>
      </c>
    </row>
    <row r="269" spans="1:10" ht="25.5">
      <c r="A269" s="1"/>
      <c r="B269" s="159">
        <v>93281</v>
      </c>
      <c r="C269" s="221" t="s">
        <v>1508</v>
      </c>
      <c r="D269" s="159" t="s">
        <v>119</v>
      </c>
      <c r="E269" s="159" t="s">
        <v>1307</v>
      </c>
      <c r="F269" s="174">
        <v>8.9999999999999998E-4</v>
      </c>
      <c r="G269" s="232">
        <f>VLOOKUP(B269,'5 - R. ANALÍTICO - MODIFICAD'!$B$27:$H$1212,6,FALSE)</f>
        <v>27.3</v>
      </c>
      <c r="H269" s="380">
        <f>F269*G269</f>
        <v>2.4570000000000002E-2</v>
      </c>
      <c r="I269" s="261">
        <f>I268</f>
        <v>337.09</v>
      </c>
      <c r="J269" s="381">
        <f>F269*I269</f>
        <v>0.30338099999999996</v>
      </c>
    </row>
    <row r="270" spans="1:10" ht="15">
      <c r="A270" s="1"/>
      <c r="B270" s="222"/>
      <c r="C270" s="222"/>
      <c r="D270" s="222"/>
      <c r="E270" s="222"/>
      <c r="F270" s="385" t="s">
        <v>1308</v>
      </c>
      <c r="G270" s="385"/>
      <c r="H270" s="102">
        <f>SUM(H268:H269)</f>
        <v>5.6346E-2</v>
      </c>
      <c r="I270" s="257"/>
      <c r="J270" s="257"/>
    </row>
    <row r="271" spans="1:10" ht="15">
      <c r="A271" s="1"/>
      <c r="B271" s="1"/>
      <c r="C271" s="1"/>
      <c r="D271" s="1"/>
      <c r="E271" s="1"/>
      <c r="F271" s="1"/>
      <c r="G271" s="1"/>
      <c r="H271" s="1"/>
      <c r="I271" s="257"/>
      <c r="J271" s="257"/>
    </row>
    <row r="272" spans="1:10" ht="25.5">
      <c r="A272" s="178" t="s">
        <v>281</v>
      </c>
      <c r="B272" s="628" t="s">
        <v>1301</v>
      </c>
      <c r="C272" s="628"/>
      <c r="D272" s="103" t="s">
        <v>579</v>
      </c>
      <c r="E272" s="103" t="s">
        <v>580</v>
      </c>
      <c r="F272" s="103" t="s">
        <v>581</v>
      </c>
      <c r="G272" s="103" t="s">
        <v>582</v>
      </c>
      <c r="H272" s="103" t="s">
        <v>583</v>
      </c>
      <c r="I272" s="178" t="s">
        <v>791</v>
      </c>
      <c r="J272" s="178" t="s">
        <v>581</v>
      </c>
    </row>
    <row r="273" spans="1:10" ht="25.5">
      <c r="A273" s="379" t="str">
        <f>VLOOKUP(A272,'3 - PLAN. ORÇAMENTÁRIA'!$A$16:$B$721,2,FALSE)</f>
        <v>CCU 178</v>
      </c>
      <c r="B273" s="130">
        <v>93282</v>
      </c>
      <c r="C273" s="229" t="s">
        <v>1506</v>
      </c>
      <c r="D273" s="130" t="s">
        <v>119</v>
      </c>
      <c r="E273" s="130" t="s">
        <v>1304</v>
      </c>
      <c r="F273" s="230">
        <v>2.7000000000000001E-3</v>
      </c>
      <c r="G273" s="232">
        <f>VLOOKUP(B273,'5 - R. ANALÍTICO - MODIFICAD'!$B$27:$H$1212,6,FALSE)</f>
        <v>26.48</v>
      </c>
      <c r="H273" s="380">
        <f>F273*G273</f>
        <v>7.1496000000000004E-2</v>
      </c>
      <c r="I273" s="261">
        <f>VLOOKUP(A272,'3 - PLAN. ORÇAMENTÁRIA'!$A$17:$F$721,6,FALSE)</f>
        <v>17.850000000000001</v>
      </c>
      <c r="J273" s="381">
        <f>F273*I273</f>
        <v>4.8195000000000009E-2</v>
      </c>
    </row>
    <row r="274" spans="1:10" ht="25.5">
      <c r="A274" s="1"/>
      <c r="B274" s="130">
        <v>93281</v>
      </c>
      <c r="C274" s="229" t="s">
        <v>1508</v>
      </c>
      <c r="D274" s="130" t="s">
        <v>119</v>
      </c>
      <c r="E274" s="130" t="s">
        <v>1307</v>
      </c>
      <c r="F274" s="230">
        <v>2E-3</v>
      </c>
      <c r="G274" s="232">
        <f>VLOOKUP(B274,'5 - R. ANALÍTICO - MODIFICAD'!$B$27:$H$1212,6,FALSE)</f>
        <v>27.3</v>
      </c>
      <c r="H274" s="380">
        <f>F274*G274</f>
        <v>5.4600000000000003E-2</v>
      </c>
      <c r="I274" s="261">
        <f>I273</f>
        <v>17.850000000000001</v>
      </c>
      <c r="J274" s="381">
        <f>F274*I274</f>
        <v>3.5700000000000003E-2</v>
      </c>
    </row>
    <row r="275" spans="1:10" ht="15">
      <c r="A275" s="1"/>
      <c r="B275" s="105"/>
      <c r="C275" s="105"/>
      <c r="D275" s="105"/>
      <c r="E275" s="105"/>
      <c r="F275" s="442" t="s">
        <v>1308</v>
      </c>
      <c r="G275" s="442"/>
      <c r="H275" s="488">
        <f>SUM(H273:H274)</f>
        <v>0.12609600000000001</v>
      </c>
      <c r="I275" s="257"/>
      <c r="J275" s="257"/>
    </row>
    <row r="276" spans="1:10" ht="15">
      <c r="A276" s="1"/>
      <c r="B276" s="1"/>
      <c r="C276" s="1"/>
      <c r="D276" s="1"/>
      <c r="E276" s="1"/>
      <c r="F276" s="1"/>
      <c r="G276" s="1"/>
      <c r="H276" s="1"/>
      <c r="I276" s="257"/>
      <c r="J276" s="257"/>
    </row>
    <row r="277" spans="1:10" ht="25.5">
      <c r="A277" s="178" t="s">
        <v>282</v>
      </c>
      <c r="B277" s="378" t="s">
        <v>1301</v>
      </c>
      <c r="C277" s="378"/>
      <c r="D277" s="103" t="s">
        <v>579</v>
      </c>
      <c r="E277" s="103" t="s">
        <v>580</v>
      </c>
      <c r="F277" s="103" t="s">
        <v>581</v>
      </c>
      <c r="G277" s="103" t="s">
        <v>582</v>
      </c>
      <c r="H277" s="103" t="s">
        <v>583</v>
      </c>
      <c r="I277" s="178" t="s">
        <v>791</v>
      </c>
      <c r="J277" s="178" t="s">
        <v>581</v>
      </c>
    </row>
    <row r="278" spans="1:10" ht="25.5">
      <c r="A278" s="379">
        <f>VLOOKUP(A277,'3 - PLAN. ORÇAMENTÁRIA'!$A$16:$B$721,2,FALSE)</f>
        <v>94231</v>
      </c>
      <c r="B278" s="159" t="s">
        <v>1505</v>
      </c>
      <c r="C278" s="221" t="s">
        <v>1506</v>
      </c>
      <c r="D278" s="159" t="s">
        <v>119</v>
      </c>
      <c r="E278" s="159" t="s">
        <v>1304</v>
      </c>
      <c r="F278" s="174">
        <v>1.83E-2</v>
      </c>
      <c r="G278" s="232">
        <f>VLOOKUP(B278,'4 - R. ANALÍTICO - ORIGINAIS'!$B$9:$H$4132,6,FALSE)</f>
        <v>26.48</v>
      </c>
      <c r="H278" s="380">
        <f>F278*G278</f>
        <v>0.48458400000000001</v>
      </c>
      <c r="I278" s="261">
        <f>VLOOKUP(A277,'3 - PLAN. ORÇAMENTÁRIA'!$A$17:$F$721,6,FALSE)</f>
        <v>184.5</v>
      </c>
      <c r="J278" s="381">
        <f>F278*I278</f>
        <v>3.37635</v>
      </c>
    </row>
    <row r="279" spans="1:10" ht="25.5">
      <c r="A279" s="1"/>
      <c r="B279" s="159" t="s">
        <v>1507</v>
      </c>
      <c r="C279" s="221" t="s">
        <v>1508</v>
      </c>
      <c r="D279" s="159" t="s">
        <v>119</v>
      </c>
      <c r="E279" s="159" t="s">
        <v>1307</v>
      </c>
      <c r="F279" s="174">
        <v>1.32E-2</v>
      </c>
      <c r="G279" s="232">
        <f>VLOOKUP(B279,'4 - R. ANALÍTICO - ORIGINAIS'!$B$9:$H$4132,6,FALSE)</f>
        <v>27.3</v>
      </c>
      <c r="H279" s="380">
        <f>F279*G279</f>
        <v>0.36036000000000001</v>
      </c>
      <c r="I279" s="261">
        <f>I278</f>
        <v>184.5</v>
      </c>
      <c r="J279" s="381">
        <f>F279*I279</f>
        <v>2.4354</v>
      </c>
    </row>
    <row r="280" spans="1:10" ht="15">
      <c r="A280" s="1"/>
      <c r="B280" s="222"/>
      <c r="C280" s="222"/>
      <c r="D280" s="222"/>
      <c r="E280" s="222"/>
      <c r="F280" s="385" t="s">
        <v>1308</v>
      </c>
      <c r="G280" s="385"/>
      <c r="H280" s="102">
        <f>SUM(H278:H279)</f>
        <v>0.84494400000000003</v>
      </c>
      <c r="I280" s="257"/>
      <c r="J280" s="257"/>
    </row>
    <row r="281" spans="1:10" ht="15">
      <c r="A281" s="1"/>
      <c r="B281" s="1"/>
      <c r="C281" s="1"/>
      <c r="D281" s="1"/>
      <c r="E281" s="1"/>
      <c r="F281" s="1"/>
      <c r="G281" s="1"/>
      <c r="H281" s="1"/>
      <c r="I281" s="257"/>
      <c r="J281" s="257"/>
    </row>
    <row r="282" spans="1:10" ht="25.5">
      <c r="A282" s="178" t="s">
        <v>2253</v>
      </c>
      <c r="B282" s="378" t="s">
        <v>1301</v>
      </c>
      <c r="C282" s="378"/>
      <c r="D282" s="103" t="s">
        <v>579</v>
      </c>
      <c r="E282" s="103" t="s">
        <v>580</v>
      </c>
      <c r="F282" s="103" t="s">
        <v>581</v>
      </c>
      <c r="G282" s="103" t="s">
        <v>582</v>
      </c>
      <c r="H282" s="103" t="s">
        <v>583</v>
      </c>
      <c r="I282" s="178" t="s">
        <v>791</v>
      </c>
      <c r="J282" s="178" t="s">
        <v>581</v>
      </c>
    </row>
    <row r="283" spans="1:10" ht="25.5">
      <c r="A283" s="379">
        <f>VLOOKUP(A282,'3 - PLAN. ORÇAMENTÁRIA'!$A$16:$B$721,2,FALSE)</f>
        <v>94229</v>
      </c>
      <c r="B283" s="159" t="s">
        <v>1505</v>
      </c>
      <c r="C283" s="221" t="s">
        <v>1506</v>
      </c>
      <c r="D283" s="159" t="s">
        <v>119</v>
      </c>
      <c r="E283" s="159" t="s">
        <v>1304</v>
      </c>
      <c r="F283" s="174">
        <v>1.83E-2</v>
      </c>
      <c r="G283" s="232">
        <f>VLOOKUP(B283,'4 - R. ANALÍTICO - ORIGINAIS'!$B$9:$H$4132,6,FALSE)</f>
        <v>26.48</v>
      </c>
      <c r="H283" s="380">
        <f>F283*G283</f>
        <v>0.48458400000000001</v>
      </c>
      <c r="I283" s="261">
        <f>VLOOKUP(A282,'3 - PLAN. ORÇAMENTÁRIA'!$A$17:$F$721,6,FALSE)</f>
        <v>57.52</v>
      </c>
      <c r="J283" s="381">
        <f>F283*I283</f>
        <v>1.052616</v>
      </c>
    </row>
    <row r="284" spans="1:10" ht="25.5">
      <c r="A284" s="1"/>
      <c r="B284" s="159" t="s">
        <v>1507</v>
      </c>
      <c r="C284" s="221" t="s">
        <v>1508</v>
      </c>
      <c r="D284" s="159" t="s">
        <v>119</v>
      </c>
      <c r="E284" s="159" t="s">
        <v>1307</v>
      </c>
      <c r="F284" s="174">
        <v>1.32E-2</v>
      </c>
      <c r="G284" s="232">
        <f>VLOOKUP(B284,'4 - R. ANALÍTICO - ORIGINAIS'!$B$9:$H$4132,6,FALSE)</f>
        <v>27.3</v>
      </c>
      <c r="H284" s="380">
        <f>F284*G284</f>
        <v>0.36036000000000001</v>
      </c>
      <c r="I284" s="261">
        <f>I283</f>
        <v>57.52</v>
      </c>
      <c r="J284" s="381">
        <f>F284*I284</f>
        <v>0.75926400000000005</v>
      </c>
    </row>
    <row r="285" spans="1:10" ht="15">
      <c r="A285" s="1"/>
      <c r="B285" s="222"/>
      <c r="C285" s="222"/>
      <c r="D285" s="222"/>
      <c r="E285" s="222"/>
      <c r="F285" s="385" t="s">
        <v>1308</v>
      </c>
      <c r="G285" s="385"/>
      <c r="H285" s="102">
        <f>SUM(H283:H284)</f>
        <v>0.84494400000000003</v>
      </c>
      <c r="I285" s="257"/>
      <c r="J285" s="257"/>
    </row>
    <row r="286" spans="1:10" ht="15">
      <c r="A286" s="1"/>
      <c r="B286" s="1"/>
      <c r="C286" s="1"/>
      <c r="D286" s="1"/>
      <c r="E286" s="1"/>
      <c r="F286" s="1"/>
      <c r="G286" s="1"/>
      <c r="H286" s="1"/>
      <c r="I286" s="257"/>
      <c r="J286" s="257"/>
    </row>
    <row r="287" spans="1:10" ht="25.5">
      <c r="A287" s="178" t="s">
        <v>289</v>
      </c>
      <c r="B287" s="378" t="s">
        <v>1301</v>
      </c>
      <c r="C287" s="378"/>
      <c r="D287" s="103" t="s">
        <v>579</v>
      </c>
      <c r="E287" s="103" t="s">
        <v>580</v>
      </c>
      <c r="F287" s="103" t="s">
        <v>581</v>
      </c>
      <c r="G287" s="103" t="s">
        <v>582</v>
      </c>
      <c r="H287" s="103" t="s">
        <v>583</v>
      </c>
      <c r="I287" s="178" t="s">
        <v>791</v>
      </c>
      <c r="J287" s="178" t="s">
        <v>581</v>
      </c>
    </row>
    <row r="288" spans="1:10" ht="25.5">
      <c r="A288" s="379">
        <f>VLOOKUP(A287,'3 - PLAN. ORÇAMENTÁRIA'!$A$16:$B$721,2,FALSE)</f>
        <v>100324</v>
      </c>
      <c r="B288" s="159" t="s">
        <v>1517</v>
      </c>
      <c r="C288" s="221" t="s">
        <v>1518</v>
      </c>
      <c r="D288" s="159" t="s">
        <v>119</v>
      </c>
      <c r="E288" s="159" t="s">
        <v>1304</v>
      </c>
      <c r="F288" s="174">
        <v>0.03</v>
      </c>
      <c r="G288" s="232">
        <f>VLOOKUP(B288,'4 - R. ANALÍTICO - ORIGINAIS'!$B$9:$H$4132,6,FALSE)</f>
        <v>0.72</v>
      </c>
      <c r="H288" s="380">
        <f>F288*G288</f>
        <v>2.1599999999999998E-2</v>
      </c>
      <c r="I288" s="261">
        <f>VLOOKUP(A287,'3 - PLAN. ORÇAMENTÁRIA'!$A$17:$F$721,6,FALSE)</f>
        <v>27.04</v>
      </c>
      <c r="J288" s="381">
        <f>F288*I288</f>
        <v>0.81119999999999992</v>
      </c>
    </row>
    <row r="289" spans="1:10" ht="25.5">
      <c r="A289" s="1"/>
      <c r="B289" s="159" t="s">
        <v>1519</v>
      </c>
      <c r="C289" s="221" t="s">
        <v>1520</v>
      </c>
      <c r="D289" s="159" t="s">
        <v>119</v>
      </c>
      <c r="E289" s="159" t="s">
        <v>1307</v>
      </c>
      <c r="F289" s="174">
        <v>3.2000000000000001E-2</v>
      </c>
      <c r="G289" s="232">
        <f>VLOOKUP(B289,'4 - R. ANALÍTICO - ORIGINAIS'!$B$9:$H$4132,6,FALSE)</f>
        <v>10.01</v>
      </c>
      <c r="H289" s="380">
        <f>F289*G289</f>
        <v>0.32031999999999999</v>
      </c>
      <c r="I289" s="261">
        <f>I288</f>
        <v>27.04</v>
      </c>
      <c r="J289" s="381">
        <f>F289*I289</f>
        <v>0.86527999999999994</v>
      </c>
    </row>
    <row r="290" spans="1:10" ht="15">
      <c r="A290" s="1"/>
      <c r="B290" s="222"/>
      <c r="C290" s="222"/>
      <c r="D290" s="222"/>
      <c r="E290" s="222"/>
      <c r="F290" s="385" t="s">
        <v>1308</v>
      </c>
      <c r="G290" s="385"/>
      <c r="H290" s="102">
        <f>SUM(H288:H289)</f>
        <v>0.34192</v>
      </c>
      <c r="I290" s="257"/>
      <c r="J290" s="257"/>
    </row>
    <row r="291" spans="1:10" ht="15">
      <c r="A291" s="1"/>
      <c r="B291" s="1"/>
      <c r="C291" s="1"/>
      <c r="D291" s="1"/>
      <c r="E291" s="1"/>
      <c r="F291" s="1"/>
      <c r="G291" s="1"/>
      <c r="H291" s="1"/>
      <c r="I291" s="257"/>
      <c r="J291" s="257"/>
    </row>
    <row r="292" spans="1:10" ht="25.5">
      <c r="A292" s="178" t="s">
        <v>1168</v>
      </c>
      <c r="B292" s="378" t="s">
        <v>1301</v>
      </c>
      <c r="C292" s="378"/>
      <c r="D292" s="103" t="s">
        <v>579</v>
      </c>
      <c r="E292" s="103" t="s">
        <v>580</v>
      </c>
      <c r="F292" s="103" t="s">
        <v>581</v>
      </c>
      <c r="G292" s="103" t="s">
        <v>582</v>
      </c>
      <c r="H292" s="103" t="s">
        <v>583</v>
      </c>
      <c r="I292" s="178" t="s">
        <v>791</v>
      </c>
      <c r="J292" s="178" t="s">
        <v>581</v>
      </c>
    </row>
    <row r="293" spans="1:10" ht="25.5">
      <c r="A293" s="379">
        <f>VLOOKUP(A292,'3 - PLAN. ORÇAMENTÁRIA'!$A$16:$B$721,2,FALSE)</f>
        <v>96542</v>
      </c>
      <c r="B293" s="159" t="s">
        <v>1302</v>
      </c>
      <c r="C293" s="221" t="s">
        <v>1303</v>
      </c>
      <c r="D293" s="159" t="s">
        <v>119</v>
      </c>
      <c r="E293" s="159" t="s">
        <v>1304</v>
      </c>
      <c r="F293" s="174">
        <v>5.6000000000000001E-2</v>
      </c>
      <c r="G293" s="232">
        <f>VLOOKUP(B293,'4 - R. ANALÍTICO - ORIGINAIS'!$B$9:$H$4132,6,FALSE)</f>
        <v>26.18</v>
      </c>
      <c r="H293" s="380">
        <f>F293*G293</f>
        <v>1.46608</v>
      </c>
      <c r="I293" s="261">
        <f>VLOOKUP(A292,'3 - PLAN. ORÇAMENTÁRIA'!$A$17:$F$721,6,FALSE)</f>
        <v>0.46</v>
      </c>
      <c r="J293" s="381">
        <f>F293*I293</f>
        <v>2.5760000000000002E-2</v>
      </c>
    </row>
    <row r="294" spans="1:10" ht="25.5">
      <c r="A294" s="1"/>
      <c r="B294" s="159" t="s">
        <v>1305</v>
      </c>
      <c r="C294" s="221" t="s">
        <v>1306</v>
      </c>
      <c r="D294" s="159" t="s">
        <v>119</v>
      </c>
      <c r="E294" s="159" t="s">
        <v>1307</v>
      </c>
      <c r="F294" s="174">
        <v>1.4E-2</v>
      </c>
      <c r="G294" s="232">
        <f>VLOOKUP(B294,'4 - R. ANALÍTICO - ORIGINAIS'!$B$9:$H$4132,6,FALSE)</f>
        <v>27.22</v>
      </c>
      <c r="H294" s="380">
        <f>F294*G294</f>
        <v>0.38107999999999997</v>
      </c>
      <c r="I294" s="261">
        <f>I293</f>
        <v>0.46</v>
      </c>
      <c r="J294" s="381">
        <f>F294*I294</f>
        <v>6.4400000000000004E-3</v>
      </c>
    </row>
    <row r="295" spans="1:10" ht="15">
      <c r="A295" s="1"/>
      <c r="B295" s="222"/>
      <c r="C295" s="222"/>
      <c r="D295" s="222"/>
      <c r="E295" s="222"/>
      <c r="F295" s="385" t="s">
        <v>1308</v>
      </c>
      <c r="G295" s="385"/>
      <c r="H295" s="102">
        <f>SUM(H293:H294)</f>
        <v>1.8471600000000001</v>
      </c>
      <c r="I295" s="257"/>
      <c r="J295" s="257"/>
    </row>
    <row r="296" spans="1:10" ht="15">
      <c r="A296" s="1"/>
      <c r="B296" s="1"/>
      <c r="C296" s="1"/>
      <c r="D296" s="1"/>
      <c r="E296" s="1"/>
      <c r="F296" s="1"/>
      <c r="G296" s="1"/>
      <c r="H296" s="1"/>
      <c r="I296" s="257"/>
      <c r="J296" s="257"/>
    </row>
    <row r="297" spans="1:10" ht="25.5">
      <c r="A297" s="178" t="s">
        <v>1114</v>
      </c>
      <c r="B297" s="378" t="s">
        <v>1301</v>
      </c>
      <c r="C297" s="378"/>
      <c r="D297" s="103" t="s">
        <v>579</v>
      </c>
      <c r="E297" s="103" t="s">
        <v>580</v>
      </c>
      <c r="F297" s="103" t="s">
        <v>581</v>
      </c>
      <c r="G297" s="103" t="s">
        <v>582</v>
      </c>
      <c r="H297" s="103" t="s">
        <v>583</v>
      </c>
      <c r="I297" s="178" t="s">
        <v>791</v>
      </c>
      <c r="J297" s="178" t="s">
        <v>581</v>
      </c>
    </row>
    <row r="298" spans="1:10" ht="15">
      <c r="A298" s="379">
        <f>VLOOKUP(A297,'3 - PLAN. ORÇAMENTÁRIA'!$A$16:$B$721,2,FALSE)</f>
        <v>98521</v>
      </c>
      <c r="B298" s="159">
        <v>5952</v>
      </c>
      <c r="C298" s="221" t="s">
        <v>2519</v>
      </c>
      <c r="D298" s="159" t="s">
        <v>119</v>
      </c>
      <c r="E298" s="159" t="s">
        <v>1304</v>
      </c>
      <c r="F298" s="174">
        <v>0.51700000000000002</v>
      </c>
      <c r="G298" s="232">
        <f>VLOOKUP(B298,'5 - R. ANALÍTICO - MODIFICAD'!$B$27:$H$1212,6,FALSE)</f>
        <v>27.94</v>
      </c>
      <c r="H298" s="380">
        <f>F298*G298</f>
        <v>14.444980000000001</v>
      </c>
      <c r="I298" s="261">
        <f>VLOOKUP(A297,'3 - PLAN. ORÇAMENTÁRIA'!$A$17:$F$721,6,FALSE)</f>
        <v>1192.93</v>
      </c>
      <c r="J298" s="381">
        <f>F298*I298</f>
        <v>616.74481000000003</v>
      </c>
    </row>
    <row r="299" spans="1:10" ht="15">
      <c r="A299" s="1"/>
      <c r="B299" s="159">
        <v>5795</v>
      </c>
      <c r="C299" s="221" t="s">
        <v>2520</v>
      </c>
      <c r="D299" s="159" t="s">
        <v>119</v>
      </c>
      <c r="E299" s="159" t="s">
        <v>1307</v>
      </c>
      <c r="F299" s="174">
        <v>0.15359999999999999</v>
      </c>
      <c r="G299" s="232">
        <f>VLOOKUP(B299,'5 - R. ANALÍTICO - MODIFICAD'!$B$27:$H$1212,6,FALSE)</f>
        <v>29.92</v>
      </c>
      <c r="H299" s="380">
        <f>F299*G299</f>
        <v>4.5957119999999998</v>
      </c>
      <c r="I299" s="261">
        <f>I298</f>
        <v>1192.93</v>
      </c>
      <c r="J299" s="381">
        <f>F299*I299</f>
        <v>183.234048</v>
      </c>
    </row>
    <row r="300" spans="1:10" ht="15">
      <c r="A300" s="1"/>
      <c r="B300" s="222"/>
      <c r="C300" s="222"/>
      <c r="D300" s="222"/>
      <c r="E300" s="222"/>
      <c r="F300" s="385" t="s">
        <v>1308</v>
      </c>
      <c r="G300" s="385"/>
      <c r="H300" s="102">
        <f>SUM(H298:H299)</f>
        <v>19.040692</v>
      </c>
      <c r="I300" s="257"/>
      <c r="J300" s="257"/>
    </row>
    <row r="301" spans="1:10" ht="15">
      <c r="A301" s="1"/>
      <c r="B301" s="1"/>
      <c r="C301" s="1"/>
      <c r="D301" s="1"/>
      <c r="E301" s="1"/>
      <c r="F301" s="1"/>
      <c r="G301" s="1"/>
      <c r="H301" s="1"/>
      <c r="I301" s="257"/>
      <c r="J301" s="257"/>
    </row>
    <row r="302" spans="1:10" ht="25.5">
      <c r="A302" s="178" t="s">
        <v>1115</v>
      </c>
      <c r="B302" s="378" t="s">
        <v>1301</v>
      </c>
      <c r="C302" s="378"/>
      <c r="D302" s="103" t="s">
        <v>579</v>
      </c>
      <c r="E302" s="103" t="s">
        <v>580</v>
      </c>
      <c r="F302" s="103" t="s">
        <v>581</v>
      </c>
      <c r="G302" s="103" t="s">
        <v>582</v>
      </c>
      <c r="H302" s="103" t="s">
        <v>583</v>
      </c>
      <c r="I302" s="178" t="s">
        <v>791</v>
      </c>
      <c r="J302" s="178" t="s">
        <v>581</v>
      </c>
    </row>
    <row r="303" spans="1:10" ht="15">
      <c r="A303" s="379" t="str">
        <f>VLOOKUP(A302,'3 - PLAN. ORÇAMENTÁRIA'!$A$16:$B$721,2,FALSE)</f>
        <v>CCU 040</v>
      </c>
      <c r="B303" s="159">
        <v>5952</v>
      </c>
      <c r="C303" s="221" t="s">
        <v>2519</v>
      </c>
      <c r="D303" s="159" t="s">
        <v>119</v>
      </c>
      <c r="E303" s="159" t="s">
        <v>1304</v>
      </c>
      <c r="F303" s="174">
        <v>0.51700000000000002</v>
      </c>
      <c r="G303" s="232">
        <f>VLOOKUP(B303,'5 - R. ANALÍTICO - MODIFICAD'!$B$27:$H$1212,6,FALSE)</f>
        <v>27.94</v>
      </c>
      <c r="H303" s="380">
        <f>F303*G303</f>
        <v>14.444980000000001</v>
      </c>
      <c r="I303" s="261">
        <f>VLOOKUP(A302,'3 - PLAN. ORÇAMENTÁRIA'!$A$17:$F$721,6,FALSE)</f>
        <v>7</v>
      </c>
      <c r="J303" s="381">
        <f>F303*I303</f>
        <v>3.6190000000000002</v>
      </c>
    </row>
    <row r="304" spans="1:10" ht="15">
      <c r="A304" s="1"/>
      <c r="B304" s="159">
        <v>5795</v>
      </c>
      <c r="C304" s="221" t="s">
        <v>1570</v>
      </c>
      <c r="D304" s="159" t="s">
        <v>119</v>
      </c>
      <c r="E304" s="159" t="s">
        <v>1307</v>
      </c>
      <c r="F304" s="174">
        <v>0.15359999999999999</v>
      </c>
      <c r="G304" s="232">
        <f>VLOOKUP(B304,'5 - R. ANALÍTICO - MODIFICAD'!$B$27:$H$1212,6,FALSE)</f>
        <v>29.92</v>
      </c>
      <c r="H304" s="380">
        <f>F304*G304</f>
        <v>4.5957119999999998</v>
      </c>
      <c r="I304" s="261">
        <f>I303</f>
        <v>7</v>
      </c>
      <c r="J304" s="381">
        <f>F304*I304</f>
        <v>1.0751999999999999</v>
      </c>
    </row>
    <row r="305" spans="1:10" ht="15">
      <c r="A305" s="1"/>
      <c r="B305" s="222"/>
      <c r="C305" s="222"/>
      <c r="D305" s="222"/>
      <c r="E305" s="222"/>
      <c r="F305" s="385" t="s">
        <v>1308</v>
      </c>
      <c r="G305" s="385"/>
      <c r="H305" s="102">
        <f>SUM(H303:H304)</f>
        <v>19.040692</v>
      </c>
      <c r="I305" s="257"/>
      <c r="J305" s="257"/>
    </row>
    <row r="306" spans="1:10" ht="15">
      <c r="A306" s="1"/>
      <c r="B306" s="1"/>
      <c r="C306" s="1"/>
      <c r="D306" s="1"/>
      <c r="E306" s="1"/>
      <c r="F306" s="1"/>
      <c r="G306" s="1"/>
      <c r="H306" s="1"/>
      <c r="I306" s="257"/>
      <c r="J306" s="257"/>
    </row>
    <row r="307" spans="1:10" ht="25.5">
      <c r="A307" s="178" t="s">
        <v>1117</v>
      </c>
      <c r="B307" s="378" t="s">
        <v>1301</v>
      </c>
      <c r="C307" s="378"/>
      <c r="D307" s="103" t="s">
        <v>579</v>
      </c>
      <c r="E307" s="103" t="s">
        <v>580</v>
      </c>
      <c r="F307" s="103" t="s">
        <v>581</v>
      </c>
      <c r="G307" s="103" t="s">
        <v>582</v>
      </c>
      <c r="H307" s="103" t="s">
        <v>583</v>
      </c>
      <c r="I307" s="178" t="s">
        <v>791</v>
      </c>
      <c r="J307" s="178" t="s">
        <v>581</v>
      </c>
    </row>
    <row r="308" spans="1:10" ht="38.25">
      <c r="A308" s="379" t="str">
        <f>VLOOKUP(A307,'3 - PLAN. ORÇAMENTÁRIA'!$A$16:$B$721,2,FALSE)</f>
        <v>CCU 010</v>
      </c>
      <c r="B308" s="159" t="s">
        <v>1573</v>
      </c>
      <c r="C308" s="221" t="s">
        <v>1574</v>
      </c>
      <c r="D308" s="159" t="s">
        <v>119</v>
      </c>
      <c r="E308" s="159" t="s">
        <v>1304</v>
      </c>
      <c r="F308" s="174">
        <v>0.87809999999999999</v>
      </c>
      <c r="G308" s="232">
        <f>VLOOKUP(B308,'4 - R. ANALÍTICO - ORIGINAIS'!$B$9:$H$4132,6,FALSE)</f>
        <v>64.37</v>
      </c>
      <c r="H308" s="380">
        <f>F308*G308</f>
        <v>56.523297000000007</v>
      </c>
      <c r="I308" s="261">
        <f>VLOOKUP(A307,'3 - PLAN. ORÇAMENTÁRIA'!$A$17:$F$721,6,FALSE)</f>
        <v>5</v>
      </c>
      <c r="J308" s="381">
        <f>F308*I308</f>
        <v>4.3905000000000003</v>
      </c>
    </row>
    <row r="309" spans="1:10" ht="38.25">
      <c r="A309" s="1"/>
      <c r="B309" s="159" t="s">
        <v>1575</v>
      </c>
      <c r="C309" s="221" t="s">
        <v>1576</v>
      </c>
      <c r="D309" s="159" t="s">
        <v>119</v>
      </c>
      <c r="E309" s="159" t="s">
        <v>1307</v>
      </c>
      <c r="F309" s="174">
        <v>0.24740000000000001</v>
      </c>
      <c r="G309" s="232">
        <f>VLOOKUP(B309,'4 - R. ANALÍTICO - ORIGINAIS'!$B$9:$H$4132,6,FALSE)</f>
        <v>234.26</v>
      </c>
      <c r="H309" s="380">
        <f>F309*G309</f>
        <v>57.955924000000003</v>
      </c>
      <c r="I309" s="261">
        <f>I308</f>
        <v>5</v>
      </c>
      <c r="J309" s="381">
        <f>F309*I309</f>
        <v>1.2370000000000001</v>
      </c>
    </row>
    <row r="310" spans="1:10" ht="15">
      <c r="A310" s="1"/>
      <c r="B310" s="222"/>
      <c r="C310" s="222"/>
      <c r="D310" s="222"/>
      <c r="E310" s="222"/>
      <c r="F310" s="385" t="s">
        <v>1308</v>
      </c>
      <c r="G310" s="385"/>
      <c r="H310" s="102">
        <f>SUM(H308:H309)</f>
        <v>114.47922100000001</v>
      </c>
      <c r="I310" s="257"/>
      <c r="J310" s="257"/>
    </row>
    <row r="311" spans="1:10" ht="15">
      <c r="A311" s="1"/>
      <c r="B311" s="1"/>
      <c r="C311" s="1"/>
      <c r="D311" s="1"/>
      <c r="E311" s="1"/>
      <c r="F311" s="1"/>
      <c r="G311" s="1"/>
      <c r="H311" s="1"/>
      <c r="I311" s="257"/>
      <c r="J311" s="257"/>
    </row>
    <row r="312" spans="1:10" ht="25.5">
      <c r="A312" s="178" t="s">
        <v>2681</v>
      </c>
      <c r="B312" s="378" t="s">
        <v>1301</v>
      </c>
      <c r="C312" s="378"/>
      <c r="D312" s="103" t="s">
        <v>579</v>
      </c>
      <c r="E312" s="103" t="s">
        <v>580</v>
      </c>
      <c r="F312" s="103" t="s">
        <v>581</v>
      </c>
      <c r="G312" s="103" t="s">
        <v>582</v>
      </c>
      <c r="H312" s="103" t="s">
        <v>583</v>
      </c>
      <c r="I312" s="178" t="s">
        <v>791</v>
      </c>
      <c r="J312" s="178" t="s">
        <v>581</v>
      </c>
    </row>
    <row r="313" spans="1:10" ht="25.5">
      <c r="A313" s="379">
        <f>VLOOKUP(A312,'3 - PLAN. ORÇAMENTÁRIA'!$A$16:$B$721,2,FALSE)</f>
        <v>97083</v>
      </c>
      <c r="B313" s="159" t="s">
        <v>1585</v>
      </c>
      <c r="C313" s="221" t="s">
        <v>1586</v>
      </c>
      <c r="D313" s="159" t="s">
        <v>119</v>
      </c>
      <c r="E313" s="159" t="s">
        <v>1304</v>
      </c>
      <c r="F313" s="174">
        <v>4.2000000000000003E-2</v>
      </c>
      <c r="G313" s="232">
        <f>VLOOKUP(B313,'4 - R. ANALÍTICO - ORIGINAIS'!$B$9:$H$4132,6,FALSE)</f>
        <v>0.86</v>
      </c>
      <c r="H313" s="380">
        <f>F313*G313</f>
        <v>3.6119999999999999E-2</v>
      </c>
      <c r="I313" s="261">
        <f>VLOOKUP(A312,'3 - PLAN. ORÇAMENTÁRIA'!$A$17:$F$721,6,FALSE)</f>
        <v>667.65</v>
      </c>
      <c r="J313" s="381">
        <f>F313*I313</f>
        <v>28.0413</v>
      </c>
    </row>
    <row r="314" spans="1:10" ht="25.5">
      <c r="A314" s="1"/>
      <c r="B314" s="159" t="s">
        <v>1587</v>
      </c>
      <c r="C314" s="221" t="s">
        <v>1588</v>
      </c>
      <c r="D314" s="159" t="s">
        <v>119</v>
      </c>
      <c r="E314" s="159" t="s">
        <v>1307</v>
      </c>
      <c r="F314" s="174">
        <v>2.5000000000000001E-2</v>
      </c>
      <c r="G314" s="232">
        <f>VLOOKUP(B314,'4 - R. ANALÍTICO - ORIGINAIS'!$B$9:$H$4132,6,FALSE)</f>
        <v>6.35</v>
      </c>
      <c r="H314" s="380">
        <f>F314*G314</f>
        <v>0.15875</v>
      </c>
      <c r="I314" s="261">
        <f>I313</f>
        <v>667.65</v>
      </c>
      <c r="J314" s="381">
        <f>F314*I314</f>
        <v>16.69125</v>
      </c>
    </row>
    <row r="315" spans="1:10" ht="15">
      <c r="A315" s="1"/>
      <c r="B315" s="222"/>
      <c r="C315" s="222"/>
      <c r="D315" s="222"/>
      <c r="E315" s="222"/>
      <c r="F315" s="385" t="s">
        <v>1308</v>
      </c>
      <c r="G315" s="385"/>
      <c r="H315" s="102">
        <f>SUM(H313:H314)</f>
        <v>0.19486999999999999</v>
      </c>
      <c r="I315" s="257"/>
      <c r="J315" s="257"/>
    </row>
    <row r="316" spans="1:10" ht="15">
      <c r="A316" s="1"/>
      <c r="B316" s="1"/>
      <c r="C316" s="1"/>
      <c r="D316" s="1"/>
      <c r="E316" s="1"/>
      <c r="F316" s="1"/>
      <c r="G316" s="1"/>
      <c r="H316" s="1"/>
      <c r="I316" s="257"/>
      <c r="J316" s="257"/>
    </row>
    <row r="317" spans="1:10" ht="25.5">
      <c r="A317" s="178" t="s">
        <v>2682</v>
      </c>
      <c r="B317" s="378" t="s">
        <v>1301</v>
      </c>
      <c r="C317" s="378"/>
      <c r="D317" s="103" t="s">
        <v>579</v>
      </c>
      <c r="E317" s="103" t="s">
        <v>580</v>
      </c>
      <c r="F317" s="103" t="s">
        <v>581</v>
      </c>
      <c r="G317" s="103" t="s">
        <v>582</v>
      </c>
      <c r="H317" s="103" t="s">
        <v>583</v>
      </c>
      <c r="I317" s="178" t="s">
        <v>791</v>
      </c>
      <c r="J317" s="178" t="s">
        <v>581</v>
      </c>
    </row>
    <row r="318" spans="1:10" ht="25.5">
      <c r="A318" s="379">
        <f>VLOOKUP(A317,'3 - PLAN. ORÇAMENTÁRIA'!$A$16:$B$721,2,FALSE)</f>
        <v>100324</v>
      </c>
      <c r="B318" s="159" t="s">
        <v>1517</v>
      </c>
      <c r="C318" s="221" t="s">
        <v>1518</v>
      </c>
      <c r="D318" s="159" t="s">
        <v>119</v>
      </c>
      <c r="E318" s="159" t="s">
        <v>1304</v>
      </c>
      <c r="F318" s="174">
        <v>0.03</v>
      </c>
      <c r="G318" s="232">
        <f>VLOOKUP(B318,'4 - R. ANALÍTICO - ORIGINAIS'!$B$9:$H$4132,6,FALSE)</f>
        <v>0.72</v>
      </c>
      <c r="H318" s="380">
        <f>F318*G318</f>
        <v>2.1599999999999998E-2</v>
      </c>
      <c r="I318" s="261">
        <f>VLOOKUP(A317,'3 - PLAN. ORÇAMENTÁRIA'!$A$17:$F$721,6,FALSE)</f>
        <v>53.41</v>
      </c>
      <c r="J318" s="381">
        <f>F318*I318</f>
        <v>1.6022999999999998</v>
      </c>
    </row>
    <row r="319" spans="1:10" ht="25.5">
      <c r="A319" s="1"/>
      <c r="B319" s="159" t="s">
        <v>1519</v>
      </c>
      <c r="C319" s="221" t="s">
        <v>1520</v>
      </c>
      <c r="D319" s="159" t="s">
        <v>119</v>
      </c>
      <c r="E319" s="159" t="s">
        <v>1307</v>
      </c>
      <c r="F319" s="174">
        <v>3.2000000000000001E-2</v>
      </c>
      <c r="G319" s="232">
        <f>VLOOKUP(B319,'4 - R. ANALÍTICO - ORIGINAIS'!$B$9:$H$4132,6,FALSE)</f>
        <v>10.01</v>
      </c>
      <c r="H319" s="380">
        <f>F319*G319</f>
        <v>0.32031999999999999</v>
      </c>
      <c r="I319" s="261">
        <f>I318</f>
        <v>53.41</v>
      </c>
      <c r="J319" s="381">
        <f>F319*I319</f>
        <v>1.70912</v>
      </c>
    </row>
    <row r="320" spans="1:10" ht="15">
      <c r="A320" s="1"/>
      <c r="B320" s="222"/>
      <c r="C320" s="222"/>
      <c r="D320" s="222"/>
      <c r="E320" s="222"/>
      <c r="F320" s="385" t="s">
        <v>1308</v>
      </c>
      <c r="G320" s="385"/>
      <c r="H320" s="102">
        <f>SUM(H318:H319)</f>
        <v>0.34192</v>
      </c>
      <c r="I320" s="257"/>
      <c r="J320" s="257"/>
    </row>
    <row r="321" spans="1:10" ht="15">
      <c r="A321" s="1"/>
      <c r="B321" s="1"/>
      <c r="C321" s="1"/>
      <c r="D321" s="1"/>
      <c r="E321" s="1"/>
      <c r="F321" s="1"/>
      <c r="G321" s="1"/>
      <c r="H321" s="1"/>
      <c r="I321" s="257"/>
      <c r="J321" s="257"/>
    </row>
    <row r="322" spans="1:10" ht="25.5">
      <c r="A322" s="178" t="s">
        <v>2684</v>
      </c>
      <c r="B322" s="378" t="s">
        <v>1301</v>
      </c>
      <c r="C322" s="378"/>
      <c r="D322" s="103" t="s">
        <v>579</v>
      </c>
      <c r="E322" s="103" t="s">
        <v>580</v>
      </c>
      <c r="F322" s="103" t="s">
        <v>581</v>
      </c>
      <c r="G322" s="103" t="s">
        <v>582</v>
      </c>
      <c r="H322" s="103" t="s">
        <v>583</v>
      </c>
      <c r="I322" s="178" t="s">
        <v>791</v>
      </c>
      <c r="J322" s="178" t="s">
        <v>581</v>
      </c>
    </row>
    <row r="323" spans="1:10" ht="25.5">
      <c r="A323" s="379">
        <f>VLOOKUP(A322,'3 - PLAN. ORÇAMENTÁRIA'!$A$16:$B$721,2,FALSE)</f>
        <v>97083</v>
      </c>
      <c r="B323" s="159" t="s">
        <v>1585</v>
      </c>
      <c r="C323" s="221" t="s">
        <v>1586</v>
      </c>
      <c r="D323" s="159" t="s">
        <v>119</v>
      </c>
      <c r="E323" s="159" t="s">
        <v>1304</v>
      </c>
      <c r="F323" s="174">
        <v>4.2000000000000003E-2</v>
      </c>
      <c r="G323" s="232">
        <f>VLOOKUP(B323,'4 - R. ANALÍTICO - ORIGINAIS'!$B$9:$H$4132,6,FALSE)</f>
        <v>0.86</v>
      </c>
      <c r="H323" s="380">
        <f>F323*G323</f>
        <v>3.6119999999999999E-2</v>
      </c>
      <c r="I323" s="261">
        <f>VLOOKUP(A322,'3 - PLAN. ORÇAMENTÁRIA'!$A$17:$F$721,6,FALSE)</f>
        <v>1189.9000000000001</v>
      </c>
      <c r="J323" s="381">
        <f>F323*I323</f>
        <v>49.975800000000007</v>
      </c>
    </row>
    <row r="324" spans="1:10" ht="25.5">
      <c r="A324" s="1"/>
      <c r="B324" s="159" t="s">
        <v>1587</v>
      </c>
      <c r="C324" s="221" t="s">
        <v>1588</v>
      </c>
      <c r="D324" s="159" t="s">
        <v>119</v>
      </c>
      <c r="E324" s="159" t="s">
        <v>1307</v>
      </c>
      <c r="F324" s="174">
        <v>2.5000000000000001E-2</v>
      </c>
      <c r="G324" s="232">
        <f>VLOOKUP(B324,'4 - R. ANALÍTICO - ORIGINAIS'!$B$9:$H$4132,6,FALSE)</f>
        <v>6.35</v>
      </c>
      <c r="H324" s="380">
        <f>F324*G324</f>
        <v>0.15875</v>
      </c>
      <c r="I324" s="261">
        <f>I323</f>
        <v>1189.9000000000001</v>
      </c>
      <c r="J324" s="381">
        <f>F324*I324</f>
        <v>29.747500000000002</v>
      </c>
    </row>
    <row r="325" spans="1:10" ht="15">
      <c r="A325" s="1"/>
      <c r="B325" s="222"/>
      <c r="C325" s="222"/>
      <c r="D325" s="222"/>
      <c r="E325" s="222"/>
      <c r="F325" s="385" t="s">
        <v>1308</v>
      </c>
      <c r="G325" s="385"/>
      <c r="H325" s="102">
        <f>SUM(H323:H324)</f>
        <v>0.19486999999999999</v>
      </c>
      <c r="I325" s="257"/>
      <c r="J325" s="257"/>
    </row>
    <row r="326" spans="1:10" ht="15">
      <c r="A326" s="1"/>
      <c r="B326" s="1"/>
      <c r="C326" s="1"/>
      <c r="D326" s="1"/>
      <c r="E326" s="1"/>
      <c r="F326" s="1"/>
      <c r="G326" s="1"/>
      <c r="H326" s="1"/>
      <c r="I326" s="257"/>
      <c r="J326" s="257"/>
    </row>
    <row r="327" spans="1:10" ht="25.5">
      <c r="A327" s="178" t="s">
        <v>2685</v>
      </c>
      <c r="B327" s="378" t="s">
        <v>1301</v>
      </c>
      <c r="C327" s="378"/>
      <c r="D327" s="103" t="s">
        <v>579</v>
      </c>
      <c r="E327" s="103" t="s">
        <v>580</v>
      </c>
      <c r="F327" s="103" t="s">
        <v>581</v>
      </c>
      <c r="G327" s="103" t="s">
        <v>582</v>
      </c>
      <c r="H327" s="103" t="s">
        <v>583</v>
      </c>
      <c r="I327" s="178" t="s">
        <v>791</v>
      </c>
      <c r="J327" s="178" t="s">
        <v>581</v>
      </c>
    </row>
    <row r="328" spans="1:10" ht="25.5">
      <c r="A328" s="379" t="str">
        <f>VLOOKUP(A327,'3 - PLAN. ORÇAMENTÁRIA'!$A$16:$B$721,2,FALSE)</f>
        <v>CCU 143</v>
      </c>
      <c r="B328" s="159" t="s">
        <v>1595</v>
      </c>
      <c r="C328" s="221" t="s">
        <v>1596</v>
      </c>
      <c r="D328" s="159" t="s">
        <v>119</v>
      </c>
      <c r="E328" s="159" t="s">
        <v>1304</v>
      </c>
      <c r="F328" s="174">
        <v>0.15870000000000001</v>
      </c>
      <c r="G328" s="232">
        <f>VLOOKUP(B328,'5 - R. ANALÍTICO - MODIFICAD'!$B$27:$H$1212,6,FALSE)</f>
        <v>1.1000000000000001</v>
      </c>
      <c r="H328" s="380">
        <f>F328*G328</f>
        <v>0.17457000000000003</v>
      </c>
      <c r="I328" s="261">
        <f>VLOOKUP(A327,'3 - PLAN. ORÇAMENTÁRIA'!$A$17:$F$721,6,FALSE)</f>
        <v>935.37</v>
      </c>
      <c r="J328" s="381">
        <f>F328*I328</f>
        <v>148.443219</v>
      </c>
    </row>
    <row r="329" spans="1:10" ht="25.5">
      <c r="A329" s="1"/>
      <c r="B329" s="159" t="s">
        <v>1597</v>
      </c>
      <c r="C329" s="221" t="s">
        <v>1598</v>
      </c>
      <c r="D329" s="159" t="s">
        <v>119</v>
      </c>
      <c r="E329" s="159" t="s">
        <v>1307</v>
      </c>
      <c r="F329" s="174">
        <v>3.8E-3</v>
      </c>
      <c r="G329" s="232">
        <f>VLOOKUP(B329,'5 - R. ANALÍTICO - MODIFICAD'!$B$27:$H$1212,6,FALSE)</f>
        <v>10.87</v>
      </c>
      <c r="H329" s="380">
        <f>F329*G329</f>
        <v>4.1305999999999995E-2</v>
      </c>
      <c r="I329" s="261">
        <f>I328</f>
        <v>935.37</v>
      </c>
      <c r="J329" s="381">
        <f>F329*I329</f>
        <v>3.5544060000000002</v>
      </c>
    </row>
    <row r="330" spans="1:10" ht="25.5">
      <c r="A330" s="1"/>
      <c r="B330" s="159" t="s">
        <v>1517</v>
      </c>
      <c r="C330" s="221" t="s">
        <v>1518</v>
      </c>
      <c r="D330" s="159" t="s">
        <v>119</v>
      </c>
      <c r="E330" s="159" t="s">
        <v>1304</v>
      </c>
      <c r="F330" s="174">
        <v>0.15559999999999999</v>
      </c>
      <c r="G330" s="232">
        <f>VLOOKUP(B330,'4 - R. ANALÍTICO - ORIGINAIS'!$B$9:$H$4132,6,FALSE)</f>
        <v>0.72</v>
      </c>
      <c r="H330" s="380">
        <f>F330*G330</f>
        <v>0.11203199999999999</v>
      </c>
      <c r="I330" s="261">
        <f>I329</f>
        <v>935.37</v>
      </c>
      <c r="J330" s="381">
        <f>F330*I330</f>
        <v>145.54357199999998</v>
      </c>
    </row>
    <row r="331" spans="1:10" ht="25.5">
      <c r="A331" s="1"/>
      <c r="B331" s="159" t="s">
        <v>1519</v>
      </c>
      <c r="C331" s="221" t="s">
        <v>1520</v>
      </c>
      <c r="D331" s="159" t="s">
        <v>119</v>
      </c>
      <c r="E331" s="159" t="s">
        <v>1307</v>
      </c>
      <c r="F331" s="174">
        <v>6.8999999999999999E-3</v>
      </c>
      <c r="G331" s="232">
        <f>VLOOKUP(B331,'4 - R. ANALÍTICO - ORIGINAIS'!$B$9:$H$4132,6,FALSE)</f>
        <v>10.01</v>
      </c>
      <c r="H331" s="380">
        <f>F331*G331</f>
        <v>6.9068999999999992E-2</v>
      </c>
      <c r="I331" s="261">
        <f>I330</f>
        <v>935.37</v>
      </c>
      <c r="J331" s="381">
        <f>F331*I331</f>
        <v>6.454053</v>
      </c>
    </row>
    <row r="332" spans="1:10" ht="15">
      <c r="A332" s="1"/>
      <c r="B332" s="222"/>
      <c r="C332" s="222"/>
      <c r="D332" s="222"/>
      <c r="E332" s="222"/>
      <c r="F332" s="385" t="s">
        <v>1308</v>
      </c>
      <c r="G332" s="385"/>
      <c r="H332" s="102">
        <f>SUM(H328:H331)</f>
        <v>0.39697699999999997</v>
      </c>
      <c r="I332" s="257"/>
      <c r="J332" s="257"/>
    </row>
    <row r="333" spans="1:10" ht="15">
      <c r="A333" s="1"/>
      <c r="B333" s="1"/>
      <c r="C333" s="1"/>
      <c r="D333" s="1"/>
      <c r="E333" s="1"/>
      <c r="F333" s="1"/>
      <c r="G333" s="1"/>
      <c r="H333" s="1"/>
      <c r="I333" s="257"/>
      <c r="J333" s="257"/>
    </row>
    <row r="334" spans="1:10" ht="25.5">
      <c r="A334" s="178" t="s">
        <v>2686</v>
      </c>
      <c r="B334" s="378" t="s">
        <v>1301</v>
      </c>
      <c r="C334" s="378"/>
      <c r="D334" s="103" t="s">
        <v>579</v>
      </c>
      <c r="E334" s="103" t="s">
        <v>580</v>
      </c>
      <c r="F334" s="103" t="s">
        <v>581</v>
      </c>
      <c r="G334" s="103" t="s">
        <v>582</v>
      </c>
      <c r="H334" s="103" t="s">
        <v>583</v>
      </c>
      <c r="I334" s="178" t="s">
        <v>791</v>
      </c>
      <c r="J334" s="178" t="s">
        <v>581</v>
      </c>
    </row>
    <row r="335" spans="1:10" ht="25.5">
      <c r="A335" s="379" t="str">
        <f>VLOOKUP(A334,'3 - PLAN. ORÇAMENTÁRIA'!$A$16:$B$721,2,FALSE)</f>
        <v>CCU 145</v>
      </c>
      <c r="B335" s="159" t="s">
        <v>1595</v>
      </c>
      <c r="C335" s="221" t="s">
        <v>1596</v>
      </c>
      <c r="D335" s="159" t="s">
        <v>119</v>
      </c>
      <c r="E335" s="159" t="s">
        <v>1304</v>
      </c>
      <c r="F335" s="174">
        <v>5.0299999999999997E-2</v>
      </c>
      <c r="G335" s="232">
        <f>VLOOKUP(B335,'5 - R. ANALÍTICO - MODIFICAD'!$B$27:$H$1212,6,FALSE)</f>
        <v>1.1000000000000001</v>
      </c>
      <c r="H335" s="380">
        <f>F335*G335</f>
        <v>5.5330000000000004E-2</v>
      </c>
      <c r="I335" s="261">
        <f>VLOOKUP(A334,'3 - PLAN. ORÇAMENTÁRIA'!$A$17:$F$721,6,FALSE)</f>
        <v>254.53</v>
      </c>
      <c r="J335" s="381">
        <f>F335*I335</f>
        <v>12.802859</v>
      </c>
    </row>
    <row r="336" spans="1:10" ht="25.5">
      <c r="A336" s="1"/>
      <c r="B336" s="159" t="s">
        <v>1597</v>
      </c>
      <c r="C336" s="221" t="s">
        <v>1598</v>
      </c>
      <c r="D336" s="159" t="s">
        <v>119</v>
      </c>
      <c r="E336" s="159" t="s">
        <v>1307</v>
      </c>
      <c r="F336" s="174">
        <v>3.8E-3</v>
      </c>
      <c r="G336" s="232">
        <f>VLOOKUP(B336,'5 - R. ANALÍTICO - MODIFICAD'!$B$27:$H$1212,6,FALSE)</f>
        <v>10.87</v>
      </c>
      <c r="H336" s="380">
        <f>F336*G336</f>
        <v>4.1305999999999995E-2</v>
      </c>
      <c r="I336" s="261">
        <f>I335</f>
        <v>254.53</v>
      </c>
      <c r="J336" s="381">
        <f>F336*I336</f>
        <v>0.96721400000000002</v>
      </c>
    </row>
    <row r="337" spans="1:10" ht="25.5">
      <c r="A337" s="1"/>
      <c r="B337" s="159" t="s">
        <v>1517</v>
      </c>
      <c r="C337" s="221" t="s">
        <v>1518</v>
      </c>
      <c r="D337" s="159" t="s">
        <v>119</v>
      </c>
      <c r="E337" s="159" t="s">
        <v>1304</v>
      </c>
      <c r="F337" s="174">
        <v>4.8599999999999997E-2</v>
      </c>
      <c r="G337" s="232">
        <f>VLOOKUP(B337,'4 - R. ANALÍTICO - ORIGINAIS'!$B$9:$H$4132,6,FALSE)</f>
        <v>0.72</v>
      </c>
      <c r="H337" s="380">
        <f>F337*G337</f>
        <v>3.4991999999999995E-2</v>
      </c>
      <c r="I337" s="261">
        <f>I336</f>
        <v>254.53</v>
      </c>
      <c r="J337" s="381">
        <f>F337*I337</f>
        <v>12.370158</v>
      </c>
    </row>
    <row r="338" spans="1:10" ht="25.5">
      <c r="A338" s="1"/>
      <c r="B338" s="159" t="s">
        <v>1519</v>
      </c>
      <c r="C338" s="221" t="s">
        <v>1520</v>
      </c>
      <c r="D338" s="159" t="s">
        <v>119</v>
      </c>
      <c r="E338" s="159" t="s">
        <v>1307</v>
      </c>
      <c r="F338" s="174">
        <v>5.4999999999999997E-3</v>
      </c>
      <c r="G338" s="232">
        <f>VLOOKUP(B338,'4 - R. ANALÍTICO - ORIGINAIS'!$B$9:$H$4132,6,FALSE)</f>
        <v>10.01</v>
      </c>
      <c r="H338" s="380">
        <f>F338*G338</f>
        <v>5.5054999999999993E-2</v>
      </c>
      <c r="I338" s="261">
        <f>I337</f>
        <v>254.53</v>
      </c>
      <c r="J338" s="381">
        <f>F338*I338</f>
        <v>1.399915</v>
      </c>
    </row>
    <row r="339" spans="1:10" ht="15">
      <c r="A339" s="1"/>
      <c r="B339" s="222"/>
      <c r="C339" s="222"/>
      <c r="D339" s="222"/>
      <c r="E339" s="222"/>
      <c r="F339" s="385" t="s">
        <v>1308</v>
      </c>
      <c r="G339" s="385"/>
      <c r="H339" s="102">
        <f>SUM(H335:H338)</f>
        <v>0.18668299999999999</v>
      </c>
      <c r="I339" s="257"/>
      <c r="J339" s="257"/>
    </row>
    <row r="340" spans="1:10" ht="15">
      <c r="A340" s="1"/>
      <c r="B340" s="1"/>
      <c r="C340" s="1"/>
      <c r="D340" s="1"/>
      <c r="E340" s="1"/>
      <c r="F340" s="1"/>
      <c r="G340" s="1"/>
      <c r="H340" s="1"/>
      <c r="I340" s="257"/>
      <c r="J340" s="257"/>
    </row>
    <row r="341" spans="1:10" ht="25.5">
      <c r="A341" s="178" t="s">
        <v>2687</v>
      </c>
      <c r="B341" s="378" t="s">
        <v>1301</v>
      </c>
      <c r="C341" s="378"/>
      <c r="D341" s="103" t="s">
        <v>579</v>
      </c>
      <c r="E341" s="103" t="s">
        <v>580</v>
      </c>
      <c r="F341" s="103" t="s">
        <v>581</v>
      </c>
      <c r="G341" s="103" t="s">
        <v>582</v>
      </c>
      <c r="H341" s="103" t="s">
        <v>583</v>
      </c>
      <c r="I341" s="178" t="s">
        <v>791</v>
      </c>
      <c r="J341" s="178" t="s">
        <v>581</v>
      </c>
    </row>
    <row r="342" spans="1:10" ht="25.5">
      <c r="A342" s="379">
        <f>VLOOKUP(A341,'3 - PLAN. ORÇAMENTÁRIA'!$A$16:$B$721,2,FALSE)</f>
        <v>97083</v>
      </c>
      <c r="B342" s="159" t="s">
        <v>1585</v>
      </c>
      <c r="C342" s="221" t="s">
        <v>1586</v>
      </c>
      <c r="D342" s="159" t="s">
        <v>119</v>
      </c>
      <c r="E342" s="159" t="s">
        <v>1304</v>
      </c>
      <c r="F342" s="174">
        <v>4.2000000000000003E-2</v>
      </c>
      <c r="G342" s="232">
        <f>VLOOKUP(B342,'4 - R. ANALÍTICO - ORIGINAIS'!$B$9:$H$4132,6,FALSE)</f>
        <v>0.86</v>
      </c>
      <c r="H342" s="380">
        <f>F342*G342</f>
        <v>3.6119999999999999E-2</v>
      </c>
      <c r="I342" s="261">
        <f>VLOOKUP(A341,'3 - PLAN. ORÇAMENTÁRIA'!$A$17:$F$721,6,FALSE)</f>
        <v>204.81</v>
      </c>
      <c r="J342" s="381">
        <f>F342*I342</f>
        <v>8.6020200000000013</v>
      </c>
    </row>
    <row r="343" spans="1:10" ht="25.5">
      <c r="A343" s="1"/>
      <c r="B343" s="159" t="s">
        <v>1587</v>
      </c>
      <c r="C343" s="221" t="s">
        <v>1588</v>
      </c>
      <c r="D343" s="159" t="s">
        <v>119</v>
      </c>
      <c r="E343" s="159" t="s">
        <v>1307</v>
      </c>
      <c r="F343" s="174">
        <v>2.5000000000000001E-2</v>
      </c>
      <c r="G343" s="232">
        <f>VLOOKUP(B343,'4 - R. ANALÍTICO - ORIGINAIS'!$B$9:$H$4132,6,FALSE)</f>
        <v>6.35</v>
      </c>
      <c r="H343" s="380">
        <f>F343*G343</f>
        <v>0.15875</v>
      </c>
      <c r="I343" s="261">
        <f>I342</f>
        <v>204.81</v>
      </c>
      <c r="J343" s="381">
        <f>F343*I343</f>
        <v>5.1202500000000004</v>
      </c>
    </row>
    <row r="344" spans="1:10" ht="15">
      <c r="A344" s="1"/>
      <c r="B344" s="222"/>
      <c r="C344" s="222"/>
      <c r="D344" s="222"/>
      <c r="E344" s="222"/>
      <c r="F344" s="385" t="s">
        <v>1308</v>
      </c>
      <c r="G344" s="385"/>
      <c r="H344" s="102">
        <f>SUM(H342:H343)</f>
        <v>0.19486999999999999</v>
      </c>
      <c r="I344" s="257"/>
      <c r="J344" s="257"/>
    </row>
    <row r="345" spans="1:10" ht="15">
      <c r="A345" s="1"/>
      <c r="B345" s="1"/>
      <c r="C345" s="1"/>
      <c r="D345" s="1"/>
      <c r="E345" s="1"/>
      <c r="F345" s="1"/>
      <c r="G345" s="1"/>
      <c r="H345" s="1"/>
      <c r="I345" s="257"/>
      <c r="J345" s="257"/>
    </row>
    <row r="346" spans="1:10" ht="25.5">
      <c r="A346" s="178" t="s">
        <v>2688</v>
      </c>
      <c r="B346" s="378" t="s">
        <v>1301</v>
      </c>
      <c r="C346" s="378"/>
      <c r="D346" s="103" t="s">
        <v>579</v>
      </c>
      <c r="E346" s="103" t="s">
        <v>580</v>
      </c>
      <c r="F346" s="103" t="s">
        <v>581</v>
      </c>
      <c r="G346" s="103" t="s">
        <v>582</v>
      </c>
      <c r="H346" s="103" t="s">
        <v>583</v>
      </c>
      <c r="I346" s="178" t="s">
        <v>791</v>
      </c>
      <c r="J346" s="178" t="s">
        <v>581</v>
      </c>
    </row>
    <row r="347" spans="1:10" ht="25.5">
      <c r="A347" s="379">
        <f>VLOOKUP(A346,'3 - PLAN. ORÇAMENTÁRIA'!$A$16:$B$721,2,FALSE)</f>
        <v>100324</v>
      </c>
      <c r="B347" s="159" t="s">
        <v>1517</v>
      </c>
      <c r="C347" s="221" t="s">
        <v>1518</v>
      </c>
      <c r="D347" s="159" t="s">
        <v>119</v>
      </c>
      <c r="E347" s="159" t="s">
        <v>1304</v>
      </c>
      <c r="F347" s="174">
        <v>0.03</v>
      </c>
      <c r="G347" s="232">
        <f>VLOOKUP(B347,'4 - R. ANALÍTICO - ORIGINAIS'!$B$9:$H$4132,6,FALSE)</f>
        <v>0.72</v>
      </c>
      <c r="H347" s="380">
        <f>F347*G347</f>
        <v>2.1599999999999998E-2</v>
      </c>
      <c r="I347" s="261">
        <f>VLOOKUP(A346,'3 - PLAN. ORÇAMENTÁRIA'!$A$17:$F$721,6,FALSE)</f>
        <v>6.14</v>
      </c>
      <c r="J347" s="381">
        <f>F347*I347</f>
        <v>0.18419999999999997</v>
      </c>
    </row>
    <row r="348" spans="1:10" ht="25.5">
      <c r="A348" s="1"/>
      <c r="B348" s="159" t="s">
        <v>1519</v>
      </c>
      <c r="C348" s="221" t="s">
        <v>1520</v>
      </c>
      <c r="D348" s="159" t="s">
        <v>119</v>
      </c>
      <c r="E348" s="159" t="s">
        <v>1307</v>
      </c>
      <c r="F348" s="174">
        <v>3.2000000000000001E-2</v>
      </c>
      <c r="G348" s="232">
        <f>VLOOKUP(B348,'4 - R. ANALÍTICO - ORIGINAIS'!$B$9:$H$4132,6,FALSE)</f>
        <v>10.01</v>
      </c>
      <c r="H348" s="380">
        <f>F348*G348</f>
        <v>0.32031999999999999</v>
      </c>
      <c r="I348" s="261">
        <f>I347</f>
        <v>6.14</v>
      </c>
      <c r="J348" s="381">
        <f>F348*I348</f>
        <v>0.19647999999999999</v>
      </c>
    </row>
    <row r="349" spans="1:10" ht="15">
      <c r="A349" s="1"/>
      <c r="B349" s="222"/>
      <c r="C349" s="222"/>
      <c r="D349" s="222"/>
      <c r="E349" s="222"/>
      <c r="F349" s="385" t="s">
        <v>1308</v>
      </c>
      <c r="G349" s="385"/>
      <c r="H349" s="102">
        <f>SUM(H347:H348)</f>
        <v>0.34192</v>
      </c>
      <c r="I349" s="257"/>
      <c r="J349" s="257"/>
    </row>
    <row r="350" spans="1:10" ht="15">
      <c r="A350" s="1"/>
      <c r="B350" s="1"/>
      <c r="C350" s="1"/>
      <c r="D350" s="1"/>
      <c r="E350" s="1"/>
      <c r="F350" s="1"/>
      <c r="G350" s="1"/>
      <c r="H350" s="1"/>
      <c r="I350" s="257"/>
      <c r="J350" s="257"/>
    </row>
    <row r="351" spans="1:10" s="441" customFormat="1" ht="25.5">
      <c r="A351" s="438" t="s">
        <v>3237</v>
      </c>
      <c r="B351" s="439" t="s">
        <v>588</v>
      </c>
      <c r="C351" s="439"/>
      <c r="D351" s="440" t="s">
        <v>579</v>
      </c>
      <c r="E351" s="440" t="s">
        <v>580</v>
      </c>
      <c r="F351" s="440" t="s">
        <v>581</v>
      </c>
      <c r="G351" s="440" t="s">
        <v>582</v>
      </c>
      <c r="H351" s="103" t="s">
        <v>583</v>
      </c>
      <c r="I351" s="178" t="s">
        <v>791</v>
      </c>
      <c r="J351" s="438" t="s">
        <v>581</v>
      </c>
    </row>
    <row r="352" spans="1:10" ht="25.5">
      <c r="A352" s="379" t="str">
        <f>VLOOKUP(A351,'3 - PLAN. ORÇAMENTÁRIA'!$A$16:$B$721,2,FALSE)</f>
        <v>CCU 043</v>
      </c>
      <c r="B352" s="159" t="s">
        <v>3240</v>
      </c>
      <c r="C352" s="221" t="s">
        <v>3241</v>
      </c>
      <c r="D352" s="159" t="s">
        <v>592</v>
      </c>
      <c r="E352" s="159" t="s">
        <v>121</v>
      </c>
      <c r="F352" s="174">
        <v>0.3</v>
      </c>
      <c r="G352" s="160">
        <f>VLOOKUP(B352,'5 - R. ANALÍTICO - MODIFICAD'!$B$2463:$H$2667,6,FALSE)</f>
        <v>27.39</v>
      </c>
      <c r="H352" s="380">
        <f>F352*G352</f>
        <v>8.2170000000000005</v>
      </c>
      <c r="I352" s="261">
        <f>VLOOKUP(A351,'3 - PLAN. ORÇAMENTÁRIA'!$A$17:$F$721,6,FALSE)</f>
        <v>0.72</v>
      </c>
      <c r="J352" s="381">
        <f>F352*I352</f>
        <v>0.216</v>
      </c>
    </row>
    <row r="353" spans="1:10" ht="15">
      <c r="A353" s="1"/>
      <c r="B353" s="222"/>
      <c r="C353" s="222"/>
      <c r="D353" s="222"/>
      <c r="E353" s="222"/>
      <c r="F353" s="385" t="s">
        <v>589</v>
      </c>
      <c r="G353" s="385"/>
      <c r="H353" s="102">
        <f>SUM(H352)</f>
        <v>8.2170000000000005</v>
      </c>
      <c r="I353" s="257"/>
      <c r="J353" s="257"/>
    </row>
    <row r="354" spans="1:10" ht="15">
      <c r="A354" s="1"/>
      <c r="B354" s="1"/>
      <c r="C354" s="1"/>
      <c r="D354" s="1"/>
      <c r="E354" s="1"/>
      <c r="F354" s="1"/>
      <c r="G354" s="1"/>
      <c r="H354" s="1"/>
      <c r="I354" s="257"/>
      <c r="J354" s="257"/>
    </row>
    <row r="355" spans="1:10" ht="25.5">
      <c r="A355" s="178" t="s">
        <v>3445</v>
      </c>
      <c r="B355" s="378" t="s">
        <v>1301</v>
      </c>
      <c r="C355" s="378"/>
      <c r="D355" s="103" t="s">
        <v>579</v>
      </c>
      <c r="E355" s="103" t="s">
        <v>580</v>
      </c>
      <c r="F355" s="103" t="s">
        <v>581</v>
      </c>
      <c r="G355" s="103" t="s">
        <v>582</v>
      </c>
      <c r="H355" s="103" t="s">
        <v>583</v>
      </c>
      <c r="I355" s="178" t="s">
        <v>791</v>
      </c>
      <c r="J355" s="178" t="s">
        <v>581</v>
      </c>
    </row>
    <row r="356" spans="1:10" ht="38.25">
      <c r="A356" s="379" t="str">
        <f>VLOOKUP(A355,'3 - PLAN. ORÇAMENTÁRIA'!$A$16:$B$721,2,FALSE)</f>
        <v>CCU 162</v>
      </c>
      <c r="B356" s="236" t="s">
        <v>1679</v>
      </c>
      <c r="C356" s="235" t="s">
        <v>1680</v>
      </c>
      <c r="D356" s="236" t="s">
        <v>119</v>
      </c>
      <c r="E356" s="236" t="s">
        <v>1304</v>
      </c>
      <c r="F356" s="237">
        <v>1.78E-2</v>
      </c>
      <c r="G356" s="232">
        <f>VLOOKUP(B356,'4 - R. ANALÍTICO - ORIGINAIS'!$B$9:$H$4132,6,FALSE)</f>
        <v>62.96</v>
      </c>
      <c r="H356" s="380">
        <f>F356*G356</f>
        <v>1.1206879999999999</v>
      </c>
      <c r="I356" s="261">
        <f>VLOOKUP(A355,'3 - PLAN. ORÇAMENTÁRIA'!$A$17:$F$721,6,FALSE)</f>
        <v>138.62</v>
      </c>
      <c r="J356" s="381">
        <f>F356*I356</f>
        <v>2.4674360000000002</v>
      </c>
    </row>
    <row r="357" spans="1:10" ht="38.25">
      <c r="A357" s="1"/>
      <c r="B357" s="236" t="s">
        <v>1681</v>
      </c>
      <c r="C357" s="235" t="s">
        <v>1682</v>
      </c>
      <c r="D357" s="236" t="s">
        <v>119</v>
      </c>
      <c r="E357" s="236" t="s">
        <v>1307</v>
      </c>
      <c r="F357" s="237">
        <v>8.6999999999999994E-3</v>
      </c>
      <c r="G357" s="232">
        <f>VLOOKUP(B357,'4 - R. ANALÍTICO - ORIGINAIS'!$B$9:$H$4132,6,FALSE)</f>
        <v>146.19</v>
      </c>
      <c r="H357" s="380">
        <f>F357*G357</f>
        <v>1.2718529999999999</v>
      </c>
      <c r="I357" s="261">
        <f>I356</f>
        <v>138.62</v>
      </c>
      <c r="J357" s="381">
        <f>F357*I357</f>
        <v>1.205994</v>
      </c>
    </row>
    <row r="358" spans="1:10" ht="15">
      <c r="A358" s="1"/>
      <c r="B358" s="386"/>
      <c r="C358" s="386"/>
      <c r="D358" s="386"/>
      <c r="E358" s="386"/>
      <c r="F358" s="387" t="s">
        <v>1308</v>
      </c>
      <c r="G358" s="387"/>
      <c r="H358" s="388">
        <f>SUM(H356:H357)</f>
        <v>2.3925409999999996</v>
      </c>
      <c r="I358" s="257"/>
      <c r="J358" s="257"/>
    </row>
    <row r="359" spans="1:10" ht="15">
      <c r="A359" s="1"/>
      <c r="B359" s="1"/>
      <c r="C359" s="1"/>
      <c r="D359" s="1"/>
      <c r="E359" s="1"/>
      <c r="F359" s="1"/>
      <c r="G359" s="1"/>
      <c r="H359" s="1"/>
      <c r="I359" s="257"/>
      <c r="J359" s="257"/>
    </row>
    <row r="360" spans="1:10" ht="25.5">
      <c r="A360" s="178" t="s">
        <v>3446</v>
      </c>
      <c r="B360" s="378" t="s">
        <v>1301</v>
      </c>
      <c r="C360" s="378"/>
      <c r="D360" s="103" t="s">
        <v>579</v>
      </c>
      <c r="E360" s="103" t="s">
        <v>580</v>
      </c>
      <c r="F360" s="103" t="s">
        <v>581</v>
      </c>
      <c r="G360" s="103" t="s">
        <v>582</v>
      </c>
      <c r="H360" s="103" t="s">
        <v>583</v>
      </c>
      <c r="I360" s="178" t="s">
        <v>791</v>
      </c>
      <c r="J360" s="178" t="s">
        <v>581</v>
      </c>
    </row>
    <row r="361" spans="1:10" ht="38.25">
      <c r="A361" s="379" t="str">
        <f>VLOOKUP(A360,'3 - PLAN. ORÇAMENTÁRIA'!$A$16:$B$721,2,FALSE)</f>
        <v>CCU 163</v>
      </c>
      <c r="B361" s="356" t="s">
        <v>1679</v>
      </c>
      <c r="C361" s="357" t="s">
        <v>1680</v>
      </c>
      <c r="D361" s="356" t="s">
        <v>119</v>
      </c>
      <c r="E361" s="356" t="s">
        <v>1304</v>
      </c>
      <c r="F361" s="358">
        <v>0.81899999999999995</v>
      </c>
      <c r="G361" s="232">
        <f>VLOOKUP(B361,'4 - R. ANALÍTICO - ORIGINAIS'!$B$9:$H$4132,6,FALSE)</f>
        <v>62.96</v>
      </c>
      <c r="H361" s="380">
        <f>F361*G361</f>
        <v>51.564239999999998</v>
      </c>
      <c r="I361" s="261">
        <f>VLOOKUP(A360,'3 - PLAN. ORÇAMENTÁRIA'!$A$17:$F$721,6,FALSE)</f>
        <v>54.53</v>
      </c>
      <c r="J361" s="381">
        <f>F361*I361</f>
        <v>44.660069999999997</v>
      </c>
    </row>
    <row r="362" spans="1:10" ht="38.25">
      <c r="A362" s="1"/>
      <c r="B362" s="356" t="s">
        <v>1681</v>
      </c>
      <c r="C362" s="357" t="s">
        <v>1682</v>
      </c>
      <c r="D362" s="356" t="s">
        <v>119</v>
      </c>
      <c r="E362" s="356" t="s">
        <v>1307</v>
      </c>
      <c r="F362" s="358">
        <v>0.40189999999999998</v>
      </c>
      <c r="G362" s="232">
        <f>VLOOKUP(B362,'4 - R. ANALÍTICO - ORIGINAIS'!$B$9:$H$4132,6,FALSE)</f>
        <v>146.19</v>
      </c>
      <c r="H362" s="380">
        <f>F362*G362</f>
        <v>58.753760999999997</v>
      </c>
      <c r="I362" s="261">
        <f>I361</f>
        <v>54.53</v>
      </c>
      <c r="J362" s="381">
        <f>F362*I362</f>
        <v>21.915606999999998</v>
      </c>
    </row>
    <row r="363" spans="1:10" ht="15">
      <c r="A363" s="1"/>
      <c r="B363" s="222"/>
      <c r="C363" s="222"/>
      <c r="D363" s="222"/>
      <c r="E363" s="222"/>
      <c r="F363" s="382" t="s">
        <v>1308</v>
      </c>
      <c r="G363" s="382"/>
      <c r="H363" s="158">
        <f>SUM(H361:H362)</f>
        <v>110.318001</v>
      </c>
      <c r="I363" s="257"/>
      <c r="J363" s="257"/>
    </row>
    <row r="364" spans="1:10" ht="15">
      <c r="A364" s="1"/>
      <c r="B364" s="1"/>
      <c r="C364" s="1"/>
      <c r="D364" s="1"/>
      <c r="E364" s="1"/>
      <c r="F364" s="1"/>
      <c r="G364" s="1"/>
      <c r="H364" s="1"/>
      <c r="I364" s="257"/>
      <c r="J364" s="257"/>
    </row>
    <row r="365" spans="1:10" ht="25.5">
      <c r="A365" s="178" t="s">
        <v>3466</v>
      </c>
      <c r="B365" s="378" t="s">
        <v>1301</v>
      </c>
      <c r="C365" s="378"/>
      <c r="D365" s="103" t="s">
        <v>579</v>
      </c>
      <c r="E365" s="103" t="s">
        <v>580</v>
      </c>
      <c r="F365" s="103" t="s">
        <v>581</v>
      </c>
      <c r="G365" s="103" t="s">
        <v>582</v>
      </c>
      <c r="H365" s="103" t="s">
        <v>583</v>
      </c>
      <c r="I365" s="178" t="s">
        <v>791</v>
      </c>
      <c r="J365" s="178" t="s">
        <v>581</v>
      </c>
    </row>
    <row r="366" spans="1:10" ht="38.25">
      <c r="A366" s="379">
        <f>VLOOKUP(A365,'3 - PLAN. ORÇAMENTÁRIA'!$A$16:$B$721,2,FALSE)</f>
        <v>97902</v>
      </c>
      <c r="B366" s="236" t="s">
        <v>1679</v>
      </c>
      <c r="C366" s="235" t="s">
        <v>1680</v>
      </c>
      <c r="D366" s="236" t="s">
        <v>119</v>
      </c>
      <c r="E366" s="236" t="s">
        <v>1304</v>
      </c>
      <c r="F366" s="237">
        <v>1.78E-2</v>
      </c>
      <c r="G366" s="232">
        <f>VLOOKUP(B366,'4 - R. ANALÍTICO - ORIGINAIS'!$B$9:$H$4132,6,FALSE)</f>
        <v>62.96</v>
      </c>
      <c r="H366" s="380">
        <f>F366*G366</f>
        <v>1.1206879999999999</v>
      </c>
      <c r="I366" s="261">
        <f>VLOOKUP(A365,'3 - PLAN. ORÇAMENTÁRIA'!$A$17:$F$721,6,FALSE)</f>
        <v>15</v>
      </c>
      <c r="J366" s="381">
        <f>F366*I366</f>
        <v>0.26700000000000002</v>
      </c>
    </row>
    <row r="367" spans="1:10" ht="38.25">
      <c r="A367" s="1"/>
      <c r="B367" s="236" t="s">
        <v>1681</v>
      </c>
      <c r="C367" s="235" t="s">
        <v>1682</v>
      </c>
      <c r="D367" s="236" t="s">
        <v>119</v>
      </c>
      <c r="E367" s="236" t="s">
        <v>1307</v>
      </c>
      <c r="F367" s="237">
        <v>8.6999999999999994E-3</v>
      </c>
      <c r="G367" s="232">
        <f>VLOOKUP(B367,'4 - R. ANALÍTICO - ORIGINAIS'!$B$9:$H$4132,6,FALSE)</f>
        <v>146.19</v>
      </c>
      <c r="H367" s="380">
        <f>F367*G367</f>
        <v>1.2718529999999999</v>
      </c>
      <c r="I367" s="261">
        <f>I366</f>
        <v>15</v>
      </c>
      <c r="J367" s="381">
        <f>F367*I367</f>
        <v>0.1305</v>
      </c>
    </row>
    <row r="368" spans="1:10" ht="15">
      <c r="A368" s="1"/>
      <c r="B368" s="386"/>
      <c r="C368" s="386"/>
      <c r="D368" s="386"/>
      <c r="E368" s="386"/>
      <c r="F368" s="387" t="s">
        <v>1308</v>
      </c>
      <c r="G368" s="387"/>
      <c r="H368" s="388">
        <f>SUM(H366:H367)</f>
        <v>2.3925409999999996</v>
      </c>
      <c r="I368" s="257"/>
      <c r="J368" s="257"/>
    </row>
    <row r="369" spans="1:10" ht="15">
      <c r="A369" s="1"/>
      <c r="B369" s="1"/>
      <c r="C369" s="1"/>
      <c r="D369" s="1"/>
      <c r="E369" s="1"/>
      <c r="F369" s="1"/>
      <c r="G369" s="1"/>
      <c r="H369" s="1"/>
      <c r="I369" s="257"/>
      <c r="J369" s="257"/>
    </row>
    <row r="370" spans="1:10" ht="25.5">
      <c r="A370" s="178" t="s">
        <v>3475</v>
      </c>
      <c r="B370" s="378" t="s">
        <v>1301</v>
      </c>
      <c r="C370" s="378"/>
      <c r="D370" s="103" t="s">
        <v>579</v>
      </c>
      <c r="E370" s="103" t="s">
        <v>580</v>
      </c>
      <c r="F370" s="103" t="s">
        <v>581</v>
      </c>
      <c r="G370" s="103" t="s">
        <v>582</v>
      </c>
      <c r="H370" s="103" t="s">
        <v>583</v>
      </c>
      <c r="I370" s="178" t="s">
        <v>791</v>
      </c>
      <c r="J370" s="178" t="s">
        <v>581</v>
      </c>
    </row>
    <row r="371" spans="1:10" ht="25.5">
      <c r="A371" s="379">
        <f>VLOOKUP(A370,'3 - PLAN. ORÇAMENTÁRIA'!$A$16:$B$721,2,FALSE)</f>
        <v>101616</v>
      </c>
      <c r="B371" s="236" t="s">
        <v>1385</v>
      </c>
      <c r="C371" s="235" t="s">
        <v>1386</v>
      </c>
      <c r="D371" s="236" t="s">
        <v>119</v>
      </c>
      <c r="E371" s="236" t="s">
        <v>1304</v>
      </c>
      <c r="F371" s="237">
        <v>3.5999999999999999E-3</v>
      </c>
      <c r="G371" s="232">
        <f>VLOOKUP(B371,'4 - R. ANALÍTICO - ORIGINAIS'!$B$9:$H$4132,6,FALSE)</f>
        <v>27.12</v>
      </c>
      <c r="H371" s="380">
        <f>F371*G371</f>
        <v>9.7631999999999997E-2</v>
      </c>
      <c r="I371" s="261">
        <f>VLOOKUP(A370,'3 - PLAN. ORÇAMENTÁRIA'!$A$17:$F$721,6,FALSE)</f>
        <v>90.82</v>
      </c>
      <c r="J371" s="381">
        <f>F371*I371</f>
        <v>0.32695199999999996</v>
      </c>
    </row>
    <row r="372" spans="1:10" ht="25.5">
      <c r="A372" s="1"/>
      <c r="B372" s="236" t="s">
        <v>1387</v>
      </c>
      <c r="C372" s="235" t="s">
        <v>1388</v>
      </c>
      <c r="D372" s="236" t="s">
        <v>119</v>
      </c>
      <c r="E372" s="236" t="s">
        <v>1307</v>
      </c>
      <c r="F372" s="237">
        <v>3.5999999999999999E-3</v>
      </c>
      <c r="G372" s="232">
        <f>VLOOKUP(B372,'4 - R. ANALÍTICO - ORIGINAIS'!$B$9:$H$4132,6,FALSE)</f>
        <v>34.299999999999997</v>
      </c>
      <c r="H372" s="380">
        <f>F372*G372</f>
        <v>0.12347999999999999</v>
      </c>
      <c r="I372" s="261">
        <f>I371</f>
        <v>90.82</v>
      </c>
      <c r="J372" s="381">
        <f>F372*I372</f>
        <v>0.32695199999999996</v>
      </c>
    </row>
    <row r="373" spans="1:10" ht="15">
      <c r="A373" s="1"/>
      <c r="B373" s="386"/>
      <c r="C373" s="386"/>
      <c r="D373" s="386"/>
      <c r="E373" s="386"/>
      <c r="F373" s="387" t="s">
        <v>1308</v>
      </c>
      <c r="G373" s="387"/>
      <c r="H373" s="388">
        <f>SUM(H371:H372)</f>
        <v>0.22111199999999998</v>
      </c>
      <c r="I373" s="257"/>
      <c r="J373" s="257"/>
    </row>
    <row r="374" spans="1:10" ht="15">
      <c r="A374" s="1"/>
      <c r="B374" s="1"/>
      <c r="C374" s="1"/>
      <c r="D374" s="1"/>
      <c r="E374" s="1"/>
      <c r="F374" s="1"/>
      <c r="G374" s="1"/>
      <c r="H374" s="1"/>
      <c r="I374" s="257"/>
      <c r="J374" s="257"/>
    </row>
    <row r="375" spans="1:10" ht="25.5">
      <c r="A375" s="178" t="s">
        <v>3476</v>
      </c>
      <c r="B375" s="378" t="s">
        <v>1301</v>
      </c>
      <c r="C375" s="378"/>
      <c r="D375" s="103" t="s">
        <v>579</v>
      </c>
      <c r="E375" s="103" t="s">
        <v>580</v>
      </c>
      <c r="F375" s="103" t="s">
        <v>581</v>
      </c>
      <c r="G375" s="103" t="s">
        <v>582</v>
      </c>
      <c r="H375" s="103" t="s">
        <v>583</v>
      </c>
      <c r="I375" s="178" t="s">
        <v>791</v>
      </c>
      <c r="J375" s="178" t="s">
        <v>581</v>
      </c>
    </row>
    <row r="376" spans="1:10" ht="38.25">
      <c r="A376" s="379">
        <f>VLOOKUP(A375,'3 - PLAN. ORÇAMENTÁRIA'!$A$16:$B$721,2,FALSE)</f>
        <v>93382</v>
      </c>
      <c r="B376" s="236" t="s">
        <v>1350</v>
      </c>
      <c r="C376" s="235" t="s">
        <v>1351</v>
      </c>
      <c r="D376" s="236" t="s">
        <v>119</v>
      </c>
      <c r="E376" s="236" t="s">
        <v>1304</v>
      </c>
      <c r="F376" s="237">
        <v>5.9999999999999995E-4</v>
      </c>
      <c r="G376" s="232">
        <f>VLOOKUP(B376,'4 - R. ANALÍTICO - ORIGINAIS'!$B$9:$H$4132,6,FALSE)</f>
        <v>75.08</v>
      </c>
      <c r="H376" s="380">
        <f>F376*G376</f>
        <v>4.5047999999999998E-2</v>
      </c>
      <c r="I376" s="261">
        <f>VLOOKUP(A375,'3 - PLAN. ORÇAMENTÁRIA'!$A$17:$F$721,6,FALSE)</f>
        <v>36.33</v>
      </c>
      <c r="J376" s="381">
        <f>F376*I376</f>
        <v>2.1797999999999998E-2</v>
      </c>
    </row>
    <row r="377" spans="1:10" ht="38.25">
      <c r="A377" s="1"/>
      <c r="B377" s="236" t="s">
        <v>1352</v>
      </c>
      <c r="C377" s="235" t="s">
        <v>1353</v>
      </c>
      <c r="D377" s="236" t="s">
        <v>119</v>
      </c>
      <c r="E377" s="236" t="s">
        <v>1307</v>
      </c>
      <c r="F377" s="237">
        <v>5.4000000000000003E-3</v>
      </c>
      <c r="G377" s="232">
        <f>VLOOKUP(B377,'4 - R. ANALÍTICO - ORIGINAIS'!$B$9:$H$4132,6,FALSE)</f>
        <v>317.85000000000002</v>
      </c>
      <c r="H377" s="380">
        <f>F377*G377</f>
        <v>1.7163900000000003</v>
      </c>
      <c r="I377" s="261">
        <f>I376</f>
        <v>36.33</v>
      </c>
      <c r="J377" s="381">
        <f>F377*I377</f>
        <v>0.196182</v>
      </c>
    </row>
    <row r="378" spans="1:10" ht="25.5">
      <c r="A378" s="1"/>
      <c r="B378" s="236" t="s">
        <v>1387</v>
      </c>
      <c r="C378" s="235" t="s">
        <v>1388</v>
      </c>
      <c r="D378" s="236" t="s">
        <v>119</v>
      </c>
      <c r="E378" s="236" t="s">
        <v>1307</v>
      </c>
      <c r="F378" s="237">
        <v>0.19620000000000001</v>
      </c>
      <c r="G378" s="232">
        <f>VLOOKUP(B378,'4 - R. ANALÍTICO - ORIGINAIS'!$B$9:$H$4132,6,FALSE)</f>
        <v>34.299999999999997</v>
      </c>
      <c r="H378" s="380">
        <f>F378*G378</f>
        <v>6.72966</v>
      </c>
      <c r="I378" s="261">
        <f>I377</f>
        <v>36.33</v>
      </c>
      <c r="J378" s="381">
        <f>F378*I378</f>
        <v>7.1279460000000006</v>
      </c>
    </row>
    <row r="379" spans="1:10" ht="15">
      <c r="A379" s="1"/>
      <c r="B379" s="386"/>
      <c r="C379" s="386"/>
      <c r="D379" s="386"/>
      <c r="E379" s="386"/>
      <c r="F379" s="387" t="s">
        <v>1308</v>
      </c>
      <c r="G379" s="387"/>
      <c r="H379" s="388">
        <f>SUM(H376:H378)</f>
        <v>8.4910980000000009</v>
      </c>
      <c r="I379" s="257"/>
      <c r="J379" s="257"/>
    </row>
    <row r="380" spans="1:10" ht="15">
      <c r="A380" s="1"/>
      <c r="B380" s="1"/>
      <c r="C380" s="1"/>
      <c r="D380" s="1"/>
      <c r="E380" s="1"/>
      <c r="F380" s="1"/>
      <c r="G380" s="1"/>
      <c r="H380" s="1"/>
      <c r="I380" s="257"/>
      <c r="J380" s="257"/>
    </row>
    <row r="381" spans="1:10" ht="25.5">
      <c r="A381" s="178" t="s">
        <v>514</v>
      </c>
      <c r="B381" s="378" t="s">
        <v>1301</v>
      </c>
      <c r="C381" s="378"/>
      <c r="D381" s="103" t="s">
        <v>579</v>
      </c>
      <c r="E381" s="103" t="s">
        <v>580</v>
      </c>
      <c r="F381" s="103" t="s">
        <v>581</v>
      </c>
      <c r="G381" s="103" t="s">
        <v>582</v>
      </c>
      <c r="H381" s="103" t="s">
        <v>583</v>
      </c>
      <c r="I381" s="178" t="s">
        <v>791</v>
      </c>
      <c r="J381" s="178" t="s">
        <v>581</v>
      </c>
    </row>
    <row r="382" spans="1:10" ht="38.25">
      <c r="A382" s="379">
        <f>VLOOKUP(A381,'3 - PLAN. ORÇAMENTÁRIA'!$A$16:$B$721,2,FALSE)</f>
        <v>97892</v>
      </c>
      <c r="B382" s="159" t="s">
        <v>1679</v>
      </c>
      <c r="C382" s="221" t="s">
        <v>1680</v>
      </c>
      <c r="D382" s="159" t="s">
        <v>119</v>
      </c>
      <c r="E382" s="159" t="s">
        <v>1304</v>
      </c>
      <c r="F382" s="174">
        <v>1.78E-2</v>
      </c>
      <c r="G382" s="232">
        <f>VLOOKUP(B382,'4 - R. ANALÍTICO - ORIGINAIS'!$B$9:$H$4132,6,FALSE)</f>
        <v>62.96</v>
      </c>
      <c r="H382" s="380">
        <f>F382*G382</f>
        <v>1.1206879999999999</v>
      </c>
      <c r="I382" s="261">
        <f>VLOOKUP(A381,'3 - PLAN. ORÇAMENTÁRIA'!$A$17:$F$721,6,FALSE)</f>
        <v>5</v>
      </c>
      <c r="J382" s="381">
        <f>F382*I382</f>
        <v>8.8999999999999996E-2</v>
      </c>
    </row>
    <row r="383" spans="1:10" ht="38.25">
      <c r="A383" s="1"/>
      <c r="B383" s="159" t="s">
        <v>1681</v>
      </c>
      <c r="C383" s="221" t="s">
        <v>1682</v>
      </c>
      <c r="D383" s="159" t="s">
        <v>119</v>
      </c>
      <c r="E383" s="159" t="s">
        <v>1307</v>
      </c>
      <c r="F383" s="174">
        <v>8.6999999999999994E-3</v>
      </c>
      <c r="G383" s="232">
        <f>VLOOKUP(B383,'4 - R. ANALÍTICO - ORIGINAIS'!$B$9:$H$4132,6,FALSE)</f>
        <v>146.19</v>
      </c>
      <c r="H383" s="380">
        <f>F383*G383</f>
        <v>1.2718529999999999</v>
      </c>
      <c r="I383" s="261">
        <f>I382</f>
        <v>5</v>
      </c>
      <c r="J383" s="381">
        <f>F383*I383</f>
        <v>4.3499999999999997E-2</v>
      </c>
    </row>
    <row r="384" spans="1:10" ht="15">
      <c r="A384" s="1"/>
      <c r="B384" s="222"/>
      <c r="C384" s="222"/>
      <c r="D384" s="222"/>
      <c r="E384" s="222"/>
      <c r="F384" s="385" t="s">
        <v>1308</v>
      </c>
      <c r="G384" s="385"/>
      <c r="H384" s="102">
        <f>SUM(H382:H383)</f>
        <v>2.3925409999999996</v>
      </c>
      <c r="I384" s="257"/>
      <c r="J384" s="257"/>
    </row>
    <row r="385" spans="1:10" ht="15">
      <c r="A385" s="1"/>
      <c r="B385" s="1"/>
      <c r="C385" s="1"/>
      <c r="D385" s="1"/>
      <c r="E385" s="1"/>
      <c r="F385" s="1"/>
      <c r="G385" s="1"/>
      <c r="H385" s="1"/>
      <c r="I385" s="257"/>
      <c r="J385" s="257"/>
    </row>
    <row r="386" spans="1:10" ht="25.5">
      <c r="A386" s="178" t="s">
        <v>562</v>
      </c>
      <c r="B386" s="378" t="s">
        <v>1301</v>
      </c>
      <c r="C386" s="378"/>
      <c r="D386" s="103" t="s">
        <v>579</v>
      </c>
      <c r="E386" s="103" t="s">
        <v>580</v>
      </c>
      <c r="F386" s="103" t="s">
        <v>581</v>
      </c>
      <c r="G386" s="103" t="s">
        <v>582</v>
      </c>
      <c r="H386" s="103" t="s">
        <v>583</v>
      </c>
      <c r="I386" s="178" t="s">
        <v>791</v>
      </c>
      <c r="J386" s="178" t="s">
        <v>581</v>
      </c>
    </row>
    <row r="387" spans="1:10" ht="38.25">
      <c r="A387" s="379" t="str">
        <f>VLOOKUP(A386,'3 - PLAN. ORÇAMENTÁRIA'!$A$16:$B$721,2,FALSE)</f>
        <v>CCU 185</v>
      </c>
      <c r="B387" s="159">
        <v>5928</v>
      </c>
      <c r="C387" s="221" t="s">
        <v>2532</v>
      </c>
      <c r="D387" s="159" t="s">
        <v>119</v>
      </c>
      <c r="E387" s="159" t="s">
        <v>1307</v>
      </c>
      <c r="F387" s="174">
        <v>0.111</v>
      </c>
      <c r="G387" s="232">
        <f>VLOOKUP(B387,'5 - R. ANALÍTICO - MODIFICAD'!$B$27:$H$1212,6,FALSE)</f>
        <v>276.11</v>
      </c>
      <c r="H387" s="380">
        <f>F387*G387</f>
        <v>30.648210000000002</v>
      </c>
      <c r="I387" s="261">
        <f>VLOOKUP(A386,'3 - PLAN. ORÇAMENTÁRIA'!$A$17:$F$721,6,FALSE)</f>
        <v>39</v>
      </c>
      <c r="J387" s="381">
        <f>F387*I387</f>
        <v>4.3289999999999997</v>
      </c>
    </row>
    <row r="388" spans="1:10" ht="15">
      <c r="A388" s="1"/>
      <c r="B388" s="222"/>
      <c r="C388" s="222"/>
      <c r="D388" s="222"/>
      <c r="E388" s="222"/>
      <c r="F388" s="385" t="s">
        <v>1308</v>
      </c>
      <c r="G388" s="385"/>
      <c r="H388" s="102">
        <f>SUM(H387)</f>
        <v>30.648210000000002</v>
      </c>
      <c r="I388" s="257"/>
      <c r="J388" s="257"/>
    </row>
    <row r="389" spans="1:10" ht="15">
      <c r="A389" s="1"/>
      <c r="B389" s="1"/>
      <c r="C389" s="1"/>
      <c r="D389" s="1"/>
      <c r="E389" s="1"/>
      <c r="F389" s="1"/>
      <c r="G389" s="1"/>
      <c r="H389" s="1"/>
      <c r="I389" s="257"/>
      <c r="J389" s="257"/>
    </row>
    <row r="390" spans="1:10" ht="25.5">
      <c r="A390" s="178" t="s">
        <v>563</v>
      </c>
      <c r="B390" s="378" t="s">
        <v>1301</v>
      </c>
      <c r="C390" s="378"/>
      <c r="D390" s="103" t="s">
        <v>579</v>
      </c>
      <c r="E390" s="103" t="s">
        <v>580</v>
      </c>
      <c r="F390" s="103" t="s">
        <v>581</v>
      </c>
      <c r="G390" s="103" t="s">
        <v>582</v>
      </c>
      <c r="H390" s="103" t="s">
        <v>583</v>
      </c>
      <c r="I390" s="178" t="s">
        <v>791</v>
      </c>
      <c r="J390" s="178" t="s">
        <v>581</v>
      </c>
    </row>
    <row r="391" spans="1:10" ht="38.25">
      <c r="A391" s="379" t="str">
        <f>VLOOKUP(A390,'3 - PLAN. ORÇAMENTÁRIA'!$A$16:$B$721,2,FALSE)</f>
        <v>CCU 189</v>
      </c>
      <c r="B391" s="159">
        <v>5928</v>
      </c>
      <c r="C391" s="221" t="s">
        <v>2532</v>
      </c>
      <c r="D391" s="159" t="s">
        <v>119</v>
      </c>
      <c r="E391" s="159" t="s">
        <v>1307</v>
      </c>
      <c r="F391" s="174">
        <v>0.23880000000000001</v>
      </c>
      <c r="G391" s="232">
        <f>VLOOKUP(B391,'5 - R. ANALÍTICO - MODIFICAD'!$B$27:$H$1212,6,FALSE)</f>
        <v>276.11</v>
      </c>
      <c r="H391" s="380">
        <f>F391*G391</f>
        <v>65.935068000000001</v>
      </c>
      <c r="I391" s="261">
        <f>VLOOKUP(A390,'3 - PLAN. ORÇAMENTÁRIA'!$A$17:$F$721,6,FALSE)</f>
        <v>71</v>
      </c>
      <c r="J391" s="381">
        <f>F391*I391</f>
        <v>16.954800000000002</v>
      </c>
    </row>
    <row r="392" spans="1:10" ht="15">
      <c r="A392" s="1"/>
      <c r="B392" s="163"/>
      <c r="C392" s="243"/>
      <c r="D392" s="244"/>
      <c r="E392" s="244"/>
      <c r="F392" s="385" t="s">
        <v>1308</v>
      </c>
      <c r="G392" s="385"/>
      <c r="H392" s="102">
        <f>SUM(H391)</f>
        <v>65.935068000000001</v>
      </c>
      <c r="I392" s="257"/>
      <c r="J392" s="257"/>
    </row>
    <row r="393" spans="1:10" ht="15">
      <c r="A393" s="1"/>
      <c r="B393" s="1"/>
      <c r="C393" s="1"/>
      <c r="D393" s="1"/>
      <c r="E393" s="1"/>
      <c r="F393" s="1"/>
      <c r="G393" s="1"/>
      <c r="H393" s="1"/>
      <c r="I393" s="257"/>
      <c r="J393" s="257"/>
    </row>
    <row r="394" spans="1:10" ht="25.5">
      <c r="A394" s="178" t="s">
        <v>3592</v>
      </c>
      <c r="B394" s="378" t="s">
        <v>1301</v>
      </c>
      <c r="C394" s="378"/>
      <c r="D394" s="103" t="s">
        <v>579</v>
      </c>
      <c r="E394" s="103" t="s">
        <v>580</v>
      </c>
      <c r="F394" s="103" t="s">
        <v>581</v>
      </c>
      <c r="G394" s="103" t="s">
        <v>582</v>
      </c>
      <c r="H394" s="103" t="s">
        <v>583</v>
      </c>
      <c r="I394" s="178" t="s">
        <v>791</v>
      </c>
      <c r="J394" s="178" t="s">
        <v>581</v>
      </c>
    </row>
    <row r="395" spans="1:10" ht="25.5">
      <c r="A395" s="379">
        <f>VLOOKUP(A394,'3 - PLAN. ORÇAMENTÁRIA'!$A$16:$B$721,2,FALSE)</f>
        <v>101616</v>
      </c>
      <c r="B395" s="159" t="s">
        <v>1385</v>
      </c>
      <c r="C395" s="221" t="s">
        <v>1386</v>
      </c>
      <c r="D395" s="159" t="s">
        <v>119</v>
      </c>
      <c r="E395" s="159" t="s">
        <v>1304</v>
      </c>
      <c r="F395" s="174">
        <v>3.5999999999999999E-3</v>
      </c>
      <c r="G395" s="232">
        <f>VLOOKUP(B395,'4 - R. ANALÍTICO - ORIGINAIS'!$B$9:$H$4132,6,FALSE)</f>
        <v>27.12</v>
      </c>
      <c r="H395" s="380">
        <f>F395*G395</f>
        <v>9.7631999999999997E-2</v>
      </c>
      <c r="I395" s="261">
        <f>VLOOKUP(A394,'3 - PLAN. ORÇAMENTÁRIA'!$A$17:$F$721,6,FALSE)</f>
        <v>93.1</v>
      </c>
      <c r="J395" s="381">
        <f>F395*I395</f>
        <v>0.33515999999999996</v>
      </c>
    </row>
    <row r="396" spans="1:10" ht="25.5">
      <c r="A396" s="1"/>
      <c r="B396" s="159" t="s">
        <v>1387</v>
      </c>
      <c r="C396" s="221" t="s">
        <v>1388</v>
      </c>
      <c r="D396" s="159" t="s">
        <v>119</v>
      </c>
      <c r="E396" s="159" t="s">
        <v>1307</v>
      </c>
      <c r="F396" s="174">
        <v>3.5999999999999999E-3</v>
      </c>
      <c r="G396" s="232">
        <f>VLOOKUP(B396,'4 - R. ANALÍTICO - ORIGINAIS'!$B$9:$H$4132,6,FALSE)</f>
        <v>34.299999999999997</v>
      </c>
      <c r="H396" s="380">
        <f>F396*G396</f>
        <v>0.12347999999999999</v>
      </c>
      <c r="I396" s="261">
        <f>I395</f>
        <v>93.1</v>
      </c>
      <c r="J396" s="381">
        <f>F396*I396</f>
        <v>0.33515999999999996</v>
      </c>
    </row>
    <row r="397" spans="1:10" ht="15">
      <c r="A397" s="1"/>
      <c r="B397" s="222"/>
      <c r="C397" s="222"/>
      <c r="D397" s="222"/>
      <c r="E397" s="222"/>
      <c r="F397" s="385" t="s">
        <v>1308</v>
      </c>
      <c r="G397" s="385"/>
      <c r="H397" s="102">
        <f>SUM(H395:H396)</f>
        <v>0.22111199999999998</v>
      </c>
      <c r="I397" s="257"/>
      <c r="J397" s="257"/>
    </row>
    <row r="398" spans="1:10" ht="15">
      <c r="A398" s="1"/>
      <c r="B398" s="1"/>
      <c r="C398" s="1"/>
      <c r="D398" s="1"/>
      <c r="E398" s="1"/>
      <c r="F398" s="1"/>
      <c r="G398" s="1"/>
      <c r="H398" s="1"/>
      <c r="I398" s="257"/>
      <c r="J398" s="257"/>
    </row>
    <row r="399" spans="1:10" ht="25.5">
      <c r="A399" s="178" t="s">
        <v>3593</v>
      </c>
      <c r="B399" s="378" t="s">
        <v>1301</v>
      </c>
      <c r="C399" s="378"/>
      <c r="D399" s="103" t="s">
        <v>579</v>
      </c>
      <c r="E399" s="103" t="s">
        <v>580</v>
      </c>
      <c r="F399" s="103" t="s">
        <v>581</v>
      </c>
      <c r="G399" s="103" t="s">
        <v>582</v>
      </c>
      <c r="H399" s="103" t="s">
        <v>583</v>
      </c>
      <c r="I399" s="178" t="s">
        <v>791</v>
      </c>
      <c r="J399" s="178" t="s">
        <v>581</v>
      </c>
    </row>
    <row r="400" spans="1:10" ht="25.5">
      <c r="A400" s="379">
        <f>VLOOKUP(A399,'3 - PLAN. ORÇAMENTÁRIA'!$A$16:$B$721,2,FALSE)</f>
        <v>93382</v>
      </c>
      <c r="B400" s="159" t="s">
        <v>1350</v>
      </c>
      <c r="C400" s="221" t="s">
        <v>1351</v>
      </c>
      <c r="D400" s="159" t="s">
        <v>119</v>
      </c>
      <c r="E400" s="159" t="s">
        <v>1304</v>
      </c>
      <c r="F400" s="174">
        <v>5.9999999999999995E-4</v>
      </c>
      <c r="G400" s="232">
        <f>VLOOKUP(B400,'4 - R. ANALÍTICO - ORIGINAIS'!$B$9:$H$4132,6,FALSE)</f>
        <v>75.08</v>
      </c>
      <c r="H400" s="380">
        <f>F400*G400</f>
        <v>4.5047999999999998E-2</v>
      </c>
      <c r="I400" s="261">
        <f>VLOOKUP(A399,'3 - PLAN. ORÇAMENTÁRIA'!$A$17:$F$721,6,FALSE)</f>
        <v>37.24</v>
      </c>
      <c r="J400" s="381">
        <f>F400*I400</f>
        <v>2.2343999999999999E-2</v>
      </c>
    </row>
    <row r="401" spans="1:10" ht="25.5">
      <c r="A401" s="1"/>
      <c r="B401" s="159" t="s">
        <v>1352</v>
      </c>
      <c r="C401" s="221" t="s">
        <v>1353</v>
      </c>
      <c r="D401" s="159" t="s">
        <v>119</v>
      </c>
      <c r="E401" s="159" t="s">
        <v>1307</v>
      </c>
      <c r="F401" s="174">
        <v>5.4000000000000003E-3</v>
      </c>
      <c r="G401" s="232">
        <f>VLOOKUP(B401,'4 - R. ANALÍTICO - ORIGINAIS'!$B$9:$H$4132,6,FALSE)</f>
        <v>317.85000000000002</v>
      </c>
      <c r="H401" s="380">
        <f>F401*G401</f>
        <v>1.7163900000000003</v>
      </c>
      <c r="I401" s="261">
        <f>I400</f>
        <v>37.24</v>
      </c>
      <c r="J401" s="381">
        <f>F401*I401</f>
        <v>0.20109600000000002</v>
      </c>
    </row>
    <row r="402" spans="1:10" ht="25.5">
      <c r="A402" s="1"/>
      <c r="B402" s="159" t="s">
        <v>1387</v>
      </c>
      <c r="C402" s="221" t="s">
        <v>1388</v>
      </c>
      <c r="D402" s="159" t="s">
        <v>119</v>
      </c>
      <c r="E402" s="159" t="s">
        <v>1307</v>
      </c>
      <c r="F402" s="174">
        <v>0.19620000000000001</v>
      </c>
      <c r="G402" s="232">
        <f>VLOOKUP(B402,'4 - R. ANALÍTICO - ORIGINAIS'!$B$9:$H$4132,6,FALSE)</f>
        <v>34.299999999999997</v>
      </c>
      <c r="H402" s="380">
        <f>F402*G402</f>
        <v>6.72966</v>
      </c>
      <c r="I402" s="261">
        <f>I401</f>
        <v>37.24</v>
      </c>
      <c r="J402" s="381">
        <f>F402*I402</f>
        <v>7.3064880000000008</v>
      </c>
    </row>
    <row r="403" spans="1:10" ht="15">
      <c r="A403" s="1"/>
      <c r="B403" s="222"/>
      <c r="C403" s="222"/>
      <c r="D403" s="222"/>
      <c r="E403" s="222"/>
      <c r="F403" s="385" t="s">
        <v>1308</v>
      </c>
      <c r="G403" s="385"/>
      <c r="H403" s="102">
        <f>SUM(H400:H402)</f>
        <v>8.4910980000000009</v>
      </c>
      <c r="I403" s="257"/>
      <c r="J403" s="257"/>
    </row>
    <row r="404" spans="1:10" ht="15">
      <c r="A404" s="1"/>
      <c r="B404" s="1"/>
      <c r="C404" s="1"/>
      <c r="D404" s="1"/>
      <c r="E404" s="1"/>
      <c r="F404" s="1"/>
      <c r="G404" s="1"/>
      <c r="H404" s="1"/>
      <c r="I404" s="257"/>
      <c r="J404" s="257"/>
    </row>
    <row r="405" spans="1:10" ht="25.5">
      <c r="A405" s="178" t="s">
        <v>2425</v>
      </c>
      <c r="B405" s="378" t="s">
        <v>1301</v>
      </c>
      <c r="C405" s="378"/>
      <c r="D405" s="103" t="s">
        <v>579</v>
      </c>
      <c r="E405" s="103" t="s">
        <v>580</v>
      </c>
      <c r="F405" s="103" t="s">
        <v>581</v>
      </c>
      <c r="G405" s="103" t="s">
        <v>582</v>
      </c>
      <c r="H405" s="103" t="s">
        <v>583</v>
      </c>
      <c r="I405" s="178" t="s">
        <v>791</v>
      </c>
      <c r="J405" s="178" t="s">
        <v>581</v>
      </c>
    </row>
    <row r="406" spans="1:10" ht="25.5">
      <c r="A406" s="379">
        <f>VLOOKUP(A405,'3 - PLAN. ORÇAMENTÁRIA'!$A$16:$B$721,2,FALSE)</f>
        <v>103273</v>
      </c>
      <c r="B406" s="159" t="s">
        <v>1790</v>
      </c>
      <c r="C406" s="221" t="s">
        <v>1791</v>
      </c>
      <c r="D406" s="159" t="s">
        <v>119</v>
      </c>
      <c r="E406" s="159" t="s">
        <v>1304</v>
      </c>
      <c r="F406" s="174">
        <v>1.5165999999999999</v>
      </c>
      <c r="G406" s="232">
        <f>VLOOKUP(B406,'4 - R. ANALÍTICO - ORIGINAIS'!$B$9:$H$4132,6,FALSE)</f>
        <v>174.79</v>
      </c>
      <c r="H406" s="380">
        <f>F406*G406</f>
        <v>265.08651399999997</v>
      </c>
      <c r="I406" s="261">
        <f>VLOOKUP(A405,'3 - PLAN. ORÇAMENTÁRIA'!$A$17:$F$721,6,FALSE)</f>
        <v>5</v>
      </c>
      <c r="J406" s="381">
        <f>F406*I406</f>
        <v>7.5830000000000002</v>
      </c>
    </row>
    <row r="407" spans="1:10" ht="25.5">
      <c r="A407" s="1"/>
      <c r="B407" s="159" t="s">
        <v>1792</v>
      </c>
      <c r="C407" s="221" t="s">
        <v>1793</v>
      </c>
      <c r="D407" s="159" t="s">
        <v>119</v>
      </c>
      <c r="E407" s="159" t="s">
        <v>1307</v>
      </c>
      <c r="F407" s="174">
        <v>0.2059</v>
      </c>
      <c r="G407" s="232">
        <f>VLOOKUP(B407,'4 - R. ANALÍTICO - ORIGINAIS'!$B$9:$H$4132,6,FALSE)</f>
        <v>343.98</v>
      </c>
      <c r="H407" s="160">
        <v>71.239999999999995</v>
      </c>
      <c r="I407" s="261">
        <f>I406</f>
        <v>5</v>
      </c>
      <c r="J407" s="381">
        <f>F407*I407</f>
        <v>1.0295000000000001</v>
      </c>
    </row>
    <row r="408" spans="1:10" ht="15">
      <c r="A408" s="1"/>
      <c r="B408" s="222"/>
      <c r="C408" s="222"/>
      <c r="D408" s="222"/>
      <c r="E408" s="222"/>
      <c r="F408" s="385" t="s">
        <v>1308</v>
      </c>
      <c r="G408" s="385"/>
      <c r="H408" s="102">
        <f>SUM(H406:H407)</f>
        <v>336.32651399999997</v>
      </c>
      <c r="I408" s="257"/>
      <c r="J408" s="257"/>
    </row>
    <row r="409" spans="1:10" ht="15">
      <c r="A409" s="1"/>
      <c r="H409" s="220"/>
      <c r="I409" s="220"/>
    </row>
    <row r="410" spans="1:10" ht="25.5">
      <c r="A410" s="178" t="s">
        <v>2625</v>
      </c>
      <c r="B410" s="378" t="s">
        <v>1301</v>
      </c>
      <c r="C410" s="378"/>
      <c r="D410" s="103" t="s">
        <v>579</v>
      </c>
      <c r="E410" s="103" t="s">
        <v>580</v>
      </c>
      <c r="F410" s="103" t="s">
        <v>581</v>
      </c>
      <c r="G410" s="103" t="s">
        <v>582</v>
      </c>
      <c r="H410" s="103" t="s">
        <v>583</v>
      </c>
      <c r="I410" s="178" t="s">
        <v>791</v>
      </c>
      <c r="J410" s="178" t="s">
        <v>581</v>
      </c>
    </row>
    <row r="411" spans="1:10" ht="25.5">
      <c r="A411" s="379">
        <f>VLOOKUP(A410,'3 - PLAN. ORÇAMENTÁRIA'!$A$16:$B$721,2,FALSE)</f>
        <v>99814</v>
      </c>
      <c r="B411" s="159" t="s">
        <v>2743</v>
      </c>
      <c r="C411" s="221" t="s">
        <v>2744</v>
      </c>
      <c r="D411" s="159" t="s">
        <v>119</v>
      </c>
      <c r="E411" s="159" t="s">
        <v>1307</v>
      </c>
      <c r="F411" s="174">
        <v>1.4999999999999999E-2</v>
      </c>
      <c r="G411" s="232">
        <f>VLOOKUP(B411,'4 - R. ANALÍTICO - ORIGINAIS'!$B$9:$H$4132,6,FALSE)</f>
        <v>3.61</v>
      </c>
      <c r="H411" s="380">
        <f>F411*G411</f>
        <v>5.4149999999999997E-2</v>
      </c>
      <c r="I411" s="261">
        <f>VLOOKUP(A410,'3 - PLAN. ORÇAMENTÁRIA'!$A$17:$F$721,6,FALSE)</f>
        <v>1813.91</v>
      </c>
      <c r="J411" s="381">
        <f>F411*I411</f>
        <v>27.208649999999999</v>
      </c>
    </row>
    <row r="412" spans="1:10" ht="15">
      <c r="A412" s="1"/>
      <c r="B412" s="222"/>
      <c r="C412" s="222"/>
      <c r="D412" s="222"/>
      <c r="E412" s="222"/>
      <c r="F412" s="385" t="s">
        <v>1308</v>
      </c>
      <c r="G412" s="385"/>
      <c r="H412" s="102">
        <f>SUM(H411)</f>
        <v>5.4149999999999997E-2</v>
      </c>
      <c r="I412" s="257"/>
      <c r="J412" s="257"/>
    </row>
    <row r="413" spans="1:10" ht="15">
      <c r="A413" s="1"/>
      <c r="B413" s="1"/>
      <c r="C413" s="1"/>
      <c r="D413" s="1"/>
      <c r="E413" s="1"/>
      <c r="F413" s="1"/>
      <c r="G413" s="1"/>
      <c r="H413" s="1"/>
      <c r="I413" s="257"/>
      <c r="J413" s="257"/>
    </row>
    <row r="414" spans="1:10" ht="25.5">
      <c r="A414" s="178" t="s">
        <v>462</v>
      </c>
      <c r="B414" s="378" t="s">
        <v>588</v>
      </c>
      <c r="C414" s="378"/>
      <c r="D414" s="103" t="s">
        <v>579</v>
      </c>
      <c r="E414" s="103" t="s">
        <v>580</v>
      </c>
      <c r="F414" s="103" t="s">
        <v>581</v>
      </c>
      <c r="G414" s="103" t="s">
        <v>582</v>
      </c>
      <c r="H414" s="103" t="s">
        <v>583</v>
      </c>
      <c r="I414" s="178" t="s">
        <v>791</v>
      </c>
      <c r="J414" s="178" t="s">
        <v>581</v>
      </c>
    </row>
    <row r="415" spans="1:10" ht="38.25">
      <c r="A415" s="379">
        <f>VLOOKUP(A414,'3 - PLAN. ORÇAMENTÁRIA'!$A$16:$B$721,2,FALSE)</f>
        <v>10527</v>
      </c>
      <c r="B415" s="159" t="s">
        <v>2745</v>
      </c>
      <c r="C415" s="221" t="s">
        <v>2539</v>
      </c>
      <c r="D415" s="159" t="s">
        <v>119</v>
      </c>
      <c r="E415" s="159" t="s">
        <v>463</v>
      </c>
      <c r="F415" s="174">
        <v>1</v>
      </c>
      <c r="G415" s="232">
        <f>VLOOKUP(B415,'4 - R. ANALÍTICO - ORIGINAIS'!$B$9:$H$4132,6,FALSE)</f>
        <v>30.13</v>
      </c>
      <c r="H415" s="380">
        <f>F415*G415</f>
        <v>30.13</v>
      </c>
      <c r="I415" s="261">
        <f>VLOOKUP(A414,'3 - PLAN. ORÇAMENTÁRIA'!$A$17:$F$721,6,FALSE)</f>
        <v>59</v>
      </c>
      <c r="J415" s="381">
        <f>F415*I415</f>
        <v>59</v>
      </c>
    </row>
    <row r="416" spans="1:10" ht="15">
      <c r="A416" s="1"/>
      <c r="B416" s="222"/>
      <c r="C416" s="222"/>
      <c r="D416" s="222"/>
      <c r="E416" s="222"/>
      <c r="F416" s="385" t="s">
        <v>589</v>
      </c>
      <c r="G416" s="385"/>
      <c r="H416" s="102">
        <f>SUM(H415)</f>
        <v>30.13</v>
      </c>
      <c r="I416" s="257"/>
      <c r="J416" s="257"/>
    </row>
  </sheetData>
  <sortState xmlns:xlrd2="http://schemas.microsoft.com/office/spreadsheetml/2017/richdata2" ref="A8:J58">
    <sortCondition descending="1" ref="G8:G58"/>
  </sortState>
  <mergeCells count="16">
    <mergeCell ref="A60:J60"/>
    <mergeCell ref="B194:C194"/>
    <mergeCell ref="B272:C272"/>
    <mergeCell ref="B189:C189"/>
    <mergeCell ref="I6:I7"/>
    <mergeCell ref="J6:J7"/>
    <mergeCell ref="A5:J5"/>
    <mergeCell ref="A1:J4"/>
    <mergeCell ref="A6:A7"/>
    <mergeCell ref="B6:B7"/>
    <mergeCell ref="C6:C7"/>
    <mergeCell ref="D6:D7"/>
    <mergeCell ref="G6:G7"/>
    <mergeCell ref="H6:H7"/>
    <mergeCell ref="E6:E7"/>
    <mergeCell ref="F6:F7"/>
  </mergeCells>
  <conditionalFormatting sqref="A66">
    <cfRule type="cellIs" dxfId="385" priority="1235" operator="equal">
      <formula>"SP EDUCAÇÃO"</formula>
    </cfRule>
    <cfRule type="cellIs" dxfId="384" priority="1236" operator="equal">
      <formula>"ORSE"</formula>
    </cfRule>
    <cfRule type="cellIs" dxfId="383" priority="1237" operator="equal">
      <formula>"SP OBRAS"</formula>
    </cfRule>
    <cfRule type="cellIs" dxfId="382" priority="1239" operator="equal">
      <formula>"COT 01.0"</formula>
    </cfRule>
    <cfRule type="cellIs" dxfId="381" priority="1238" operator="equal">
      <formula>"Composições"</formula>
    </cfRule>
  </conditionalFormatting>
  <conditionalFormatting sqref="A70">
    <cfRule type="cellIs" dxfId="380" priority="947" operator="equal">
      <formula>"SP OBRAS"</formula>
    </cfRule>
    <cfRule type="cellIs" dxfId="379" priority="948" operator="equal">
      <formula>"Composições"</formula>
    </cfRule>
    <cfRule type="cellIs" dxfId="378" priority="949" operator="equal">
      <formula>"COT 01.0"</formula>
    </cfRule>
    <cfRule type="cellIs" dxfId="377" priority="946" operator="equal">
      <formula>"ORSE"</formula>
    </cfRule>
    <cfRule type="cellIs" dxfId="376" priority="945" operator="equal">
      <formula>"SP EDUCAÇÃO"</formula>
    </cfRule>
  </conditionalFormatting>
  <conditionalFormatting sqref="A74">
    <cfRule type="cellIs" dxfId="375" priority="937" operator="equal">
      <formula>"SP OBRAS"</formula>
    </cfRule>
    <cfRule type="cellIs" dxfId="374" priority="936" operator="equal">
      <formula>"ORSE"</formula>
    </cfRule>
    <cfRule type="cellIs" dxfId="373" priority="935" operator="equal">
      <formula>"SP EDUCAÇÃO"</formula>
    </cfRule>
    <cfRule type="cellIs" dxfId="372" priority="939" operator="equal">
      <formula>"COT 01.0"</formula>
    </cfRule>
    <cfRule type="cellIs" dxfId="371" priority="938" operator="equal">
      <formula>"Composições"</formula>
    </cfRule>
  </conditionalFormatting>
  <conditionalFormatting sqref="A189">
    <cfRule type="cellIs" dxfId="370" priority="217" operator="equal">
      <formula>"ORSE"</formula>
    </cfRule>
    <cfRule type="cellIs" dxfId="369" priority="218" operator="equal">
      <formula>"SP OBRAS"</formula>
    </cfRule>
    <cfRule type="cellIs" dxfId="368" priority="219" operator="equal">
      <formula>"Composições"</formula>
    </cfRule>
    <cfRule type="cellIs" dxfId="367" priority="220" operator="equal">
      <formula>"COT 01.0"</formula>
    </cfRule>
    <cfRule type="cellIs" dxfId="366" priority="216" operator="equal">
      <formula>"SP EDUCAÇÃO"</formula>
    </cfRule>
  </conditionalFormatting>
  <conditionalFormatting sqref="A194">
    <cfRule type="cellIs" dxfId="365" priority="725" operator="equal">
      <formula>"SP EDUCAÇÃO"</formula>
    </cfRule>
    <cfRule type="cellIs" dxfId="364" priority="728" operator="equal">
      <formula>"Composições"</formula>
    </cfRule>
    <cfRule type="cellIs" dxfId="363" priority="729" operator="equal">
      <formula>"COT 01.0"</formula>
    </cfRule>
    <cfRule type="cellIs" dxfId="362" priority="727" operator="equal">
      <formula>"SP OBRAS"</formula>
    </cfRule>
    <cfRule type="cellIs" dxfId="361" priority="726" operator="equal">
      <formula>"ORSE"</formula>
    </cfRule>
  </conditionalFormatting>
  <conditionalFormatting sqref="A86:F86">
    <cfRule type="cellIs" dxfId="360" priority="905" operator="equal">
      <formula>"SP EDUCAÇÃO"</formula>
    </cfRule>
    <cfRule type="cellIs" dxfId="359" priority="906" operator="equal">
      <formula>"ORSE"</formula>
    </cfRule>
    <cfRule type="cellIs" dxfId="358" priority="908" operator="equal">
      <formula>"Composições"</formula>
    </cfRule>
    <cfRule type="cellIs" dxfId="357" priority="909" operator="equal">
      <formula>"COT 01.0"</formula>
    </cfRule>
    <cfRule type="cellIs" dxfId="356" priority="907" operator="equal">
      <formula>"SP OBRAS"</formula>
    </cfRule>
  </conditionalFormatting>
  <conditionalFormatting sqref="A91:F91">
    <cfRule type="cellIs" dxfId="355" priority="895" operator="equal">
      <formula>"SP EDUCAÇÃO"</formula>
    </cfRule>
    <cfRule type="cellIs" dxfId="354" priority="896" operator="equal">
      <formula>"ORSE"</formula>
    </cfRule>
    <cfRule type="cellIs" dxfId="353" priority="897" operator="equal">
      <formula>"SP OBRAS"</formula>
    </cfRule>
    <cfRule type="cellIs" dxfId="352" priority="898" operator="equal">
      <formula>"Composições"</formula>
    </cfRule>
    <cfRule type="cellIs" dxfId="351" priority="899" operator="equal">
      <formula>"COT 01.0"</formula>
    </cfRule>
  </conditionalFormatting>
  <conditionalFormatting sqref="A96:F96">
    <cfRule type="cellIs" dxfId="350" priority="887" operator="equal">
      <formula>"SP OBRAS"</formula>
    </cfRule>
    <cfRule type="cellIs" dxfId="349" priority="888" operator="equal">
      <formula>"Composições"</formula>
    </cfRule>
    <cfRule type="cellIs" dxfId="348" priority="889" operator="equal">
      <formula>"COT 01.0"</formula>
    </cfRule>
    <cfRule type="cellIs" dxfId="347" priority="885" operator="equal">
      <formula>"SP EDUCAÇÃO"</formula>
    </cfRule>
    <cfRule type="cellIs" dxfId="346" priority="886" operator="equal">
      <formula>"ORSE"</formula>
    </cfRule>
  </conditionalFormatting>
  <conditionalFormatting sqref="A101:F101">
    <cfRule type="cellIs" dxfId="345" priority="878" operator="equal">
      <formula>"Composições"</formula>
    </cfRule>
    <cfRule type="cellIs" dxfId="344" priority="877" operator="equal">
      <formula>"SP OBRAS"</formula>
    </cfRule>
    <cfRule type="cellIs" dxfId="343" priority="876" operator="equal">
      <formula>"ORSE"</formula>
    </cfRule>
    <cfRule type="cellIs" dxfId="342" priority="875" operator="equal">
      <formula>"SP EDUCAÇÃO"</formula>
    </cfRule>
    <cfRule type="cellIs" dxfId="341" priority="879" operator="equal">
      <formula>"COT 01.0"</formula>
    </cfRule>
  </conditionalFormatting>
  <conditionalFormatting sqref="A108:F108">
    <cfRule type="cellIs" dxfId="340" priority="869" operator="equal">
      <formula>"COT 01.0"</formula>
    </cfRule>
    <cfRule type="cellIs" dxfId="339" priority="868" operator="equal">
      <formula>"Composições"</formula>
    </cfRule>
    <cfRule type="cellIs" dxfId="338" priority="867" operator="equal">
      <formula>"SP OBRAS"</formula>
    </cfRule>
    <cfRule type="cellIs" dxfId="337" priority="866" operator="equal">
      <formula>"ORSE"</formula>
    </cfRule>
    <cfRule type="cellIs" dxfId="336" priority="865" operator="equal">
      <formula>"SP EDUCAÇÃO"</formula>
    </cfRule>
  </conditionalFormatting>
  <conditionalFormatting sqref="A113:F113">
    <cfRule type="cellIs" dxfId="335" priority="859" operator="equal">
      <formula>"COT 01.0"</formula>
    </cfRule>
    <cfRule type="cellIs" dxfId="334" priority="858" operator="equal">
      <formula>"Composições"</formula>
    </cfRule>
    <cfRule type="cellIs" dxfId="333" priority="857" operator="equal">
      <formula>"SP OBRAS"</formula>
    </cfRule>
    <cfRule type="cellIs" dxfId="332" priority="856" operator="equal">
      <formula>"ORSE"</formula>
    </cfRule>
    <cfRule type="cellIs" dxfId="331" priority="855" operator="equal">
      <formula>"SP EDUCAÇÃO"</formula>
    </cfRule>
  </conditionalFormatting>
  <conditionalFormatting sqref="A118:F118">
    <cfRule type="cellIs" dxfId="330" priority="838" operator="equal">
      <formula>"Composições"</formula>
    </cfRule>
    <cfRule type="cellIs" dxfId="329" priority="837" operator="equal">
      <formula>"SP OBRAS"</formula>
    </cfRule>
    <cfRule type="cellIs" dxfId="328" priority="836" operator="equal">
      <formula>"ORSE"</formula>
    </cfRule>
    <cfRule type="cellIs" dxfId="327" priority="835" operator="equal">
      <formula>"SP EDUCAÇÃO"</formula>
    </cfRule>
    <cfRule type="cellIs" dxfId="326" priority="839" operator="equal">
      <formula>"COT 01.0"</formula>
    </cfRule>
  </conditionalFormatting>
  <conditionalFormatting sqref="A123:F123">
    <cfRule type="cellIs" dxfId="325" priority="849" operator="equal">
      <formula>"COT 01.0"</formula>
    </cfRule>
    <cfRule type="cellIs" dxfId="324" priority="848" operator="equal">
      <formula>"Composições"</formula>
    </cfRule>
    <cfRule type="cellIs" dxfId="323" priority="845" operator="equal">
      <formula>"SP EDUCAÇÃO"</formula>
    </cfRule>
    <cfRule type="cellIs" dxfId="322" priority="846" operator="equal">
      <formula>"ORSE"</formula>
    </cfRule>
    <cfRule type="cellIs" dxfId="321" priority="847" operator="equal">
      <formula>"SP OBRAS"</formula>
    </cfRule>
  </conditionalFormatting>
  <conditionalFormatting sqref="A132:F132">
    <cfRule type="cellIs" dxfId="320" priority="826" operator="equal">
      <formula>"ORSE"</formula>
    </cfRule>
    <cfRule type="cellIs" dxfId="319" priority="825" operator="equal">
      <formula>"SP EDUCAÇÃO"</formula>
    </cfRule>
    <cfRule type="cellIs" dxfId="318" priority="827" operator="equal">
      <formula>"SP OBRAS"</formula>
    </cfRule>
    <cfRule type="cellIs" dxfId="317" priority="828" operator="equal">
      <formula>"Composições"</formula>
    </cfRule>
    <cfRule type="cellIs" dxfId="316" priority="829" operator="equal">
      <formula>"COT 01.0"</formula>
    </cfRule>
  </conditionalFormatting>
  <conditionalFormatting sqref="A137:F137">
    <cfRule type="cellIs" dxfId="315" priority="819" operator="equal">
      <formula>"COT 01.0"</formula>
    </cfRule>
    <cfRule type="cellIs" dxfId="314" priority="818" operator="equal">
      <formula>"Composições"</formula>
    </cfRule>
    <cfRule type="cellIs" dxfId="313" priority="816" operator="equal">
      <formula>"ORSE"</formula>
    </cfRule>
    <cfRule type="cellIs" dxfId="312" priority="817" operator="equal">
      <formula>"SP OBRAS"</formula>
    </cfRule>
    <cfRule type="cellIs" dxfId="311" priority="815" operator="equal">
      <formula>"SP EDUCAÇÃO"</formula>
    </cfRule>
  </conditionalFormatting>
  <conditionalFormatting sqref="A142:F142">
    <cfRule type="cellIs" dxfId="310" priority="805" operator="equal">
      <formula>"SP EDUCAÇÃO"</formula>
    </cfRule>
    <cfRule type="cellIs" dxfId="309" priority="809" operator="equal">
      <formula>"COT 01.0"</formula>
    </cfRule>
    <cfRule type="cellIs" dxfId="308" priority="808" operator="equal">
      <formula>"Composições"</formula>
    </cfRule>
    <cfRule type="cellIs" dxfId="307" priority="807" operator="equal">
      <formula>"SP OBRAS"</formula>
    </cfRule>
    <cfRule type="cellIs" dxfId="306" priority="806" operator="equal">
      <formula>"ORSE"</formula>
    </cfRule>
  </conditionalFormatting>
  <conditionalFormatting sqref="A147:F147">
    <cfRule type="cellIs" dxfId="305" priority="798" operator="equal">
      <formula>"Composições"</formula>
    </cfRule>
    <cfRule type="cellIs" dxfId="304" priority="799" operator="equal">
      <formula>"COT 01.0"</formula>
    </cfRule>
    <cfRule type="cellIs" dxfId="303" priority="797" operator="equal">
      <formula>"SP OBRAS"</formula>
    </cfRule>
    <cfRule type="cellIs" dxfId="302" priority="796" operator="equal">
      <formula>"ORSE"</formula>
    </cfRule>
    <cfRule type="cellIs" dxfId="301" priority="795" operator="equal">
      <formula>"SP EDUCAÇÃO"</formula>
    </cfRule>
  </conditionalFormatting>
  <conditionalFormatting sqref="A152:F152">
    <cfRule type="cellIs" dxfId="300" priority="787" operator="equal">
      <formula>"SP OBRAS"</formula>
    </cfRule>
    <cfRule type="cellIs" dxfId="299" priority="786" operator="equal">
      <formula>"ORSE"</formula>
    </cfRule>
    <cfRule type="cellIs" dxfId="298" priority="785" operator="equal">
      <formula>"SP EDUCAÇÃO"</formula>
    </cfRule>
    <cfRule type="cellIs" dxfId="297" priority="789" operator="equal">
      <formula>"COT 01.0"</formula>
    </cfRule>
    <cfRule type="cellIs" dxfId="296" priority="788" operator="equal">
      <formula>"Composições"</formula>
    </cfRule>
  </conditionalFormatting>
  <conditionalFormatting sqref="A157:F157">
    <cfRule type="cellIs" dxfId="295" priority="779" operator="equal">
      <formula>"COT 01.0"</formula>
    </cfRule>
    <cfRule type="cellIs" dxfId="294" priority="778" operator="equal">
      <formula>"Composições"</formula>
    </cfRule>
    <cfRule type="cellIs" dxfId="293" priority="777" operator="equal">
      <formula>"SP OBRAS"</formula>
    </cfRule>
    <cfRule type="cellIs" dxfId="292" priority="776" operator="equal">
      <formula>"ORSE"</formula>
    </cfRule>
    <cfRule type="cellIs" dxfId="291" priority="775" operator="equal">
      <formula>"SP EDUCAÇÃO"</formula>
    </cfRule>
  </conditionalFormatting>
  <conditionalFormatting sqref="A163:F163">
    <cfRule type="cellIs" dxfId="290" priority="769" operator="equal">
      <formula>"COT 01.0"</formula>
    </cfRule>
    <cfRule type="cellIs" dxfId="289" priority="768" operator="equal">
      <formula>"Composições"</formula>
    </cfRule>
    <cfRule type="cellIs" dxfId="288" priority="767" operator="equal">
      <formula>"SP OBRAS"</formula>
    </cfRule>
    <cfRule type="cellIs" dxfId="287" priority="766" operator="equal">
      <formula>"ORSE"</formula>
    </cfRule>
    <cfRule type="cellIs" dxfId="286" priority="765" operator="equal">
      <formula>"SP EDUCAÇÃO"</formula>
    </cfRule>
  </conditionalFormatting>
  <conditionalFormatting sqref="A168:F168">
    <cfRule type="cellIs" dxfId="285" priority="757" operator="equal">
      <formula>"SP OBRAS"</formula>
    </cfRule>
    <cfRule type="cellIs" dxfId="284" priority="756" operator="equal">
      <formula>"ORSE"</formula>
    </cfRule>
    <cfRule type="cellIs" dxfId="283" priority="755" operator="equal">
      <formula>"SP EDUCAÇÃO"</formula>
    </cfRule>
    <cfRule type="cellIs" dxfId="282" priority="759" operator="equal">
      <formula>"COT 01.0"</formula>
    </cfRule>
    <cfRule type="cellIs" dxfId="281" priority="758" operator="equal">
      <formula>"Composições"</formula>
    </cfRule>
  </conditionalFormatting>
  <conditionalFormatting sqref="A173:F173">
    <cfRule type="cellIs" dxfId="280" priority="748" operator="equal">
      <formula>"Composições"</formula>
    </cfRule>
    <cfRule type="cellIs" dxfId="279" priority="747" operator="equal">
      <formula>"SP OBRAS"</formula>
    </cfRule>
    <cfRule type="cellIs" dxfId="278" priority="745" operator="equal">
      <formula>"SP EDUCAÇÃO"</formula>
    </cfRule>
    <cfRule type="cellIs" dxfId="277" priority="749" operator="equal">
      <formula>"COT 01.0"</formula>
    </cfRule>
    <cfRule type="cellIs" dxfId="276" priority="746" operator="equal">
      <formula>"ORSE"</formula>
    </cfRule>
  </conditionalFormatting>
  <conditionalFormatting sqref="A178:F178">
    <cfRule type="cellIs" dxfId="275" priority="737" operator="equal">
      <formula>"SP OBRAS"</formula>
    </cfRule>
    <cfRule type="cellIs" dxfId="274" priority="736" operator="equal">
      <formula>"ORSE"</formula>
    </cfRule>
    <cfRule type="cellIs" dxfId="273" priority="735" operator="equal">
      <formula>"SP EDUCAÇÃO"</formula>
    </cfRule>
    <cfRule type="cellIs" dxfId="272" priority="739" operator="equal">
      <formula>"COT 01.0"</formula>
    </cfRule>
    <cfRule type="cellIs" dxfId="271" priority="738" operator="equal">
      <formula>"Composições"</formula>
    </cfRule>
  </conditionalFormatting>
  <conditionalFormatting sqref="A184:F184">
    <cfRule type="cellIs" dxfId="270" priority="225" operator="equal">
      <formula>"COT 01.0"</formula>
    </cfRule>
    <cfRule type="cellIs" dxfId="269" priority="221" operator="equal">
      <formula>"SP EDUCAÇÃO"</formula>
    </cfRule>
    <cfRule type="cellIs" dxfId="268" priority="222" operator="equal">
      <formula>"ORSE"</formula>
    </cfRule>
    <cfRule type="cellIs" dxfId="267" priority="223" operator="equal">
      <formula>"SP OBRAS"</formula>
    </cfRule>
    <cfRule type="cellIs" dxfId="266" priority="224" operator="equal">
      <formula>"Composições"</formula>
    </cfRule>
  </conditionalFormatting>
  <conditionalFormatting sqref="A199:F199">
    <cfRule type="cellIs" dxfId="265" priority="715" operator="equal">
      <formula>"SP EDUCAÇÃO"</formula>
    </cfRule>
    <cfRule type="cellIs" dxfId="264" priority="716" operator="equal">
      <formula>"ORSE"</formula>
    </cfRule>
    <cfRule type="cellIs" dxfId="263" priority="717" operator="equal">
      <formula>"SP OBRAS"</formula>
    </cfRule>
    <cfRule type="cellIs" dxfId="262" priority="718" operator="equal">
      <formula>"Composições"</formula>
    </cfRule>
    <cfRule type="cellIs" dxfId="261" priority="719" operator="equal">
      <formula>"COT 01.0"</formula>
    </cfRule>
  </conditionalFormatting>
  <conditionalFormatting sqref="A204:F204">
    <cfRule type="cellIs" dxfId="260" priority="707" operator="equal">
      <formula>"SP OBRAS"</formula>
    </cfRule>
    <cfRule type="cellIs" dxfId="259" priority="706" operator="equal">
      <formula>"ORSE"</formula>
    </cfRule>
    <cfRule type="cellIs" dxfId="258" priority="705" operator="equal">
      <formula>"SP EDUCAÇÃO"</formula>
    </cfRule>
    <cfRule type="cellIs" dxfId="257" priority="709" operator="equal">
      <formula>"COT 01.0"</formula>
    </cfRule>
    <cfRule type="cellIs" dxfId="256" priority="708" operator="equal">
      <formula>"Composições"</formula>
    </cfRule>
  </conditionalFormatting>
  <conditionalFormatting sqref="A209:F209">
    <cfRule type="cellIs" dxfId="255" priority="699" operator="equal">
      <formula>"COT 01.0"</formula>
    </cfRule>
    <cfRule type="cellIs" dxfId="254" priority="698" operator="equal">
      <formula>"Composições"</formula>
    </cfRule>
    <cfRule type="cellIs" dxfId="253" priority="697" operator="equal">
      <formula>"SP OBRAS"</formula>
    </cfRule>
    <cfRule type="cellIs" dxfId="252" priority="695" operator="equal">
      <formula>"SP EDUCAÇÃO"</formula>
    </cfRule>
    <cfRule type="cellIs" dxfId="251" priority="696" operator="equal">
      <formula>"ORSE"</formula>
    </cfRule>
  </conditionalFormatting>
  <conditionalFormatting sqref="A214:F214">
    <cfRule type="cellIs" dxfId="250" priority="689" operator="equal">
      <formula>"COT 01.0"</formula>
    </cfRule>
    <cfRule type="cellIs" dxfId="249" priority="688" operator="equal">
      <formula>"Composições"</formula>
    </cfRule>
    <cfRule type="cellIs" dxfId="248" priority="687" operator="equal">
      <formula>"SP OBRAS"</formula>
    </cfRule>
    <cfRule type="cellIs" dxfId="247" priority="686" operator="equal">
      <formula>"ORSE"</formula>
    </cfRule>
    <cfRule type="cellIs" dxfId="246" priority="685" operator="equal">
      <formula>"SP EDUCAÇÃO"</formula>
    </cfRule>
  </conditionalFormatting>
  <conditionalFormatting sqref="A219:F219">
    <cfRule type="cellIs" dxfId="245" priority="679" operator="equal">
      <formula>"COT 01.0"</formula>
    </cfRule>
    <cfRule type="cellIs" dxfId="244" priority="678" operator="equal">
      <formula>"Composições"</formula>
    </cfRule>
    <cfRule type="cellIs" dxfId="243" priority="677" operator="equal">
      <formula>"SP OBRAS"</formula>
    </cfRule>
    <cfRule type="cellIs" dxfId="242" priority="675" operator="equal">
      <formula>"SP EDUCAÇÃO"</formula>
    </cfRule>
    <cfRule type="cellIs" dxfId="241" priority="676" operator="equal">
      <formula>"ORSE"</formula>
    </cfRule>
  </conditionalFormatting>
  <conditionalFormatting sqref="A225:F225">
    <cfRule type="cellIs" dxfId="240" priority="665" operator="equal">
      <formula>"SP EDUCAÇÃO"</formula>
    </cfRule>
    <cfRule type="cellIs" dxfId="239" priority="666" operator="equal">
      <formula>"ORSE"</formula>
    </cfRule>
    <cfRule type="cellIs" dxfId="238" priority="667" operator="equal">
      <formula>"SP OBRAS"</formula>
    </cfRule>
    <cfRule type="cellIs" dxfId="237" priority="668" operator="equal">
      <formula>"Composições"</formula>
    </cfRule>
    <cfRule type="cellIs" dxfId="236" priority="669" operator="equal">
      <formula>"COT 01.0"</formula>
    </cfRule>
  </conditionalFormatting>
  <conditionalFormatting sqref="A230:F230">
    <cfRule type="cellIs" dxfId="235" priority="655" operator="equal">
      <formula>"SP EDUCAÇÃO"</formula>
    </cfRule>
    <cfRule type="cellIs" dxfId="234" priority="656" operator="equal">
      <formula>"ORSE"</formula>
    </cfRule>
    <cfRule type="cellIs" dxfId="233" priority="657" operator="equal">
      <formula>"SP OBRAS"</formula>
    </cfRule>
    <cfRule type="cellIs" dxfId="232" priority="658" operator="equal">
      <formula>"Composições"</formula>
    </cfRule>
    <cfRule type="cellIs" dxfId="231" priority="659" operator="equal">
      <formula>"COT 01.0"</formula>
    </cfRule>
  </conditionalFormatting>
  <conditionalFormatting sqref="A235:F235">
    <cfRule type="cellIs" dxfId="230" priority="648" operator="equal">
      <formula>"Composições"</formula>
    </cfRule>
    <cfRule type="cellIs" dxfId="229" priority="647" operator="equal">
      <formula>"SP OBRAS"</formula>
    </cfRule>
    <cfRule type="cellIs" dxfId="228" priority="646" operator="equal">
      <formula>"ORSE"</formula>
    </cfRule>
    <cfRule type="cellIs" dxfId="227" priority="645" operator="equal">
      <formula>"SP EDUCAÇÃO"</formula>
    </cfRule>
    <cfRule type="cellIs" dxfId="226" priority="649" operator="equal">
      <formula>"COT 01.0"</formula>
    </cfRule>
  </conditionalFormatting>
  <conditionalFormatting sqref="A240:F240">
    <cfRule type="cellIs" dxfId="225" priority="637" operator="equal">
      <formula>"SP OBRAS"</formula>
    </cfRule>
    <cfRule type="cellIs" dxfId="224" priority="636" operator="equal">
      <formula>"ORSE"</formula>
    </cfRule>
    <cfRule type="cellIs" dxfId="223" priority="635" operator="equal">
      <formula>"SP EDUCAÇÃO"</formula>
    </cfRule>
    <cfRule type="cellIs" dxfId="222" priority="639" operator="equal">
      <formula>"COT 01.0"</formula>
    </cfRule>
    <cfRule type="cellIs" dxfId="221" priority="638" operator="equal">
      <formula>"Composições"</formula>
    </cfRule>
  </conditionalFormatting>
  <conditionalFormatting sqref="A246:F246">
    <cfRule type="cellIs" dxfId="220" priority="629" operator="equal">
      <formula>"COT 01.0"</formula>
    </cfRule>
    <cfRule type="cellIs" dxfId="219" priority="628" operator="equal">
      <formula>"Composições"</formula>
    </cfRule>
    <cfRule type="cellIs" dxfId="218" priority="627" operator="equal">
      <formula>"SP OBRAS"</formula>
    </cfRule>
    <cfRule type="cellIs" dxfId="217" priority="626" operator="equal">
      <formula>"ORSE"</formula>
    </cfRule>
    <cfRule type="cellIs" dxfId="216" priority="625" operator="equal">
      <formula>"SP EDUCAÇÃO"</formula>
    </cfRule>
  </conditionalFormatting>
  <conditionalFormatting sqref="A257:F257">
    <cfRule type="cellIs" dxfId="215" priority="607" operator="equal">
      <formula>"SP OBRAS"</formula>
    </cfRule>
    <cfRule type="cellIs" dxfId="214" priority="606" operator="equal">
      <formula>"ORSE"</formula>
    </cfRule>
    <cfRule type="cellIs" dxfId="213" priority="605" operator="equal">
      <formula>"SP EDUCAÇÃO"</formula>
    </cfRule>
    <cfRule type="cellIs" dxfId="212" priority="609" operator="equal">
      <formula>"COT 01.0"</formula>
    </cfRule>
    <cfRule type="cellIs" dxfId="211" priority="608" operator="equal">
      <formula>"Composições"</formula>
    </cfRule>
  </conditionalFormatting>
  <conditionalFormatting sqref="A262:F262">
    <cfRule type="cellIs" dxfId="210" priority="599" operator="equal">
      <formula>"COT 01.0"</formula>
    </cfRule>
    <cfRule type="cellIs" dxfId="209" priority="598" operator="equal">
      <formula>"Composições"</formula>
    </cfRule>
    <cfRule type="cellIs" dxfId="208" priority="597" operator="equal">
      <formula>"SP OBRAS"</formula>
    </cfRule>
    <cfRule type="cellIs" dxfId="207" priority="596" operator="equal">
      <formula>"ORSE"</formula>
    </cfRule>
    <cfRule type="cellIs" dxfId="206" priority="595" operator="equal">
      <formula>"SP EDUCAÇÃO"</formula>
    </cfRule>
  </conditionalFormatting>
  <conditionalFormatting sqref="A267:F267">
    <cfRule type="cellIs" dxfId="205" priority="589" operator="equal">
      <formula>"COT 01.0"</formula>
    </cfRule>
    <cfRule type="cellIs" dxfId="204" priority="588" operator="equal">
      <formula>"Composições"</formula>
    </cfRule>
    <cfRule type="cellIs" dxfId="203" priority="587" operator="equal">
      <formula>"SP OBRAS"</formula>
    </cfRule>
    <cfRule type="cellIs" dxfId="202" priority="586" operator="equal">
      <formula>"ORSE"</formula>
    </cfRule>
    <cfRule type="cellIs" dxfId="201" priority="585" operator="equal">
      <formula>"SP EDUCAÇÃO"</formula>
    </cfRule>
  </conditionalFormatting>
  <conditionalFormatting sqref="A272:F272">
    <cfRule type="cellIs" dxfId="200" priority="234" operator="equal">
      <formula>"Composições"</formula>
    </cfRule>
    <cfRule type="cellIs" dxfId="199" priority="235" operator="equal">
      <formula>"COT 01.0"</formula>
    </cfRule>
    <cfRule type="cellIs" dxfId="198" priority="233" operator="equal">
      <formula>"SP OBRAS"</formula>
    </cfRule>
    <cfRule type="cellIs" dxfId="197" priority="232" operator="equal">
      <formula>"ORSE"</formula>
    </cfRule>
    <cfRule type="cellIs" dxfId="196" priority="231" operator="equal">
      <formula>"SP EDUCAÇÃO"</formula>
    </cfRule>
  </conditionalFormatting>
  <conditionalFormatting sqref="A277:F277">
    <cfRule type="cellIs" dxfId="195" priority="577" operator="equal">
      <formula>"SP OBRAS"</formula>
    </cfRule>
    <cfRule type="cellIs" dxfId="194" priority="576" operator="equal">
      <formula>"ORSE"</formula>
    </cfRule>
    <cfRule type="cellIs" dxfId="193" priority="575" operator="equal">
      <formula>"SP EDUCAÇÃO"</formula>
    </cfRule>
    <cfRule type="cellIs" dxfId="192" priority="579" operator="equal">
      <formula>"COT 01.0"</formula>
    </cfRule>
    <cfRule type="cellIs" dxfId="191" priority="578" operator="equal">
      <formula>"Composições"</formula>
    </cfRule>
  </conditionalFormatting>
  <conditionalFormatting sqref="A282:F282">
    <cfRule type="cellIs" dxfId="190" priority="569" operator="equal">
      <formula>"COT 01.0"</formula>
    </cfRule>
    <cfRule type="cellIs" dxfId="189" priority="567" operator="equal">
      <formula>"SP OBRAS"</formula>
    </cfRule>
    <cfRule type="cellIs" dxfId="188" priority="566" operator="equal">
      <formula>"ORSE"</formula>
    </cfRule>
    <cfRule type="cellIs" dxfId="187" priority="565" operator="equal">
      <formula>"SP EDUCAÇÃO"</formula>
    </cfRule>
    <cfRule type="cellIs" dxfId="186" priority="568" operator="equal">
      <formula>"Composições"</formula>
    </cfRule>
  </conditionalFormatting>
  <conditionalFormatting sqref="A287:F287">
    <cfRule type="cellIs" dxfId="185" priority="559" operator="equal">
      <formula>"COT 01.0"</formula>
    </cfRule>
    <cfRule type="cellIs" dxfId="184" priority="558" operator="equal">
      <formula>"Composições"</formula>
    </cfRule>
    <cfRule type="cellIs" dxfId="183" priority="557" operator="equal">
      <formula>"SP OBRAS"</formula>
    </cfRule>
    <cfRule type="cellIs" dxfId="182" priority="556" operator="equal">
      <formula>"ORSE"</formula>
    </cfRule>
    <cfRule type="cellIs" dxfId="181" priority="555" operator="equal">
      <formula>"SP EDUCAÇÃO"</formula>
    </cfRule>
  </conditionalFormatting>
  <conditionalFormatting sqref="A292:F292">
    <cfRule type="cellIs" dxfId="180" priority="547" operator="equal">
      <formula>"SP OBRAS"</formula>
    </cfRule>
    <cfRule type="cellIs" dxfId="179" priority="548" operator="equal">
      <formula>"Composições"</formula>
    </cfRule>
    <cfRule type="cellIs" dxfId="178" priority="549" operator="equal">
      <formula>"COT 01.0"</formula>
    </cfRule>
    <cfRule type="cellIs" dxfId="177" priority="545" operator="equal">
      <formula>"SP EDUCAÇÃO"</formula>
    </cfRule>
    <cfRule type="cellIs" dxfId="176" priority="546" operator="equal">
      <formula>"ORSE"</formula>
    </cfRule>
  </conditionalFormatting>
  <conditionalFormatting sqref="A297:F297">
    <cfRule type="cellIs" dxfId="175" priority="535" operator="equal">
      <formula>"SP EDUCAÇÃO"</formula>
    </cfRule>
    <cfRule type="cellIs" dxfId="174" priority="537" operator="equal">
      <formula>"SP OBRAS"</formula>
    </cfRule>
    <cfRule type="cellIs" dxfId="173" priority="538" operator="equal">
      <formula>"Composições"</formula>
    </cfRule>
    <cfRule type="cellIs" dxfId="172" priority="539" operator="equal">
      <formula>"COT 01.0"</formula>
    </cfRule>
    <cfRule type="cellIs" dxfId="171" priority="536" operator="equal">
      <formula>"ORSE"</formula>
    </cfRule>
  </conditionalFormatting>
  <conditionalFormatting sqref="A302:F302">
    <cfRule type="cellIs" dxfId="170" priority="527" operator="equal">
      <formula>"SP OBRAS"</formula>
    </cfRule>
    <cfRule type="cellIs" dxfId="169" priority="528" operator="equal">
      <formula>"Composições"</formula>
    </cfRule>
    <cfRule type="cellIs" dxfId="168" priority="529" operator="equal">
      <formula>"COT 01.0"</formula>
    </cfRule>
    <cfRule type="cellIs" dxfId="167" priority="525" operator="equal">
      <formula>"SP EDUCAÇÃO"</formula>
    </cfRule>
    <cfRule type="cellIs" dxfId="166" priority="526" operator="equal">
      <formula>"ORSE"</formula>
    </cfRule>
  </conditionalFormatting>
  <conditionalFormatting sqref="A307:F307">
    <cfRule type="cellIs" dxfId="165" priority="515" operator="equal">
      <formula>"SP EDUCAÇÃO"</formula>
    </cfRule>
    <cfRule type="cellIs" dxfId="164" priority="516" operator="equal">
      <formula>"ORSE"</formula>
    </cfRule>
    <cfRule type="cellIs" dxfId="163" priority="517" operator="equal">
      <formula>"SP OBRAS"</formula>
    </cfRule>
    <cfRule type="cellIs" dxfId="162" priority="518" operator="equal">
      <formula>"Composições"</formula>
    </cfRule>
    <cfRule type="cellIs" dxfId="161" priority="519" operator="equal">
      <formula>"COT 01.0"</formula>
    </cfRule>
  </conditionalFormatting>
  <conditionalFormatting sqref="A312:F312">
    <cfRule type="cellIs" dxfId="160" priority="507" operator="equal">
      <formula>"SP OBRAS"</formula>
    </cfRule>
    <cfRule type="cellIs" dxfId="159" priority="506" operator="equal">
      <formula>"ORSE"</formula>
    </cfRule>
    <cfRule type="cellIs" dxfId="158" priority="505" operator="equal">
      <formula>"SP EDUCAÇÃO"</formula>
    </cfRule>
    <cfRule type="cellIs" dxfId="157" priority="509" operator="equal">
      <formula>"COT 01.0"</formula>
    </cfRule>
    <cfRule type="cellIs" dxfId="156" priority="508" operator="equal">
      <formula>"Composições"</formula>
    </cfRule>
  </conditionalFormatting>
  <conditionalFormatting sqref="A317:F317">
    <cfRule type="cellIs" dxfId="155" priority="499" operator="equal">
      <formula>"COT 01.0"</formula>
    </cfRule>
    <cfRule type="cellIs" dxfId="154" priority="498" operator="equal">
      <formula>"Composições"</formula>
    </cfRule>
    <cfRule type="cellIs" dxfId="153" priority="497" operator="equal">
      <formula>"SP OBRAS"</formula>
    </cfRule>
    <cfRule type="cellIs" dxfId="152" priority="496" operator="equal">
      <formula>"ORSE"</formula>
    </cfRule>
    <cfRule type="cellIs" dxfId="151" priority="495" operator="equal">
      <formula>"SP EDUCAÇÃO"</formula>
    </cfRule>
  </conditionalFormatting>
  <conditionalFormatting sqref="A322:F322">
    <cfRule type="cellIs" dxfId="150" priority="489" operator="equal">
      <formula>"COT 01.0"</formula>
    </cfRule>
    <cfRule type="cellIs" dxfId="149" priority="488" operator="equal">
      <formula>"Composições"</formula>
    </cfRule>
    <cfRule type="cellIs" dxfId="148" priority="487" operator="equal">
      <formula>"SP OBRAS"</formula>
    </cfRule>
    <cfRule type="cellIs" dxfId="147" priority="486" operator="equal">
      <formula>"ORSE"</formula>
    </cfRule>
    <cfRule type="cellIs" dxfId="146" priority="485" operator="equal">
      <formula>"SP EDUCAÇÃO"</formula>
    </cfRule>
  </conditionalFormatting>
  <conditionalFormatting sqref="A327:F327">
    <cfRule type="cellIs" dxfId="145" priority="479" operator="equal">
      <formula>"COT 01.0"</formula>
    </cfRule>
    <cfRule type="cellIs" dxfId="144" priority="478" operator="equal">
      <formula>"Composições"</formula>
    </cfRule>
    <cfRule type="cellIs" dxfId="143" priority="477" operator="equal">
      <formula>"SP OBRAS"</formula>
    </cfRule>
    <cfRule type="cellIs" dxfId="142" priority="476" operator="equal">
      <formula>"ORSE"</formula>
    </cfRule>
    <cfRule type="cellIs" dxfId="141" priority="475" operator="equal">
      <formula>"SP EDUCAÇÃO"</formula>
    </cfRule>
  </conditionalFormatting>
  <conditionalFormatting sqref="A334:F334">
    <cfRule type="cellIs" dxfId="140" priority="469" operator="equal">
      <formula>"COT 01.0"</formula>
    </cfRule>
    <cfRule type="cellIs" dxfId="139" priority="468" operator="equal">
      <formula>"Composições"</formula>
    </cfRule>
    <cfRule type="cellIs" dxfId="138" priority="467" operator="equal">
      <formula>"SP OBRAS"</formula>
    </cfRule>
    <cfRule type="cellIs" dxfId="137" priority="466" operator="equal">
      <formula>"ORSE"</formula>
    </cfRule>
    <cfRule type="cellIs" dxfId="136" priority="465" operator="equal">
      <formula>"SP EDUCAÇÃO"</formula>
    </cfRule>
  </conditionalFormatting>
  <conditionalFormatting sqref="A341:F341">
    <cfRule type="cellIs" dxfId="135" priority="459" operator="equal">
      <formula>"COT 01.0"</formula>
    </cfRule>
    <cfRule type="cellIs" dxfId="134" priority="458" operator="equal">
      <formula>"Composições"</formula>
    </cfRule>
    <cfRule type="cellIs" dxfId="133" priority="457" operator="equal">
      <formula>"SP OBRAS"</formula>
    </cfRule>
    <cfRule type="cellIs" dxfId="132" priority="455" operator="equal">
      <formula>"SP EDUCAÇÃO"</formula>
    </cfRule>
    <cfRule type="cellIs" dxfId="131" priority="456" operator="equal">
      <formula>"ORSE"</formula>
    </cfRule>
  </conditionalFormatting>
  <conditionalFormatting sqref="A346:F346">
    <cfRule type="cellIs" dxfId="130" priority="449" operator="equal">
      <formula>"COT 01.0"</formula>
    </cfRule>
    <cfRule type="cellIs" dxfId="129" priority="448" operator="equal">
      <formula>"Composições"</formula>
    </cfRule>
    <cfRule type="cellIs" dxfId="128" priority="447" operator="equal">
      <formula>"SP OBRAS"</formula>
    </cfRule>
    <cfRule type="cellIs" dxfId="127" priority="446" operator="equal">
      <formula>"ORSE"</formula>
    </cfRule>
    <cfRule type="cellIs" dxfId="126" priority="445" operator="equal">
      <formula>"SP EDUCAÇÃO"</formula>
    </cfRule>
  </conditionalFormatting>
  <conditionalFormatting sqref="A355:F355">
    <cfRule type="cellIs" dxfId="125" priority="419" operator="equal">
      <formula>"COT 01.0"</formula>
    </cfRule>
    <cfRule type="cellIs" dxfId="124" priority="417" operator="equal">
      <formula>"SP OBRAS"</formula>
    </cfRule>
    <cfRule type="cellIs" dxfId="123" priority="416" operator="equal">
      <formula>"ORSE"</formula>
    </cfRule>
    <cfRule type="cellIs" dxfId="122" priority="415" operator="equal">
      <formula>"SP EDUCAÇÃO"</formula>
    </cfRule>
    <cfRule type="cellIs" dxfId="121" priority="418" operator="equal">
      <formula>"Composições"</formula>
    </cfRule>
  </conditionalFormatting>
  <conditionalFormatting sqref="A360:F360">
    <cfRule type="cellIs" dxfId="120" priority="407" operator="equal">
      <formula>"SP OBRAS"</formula>
    </cfRule>
    <cfRule type="cellIs" dxfId="119" priority="406" operator="equal">
      <formula>"ORSE"</formula>
    </cfRule>
    <cfRule type="cellIs" dxfId="118" priority="405" operator="equal">
      <formula>"SP EDUCAÇÃO"</formula>
    </cfRule>
    <cfRule type="cellIs" dxfId="117" priority="408" operator="equal">
      <formula>"Composições"</formula>
    </cfRule>
    <cfRule type="cellIs" dxfId="116" priority="409" operator="equal">
      <formula>"COT 01.0"</formula>
    </cfRule>
  </conditionalFormatting>
  <conditionalFormatting sqref="A365:F365">
    <cfRule type="cellIs" dxfId="115" priority="395" operator="equal">
      <formula>"SP EDUCAÇÃO"</formula>
    </cfRule>
    <cfRule type="cellIs" dxfId="114" priority="397" operator="equal">
      <formula>"SP OBRAS"</formula>
    </cfRule>
    <cfRule type="cellIs" dxfId="113" priority="398" operator="equal">
      <formula>"Composições"</formula>
    </cfRule>
    <cfRule type="cellIs" dxfId="112" priority="399" operator="equal">
      <formula>"COT 01.0"</formula>
    </cfRule>
    <cfRule type="cellIs" dxfId="111" priority="396" operator="equal">
      <formula>"ORSE"</formula>
    </cfRule>
  </conditionalFormatting>
  <conditionalFormatting sqref="A370:F370">
    <cfRule type="cellIs" dxfId="110" priority="388" operator="equal">
      <formula>"Composições"</formula>
    </cfRule>
    <cfRule type="cellIs" dxfId="109" priority="389" operator="equal">
      <formula>"COT 01.0"</formula>
    </cfRule>
    <cfRule type="cellIs" dxfId="108" priority="387" operator="equal">
      <formula>"SP OBRAS"</formula>
    </cfRule>
    <cfRule type="cellIs" dxfId="107" priority="385" operator="equal">
      <formula>"SP EDUCAÇÃO"</formula>
    </cfRule>
    <cfRule type="cellIs" dxfId="106" priority="386" operator="equal">
      <formula>"ORSE"</formula>
    </cfRule>
  </conditionalFormatting>
  <conditionalFormatting sqref="A375:F375">
    <cfRule type="cellIs" dxfId="105" priority="376" operator="equal">
      <formula>"ORSE"</formula>
    </cfRule>
    <cfRule type="cellIs" dxfId="104" priority="378" operator="equal">
      <formula>"Composições"</formula>
    </cfRule>
    <cfRule type="cellIs" dxfId="103" priority="375" operator="equal">
      <formula>"SP EDUCAÇÃO"</formula>
    </cfRule>
    <cfRule type="cellIs" dxfId="102" priority="377" operator="equal">
      <formula>"SP OBRAS"</formula>
    </cfRule>
    <cfRule type="cellIs" dxfId="101" priority="379" operator="equal">
      <formula>"COT 01.0"</formula>
    </cfRule>
  </conditionalFormatting>
  <conditionalFormatting sqref="A381:F381">
    <cfRule type="cellIs" dxfId="100" priority="367" operator="equal">
      <formula>"SP OBRAS"</formula>
    </cfRule>
    <cfRule type="cellIs" dxfId="99" priority="366" operator="equal">
      <formula>"ORSE"</formula>
    </cfRule>
    <cfRule type="cellIs" dxfId="98" priority="365" operator="equal">
      <formula>"SP EDUCAÇÃO"</formula>
    </cfRule>
    <cfRule type="cellIs" dxfId="97" priority="369" operator="equal">
      <formula>"COT 01.0"</formula>
    </cfRule>
    <cfRule type="cellIs" dxfId="96" priority="368" operator="equal">
      <formula>"Composições"</formula>
    </cfRule>
  </conditionalFormatting>
  <conditionalFormatting sqref="A386:F386">
    <cfRule type="cellIs" dxfId="95" priority="357" operator="equal">
      <formula>"SP OBRAS"</formula>
    </cfRule>
    <cfRule type="cellIs" dxfId="94" priority="356" operator="equal">
      <formula>"ORSE"</formula>
    </cfRule>
    <cfRule type="cellIs" dxfId="93" priority="355" operator="equal">
      <formula>"SP EDUCAÇÃO"</formula>
    </cfRule>
    <cfRule type="cellIs" dxfId="92" priority="359" operator="equal">
      <formula>"COT 01.0"</formula>
    </cfRule>
    <cfRule type="cellIs" dxfId="91" priority="358" operator="equal">
      <formula>"Composições"</formula>
    </cfRule>
  </conditionalFormatting>
  <conditionalFormatting sqref="A390:F390">
    <cfRule type="cellIs" dxfId="90" priority="345" operator="equal">
      <formula>"SP EDUCAÇÃO"</formula>
    </cfRule>
    <cfRule type="cellIs" dxfId="89" priority="349" operator="equal">
      <formula>"COT 01.0"</formula>
    </cfRule>
    <cfRule type="cellIs" dxfId="88" priority="348" operator="equal">
      <formula>"Composições"</formula>
    </cfRule>
    <cfRule type="cellIs" dxfId="87" priority="347" operator="equal">
      <formula>"SP OBRAS"</formula>
    </cfRule>
    <cfRule type="cellIs" dxfId="86" priority="346" operator="equal">
      <formula>"ORSE"</formula>
    </cfRule>
  </conditionalFormatting>
  <conditionalFormatting sqref="A394:F394">
    <cfRule type="cellIs" dxfId="85" priority="339" operator="equal">
      <formula>"COT 01.0"</formula>
    </cfRule>
    <cfRule type="cellIs" dxfId="84" priority="338" operator="equal">
      <formula>"Composições"</formula>
    </cfRule>
    <cfRule type="cellIs" dxfId="83" priority="335" operator="equal">
      <formula>"SP EDUCAÇÃO"</formula>
    </cfRule>
    <cfRule type="cellIs" dxfId="82" priority="336" operator="equal">
      <formula>"ORSE"</formula>
    </cfRule>
    <cfRule type="cellIs" dxfId="81" priority="337" operator="equal">
      <formula>"SP OBRAS"</formula>
    </cfRule>
  </conditionalFormatting>
  <conditionalFormatting sqref="A399:F399">
    <cfRule type="cellIs" dxfId="80" priority="329" operator="equal">
      <formula>"COT 01.0"</formula>
    </cfRule>
    <cfRule type="cellIs" dxfId="79" priority="328" operator="equal">
      <formula>"Composições"</formula>
    </cfRule>
    <cfRule type="cellIs" dxfId="78" priority="327" operator="equal">
      <formula>"SP OBRAS"</formula>
    </cfRule>
    <cfRule type="cellIs" dxfId="77" priority="326" operator="equal">
      <formula>"ORSE"</formula>
    </cfRule>
    <cfRule type="cellIs" dxfId="76" priority="325" operator="equal">
      <formula>"SP EDUCAÇÃO"</formula>
    </cfRule>
  </conditionalFormatting>
  <conditionalFormatting sqref="A405:F405">
    <cfRule type="cellIs" dxfId="75" priority="287" operator="equal">
      <formula>"SP OBRAS"</formula>
    </cfRule>
    <cfRule type="cellIs" dxfId="74" priority="286" operator="equal">
      <formula>"ORSE"</formula>
    </cfRule>
    <cfRule type="cellIs" dxfId="73" priority="285" operator="equal">
      <formula>"SP EDUCAÇÃO"</formula>
    </cfRule>
    <cfRule type="cellIs" dxfId="72" priority="289" operator="equal">
      <formula>"COT 01.0"</formula>
    </cfRule>
    <cfRule type="cellIs" dxfId="71" priority="288" operator="equal">
      <formula>"Composições"</formula>
    </cfRule>
  </conditionalFormatting>
  <conditionalFormatting sqref="A410:F410">
    <cfRule type="cellIs" dxfId="70" priority="279" operator="equal">
      <formula>"COT 01.0"</formula>
    </cfRule>
    <cfRule type="cellIs" dxfId="69" priority="275" operator="equal">
      <formula>"SP EDUCAÇÃO"</formula>
    </cfRule>
    <cfRule type="cellIs" dxfId="68" priority="276" operator="equal">
      <formula>"ORSE"</formula>
    </cfRule>
    <cfRule type="cellIs" dxfId="67" priority="277" operator="equal">
      <formula>"SP OBRAS"</formula>
    </cfRule>
    <cfRule type="cellIs" dxfId="66" priority="278" operator="equal">
      <formula>"Composições"</formula>
    </cfRule>
  </conditionalFormatting>
  <conditionalFormatting sqref="A414:F414">
    <cfRule type="cellIs" dxfId="65" priority="265" operator="equal">
      <formula>"SP EDUCAÇÃO"</formula>
    </cfRule>
    <cfRule type="cellIs" dxfId="64" priority="266" operator="equal">
      <formula>"ORSE"</formula>
    </cfRule>
    <cfRule type="cellIs" dxfId="63" priority="267" operator="equal">
      <formula>"SP OBRAS"</formula>
    </cfRule>
    <cfRule type="cellIs" dxfId="62" priority="268" operator="equal">
      <formula>"Composições"</formula>
    </cfRule>
    <cfRule type="cellIs" dxfId="61" priority="269" operator="equal">
      <formula>"COT 01.0"</formula>
    </cfRule>
  </conditionalFormatting>
  <conditionalFormatting sqref="A78:G78">
    <cfRule type="cellIs" dxfId="60" priority="30" operator="equal">
      <formula>"COT 01.0"</formula>
    </cfRule>
    <cfRule type="cellIs" dxfId="59" priority="29" operator="equal">
      <formula>"Composições"</formula>
    </cfRule>
    <cfRule type="cellIs" dxfId="58" priority="28" operator="equal">
      <formula>"SP OBRAS"</formula>
    </cfRule>
    <cfRule type="cellIs" dxfId="57" priority="27" operator="equal">
      <formula>"ORSE"</formula>
    </cfRule>
    <cfRule type="cellIs" dxfId="56" priority="26" operator="equal">
      <formula>"SP EDUCAÇÃO"</formula>
    </cfRule>
  </conditionalFormatting>
  <conditionalFormatting sqref="A82:G82">
    <cfRule type="cellIs" dxfId="55" priority="25" operator="equal">
      <formula>"COT 01.0"</formula>
    </cfRule>
    <cfRule type="cellIs" dxfId="54" priority="24" operator="equal">
      <formula>"Composições"</formula>
    </cfRule>
    <cfRule type="cellIs" dxfId="53" priority="23" operator="equal">
      <formula>"SP OBRAS"</formula>
    </cfRule>
    <cfRule type="cellIs" dxfId="52" priority="22" operator="equal">
      <formula>"ORSE"</formula>
    </cfRule>
    <cfRule type="cellIs" dxfId="51" priority="21" operator="equal">
      <formula>"SP EDUCAÇÃO"</formula>
    </cfRule>
  </conditionalFormatting>
  <conditionalFormatting sqref="A351:G351">
    <cfRule type="cellIs" dxfId="50" priority="16" operator="equal">
      <formula>"SP EDUCAÇÃO"</formula>
    </cfRule>
    <cfRule type="cellIs" dxfId="49" priority="20" operator="equal">
      <formula>"COT 01.0"</formula>
    </cfRule>
    <cfRule type="cellIs" dxfId="48" priority="19" operator="equal">
      <formula>"Composições"</formula>
    </cfRule>
    <cfRule type="cellIs" dxfId="47" priority="18" operator="equal">
      <formula>"SP OBRAS"</formula>
    </cfRule>
    <cfRule type="cellIs" dxfId="46" priority="17" operator="equal">
      <formula>"ORSE"</formula>
    </cfRule>
  </conditionalFormatting>
  <conditionalFormatting sqref="A8:J58">
    <cfRule type="expression" dxfId="45" priority="263">
      <formula>$J8="B"</formula>
    </cfRule>
    <cfRule type="expression" dxfId="44" priority="264">
      <formula>$J8="A"</formula>
    </cfRule>
    <cfRule type="expression" dxfId="43" priority="262">
      <formula>$J8="C"</formula>
    </cfRule>
  </conditionalFormatting>
  <conditionalFormatting sqref="B87:F89">
    <cfRule type="cellIs" dxfId="42" priority="42" operator="equal">
      <formula>"ORSE"</formula>
    </cfRule>
    <cfRule type="cellIs" dxfId="41" priority="41" operator="equal">
      <formula>"SP EDUCAÇÃO"</formula>
    </cfRule>
    <cfRule type="cellIs" dxfId="40" priority="45" operator="equal">
      <formula>"COT 01.0"</formula>
    </cfRule>
    <cfRule type="cellIs" dxfId="39" priority="44" operator="equal">
      <formula>"Composições"</formula>
    </cfRule>
    <cfRule type="cellIs" dxfId="38" priority="43" operator="equal">
      <formula>"SP OBRAS"</formula>
    </cfRule>
  </conditionalFormatting>
  <conditionalFormatting sqref="B92:F94 B97:F99 B102:F106 B109:F111 B114:F116 B119:F121 B124:F130 B138:F140 B143:F145 B148:F150 B153:F155 B158:F161 B164:F166 B169:F171 B174:F176 B179:F182 B200:F202 B205:F207 B210:F212 B215:F217 B220:F223 B226:F228 B231:F233 B236:F238 B241:F244 B247:F250 B258:F260 B273:F275 B278:F280 B283:F285 B288:F290 B293:F295 B308:F310 B313:F315 B318:F320 B323:F325 B342:F344 B347:F349 B356:F358 B361:F363 B366:F368 B371:F373 B376:F379 B382:F384 B395:F397 B400:F403 B406:F408 B411:F412 B415:F416">
    <cfRule type="cellIs" dxfId="37" priority="39" operator="equal">
      <formula>"Composições"</formula>
    </cfRule>
    <cfRule type="cellIs" dxfId="36" priority="38" operator="equal">
      <formula>"SP OBRAS"</formula>
    </cfRule>
    <cfRule type="cellIs" dxfId="35" priority="37" operator="equal">
      <formula>"ORSE"</formula>
    </cfRule>
    <cfRule type="cellIs" dxfId="34" priority="36" operator="equal">
      <formula>"SP EDUCAÇÃO"</formula>
    </cfRule>
    <cfRule type="cellIs" dxfId="33" priority="40" operator="equal">
      <formula>"COT 01.0"</formula>
    </cfRule>
  </conditionalFormatting>
  <conditionalFormatting sqref="B66:H76">
    <cfRule type="cellIs" dxfId="32" priority="31" operator="equal">
      <formula>"SP EDUCAÇÃO"</formula>
    </cfRule>
    <cfRule type="cellIs" dxfId="31" priority="32" operator="equal">
      <formula>"ORSE"</formula>
    </cfRule>
    <cfRule type="cellIs" dxfId="30" priority="33" operator="equal">
      <formula>"SP OBRAS"</formula>
    </cfRule>
    <cfRule type="cellIs" dxfId="29" priority="35" operator="equal">
      <formula>"COT 01.0"</formula>
    </cfRule>
    <cfRule type="cellIs" dxfId="28" priority="34" operator="equal">
      <formula>"Composições"</formula>
    </cfRule>
  </conditionalFormatting>
  <conditionalFormatting sqref="B253:H255">
    <cfRule type="cellIs" dxfId="27" priority="2" operator="equal">
      <formula>"ORSE"</formula>
    </cfRule>
    <cfRule type="cellIs" dxfId="26" priority="1" operator="equal">
      <formula>"SP EDUCAÇÃO"</formula>
    </cfRule>
    <cfRule type="cellIs" dxfId="25" priority="4" operator="equal">
      <formula>"Composições"</formula>
    </cfRule>
    <cfRule type="cellIs" dxfId="24" priority="3" operator="equal">
      <formula>"SP OBRAS"</formula>
    </cfRule>
    <cfRule type="cellIs" dxfId="23" priority="5" operator="equal">
      <formula>"COT 01.0"</formula>
    </cfRule>
  </conditionalFormatting>
  <conditionalFormatting sqref="F187">
    <cfRule type="cellIs" dxfId="22" priority="211" operator="equal">
      <formula>"SP EDUCAÇÃO"</formula>
    </cfRule>
    <cfRule type="cellIs" dxfId="21" priority="215" operator="equal">
      <formula>"COT 01.0"</formula>
    </cfRule>
    <cfRule type="cellIs" dxfId="20" priority="214" operator="equal">
      <formula>"Composições"</formula>
    </cfRule>
    <cfRule type="cellIs" dxfId="19" priority="213" operator="equal">
      <formula>"SP OBRAS"</formula>
    </cfRule>
    <cfRule type="cellIs" dxfId="18" priority="212" operator="equal">
      <formula>"ORSE"</formula>
    </cfRule>
  </conditionalFormatting>
  <conditionalFormatting sqref="F192">
    <cfRule type="cellIs" dxfId="17" priority="210" operator="equal">
      <formula>"COT 01.0"</formula>
    </cfRule>
    <cfRule type="cellIs" dxfId="16" priority="209" operator="equal">
      <formula>"Composições"</formula>
    </cfRule>
    <cfRule type="cellIs" dxfId="15" priority="207" operator="equal">
      <formula>"ORSE"</formula>
    </cfRule>
    <cfRule type="cellIs" dxfId="14" priority="206" operator="equal">
      <formula>"SP EDUCAÇÃO"</formula>
    </cfRule>
    <cfRule type="cellIs" dxfId="13" priority="208" operator="equal">
      <formula>"SP OBRAS"</formula>
    </cfRule>
  </conditionalFormatting>
  <conditionalFormatting sqref="G184:G187 G190:G192">
    <cfRule type="cellIs" dxfId="12" priority="15" operator="equal">
      <formula>"COT 01.0"</formula>
    </cfRule>
    <cfRule type="cellIs" dxfId="11" priority="14" operator="equal">
      <formula>"Composições"</formula>
    </cfRule>
    <cfRule type="cellIs" dxfId="10" priority="13" operator="equal">
      <formula>"SP OBRAS"</formula>
    </cfRule>
    <cfRule type="cellIs" dxfId="9" priority="12" operator="equal">
      <formula>"ORSE"</formula>
    </cfRule>
    <cfRule type="cellIs" dxfId="8" priority="11" operator="equal">
      <formula>"SP EDUCAÇÃO"</formula>
    </cfRule>
  </conditionalFormatting>
  <conditionalFormatting sqref="H78:H79 H82:H83 G86:H89 G91:H94 G96:H99 G101:H106 G108:H111 G113:H116 G118:H121 G123:H130 G132:H134 G137:H140 G142:H145 G147:H150 G152:H155 G157:H161 G163:H166 G168:H171 G173:H176 G178:H182 H184:H186 H189:H191 G195:H196 G199:H202 G204:H207 G209:H212 G214:H217 G219:H223 G225:H228 G230:H233 G235:H238 G240:H244 G246:H250 A252:H252 G257:H260 G262:H264 G267:H269 G272:H275 G277:H280 G282:H285 G287:H290 G292:H295 G297:H299 G302:H304 G307:H310 G312:H315 G317:H320 G322:H325 G327:H331 G334:H338 G341:H344 G346:H349 H351:H352 G355:H358 G360:H363 G365:H368 G370:H373 G375:H379 G381:H384 G386:H387 G390:H391 G394:H397 G399:H403 G405:H408 G410:H412 G414:H416">
    <cfRule type="cellIs" dxfId="7" priority="9" operator="equal">
      <formula>"Composições"</formula>
    </cfRule>
    <cfRule type="cellIs" dxfId="6" priority="10" operator="equal">
      <formula>"COT 01.0"</formula>
    </cfRule>
    <cfRule type="cellIs" dxfId="5" priority="6" operator="equal">
      <formula>"SP EDUCAÇÃO"</formula>
    </cfRule>
    <cfRule type="cellIs" dxfId="4" priority="7" operator="equal">
      <formula>"ORSE"</formula>
    </cfRule>
    <cfRule type="cellIs" dxfId="3" priority="8" operator="equal">
      <formula>"SP OBRAS"</formula>
    </cfRule>
  </conditionalFormatting>
  <pageMargins left="0.25" right="0.25" top="0.75" bottom="0.75" header="0.3" footer="0.3"/>
  <pageSetup paperSize="9" scale="58"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6024-8C7D-43F0-87D6-C202D6810F87}">
  <sheetPr>
    <tabColor rgb="FF00B0F0"/>
    <pageSetUpPr fitToPage="1"/>
  </sheetPr>
  <dimension ref="A1:J630"/>
  <sheetViews>
    <sheetView view="pageBreakPreview" topLeftCell="A11" zoomScale="55" zoomScaleNormal="55" zoomScaleSheetLayoutView="55" workbookViewId="0">
      <selection activeCell="L8" sqref="L8"/>
    </sheetView>
  </sheetViews>
  <sheetFormatPr defaultColWidth="9.140625" defaultRowHeight="12.75"/>
  <cols>
    <col min="1" max="1" width="14.85546875" style="257" customWidth="1"/>
    <col min="2" max="2" width="14.5703125" style="257" customWidth="1"/>
    <col min="3" max="3" width="128.7109375" style="106" customWidth="1"/>
    <col min="4" max="4" width="8.140625" style="257" customWidth="1"/>
    <col min="5" max="5" width="16.42578125" style="266" customWidth="1"/>
    <col min="6" max="6" width="17.5703125" style="257" customWidth="1"/>
    <col min="7" max="7" width="16.28515625" style="266" customWidth="1"/>
    <col min="8" max="8" width="10" style="257" customWidth="1"/>
    <col min="9" max="9" width="11.7109375" style="257" customWidth="1"/>
    <col min="10" max="10" width="5.7109375" style="257" customWidth="1"/>
    <col min="11" max="16384" width="9.140625" style="106"/>
  </cols>
  <sheetData>
    <row r="1" spans="1:10" ht="12.75" customHeight="1">
      <c r="A1" s="613" t="s">
        <v>62</v>
      </c>
      <c r="B1" s="613"/>
      <c r="C1" s="613"/>
      <c r="D1" s="613"/>
      <c r="E1" s="613"/>
      <c r="F1" s="613"/>
      <c r="G1" s="613"/>
      <c r="H1" s="613"/>
      <c r="I1" s="613"/>
      <c r="J1" s="613"/>
    </row>
    <row r="2" spans="1:10">
      <c r="A2" s="613"/>
      <c r="B2" s="613"/>
      <c r="C2" s="613"/>
      <c r="D2" s="613"/>
      <c r="E2" s="613"/>
      <c r="F2" s="613"/>
      <c r="G2" s="613"/>
      <c r="H2" s="613"/>
      <c r="I2" s="613"/>
      <c r="J2" s="613"/>
    </row>
    <row r="3" spans="1:10">
      <c r="A3" s="613"/>
      <c r="B3" s="613"/>
      <c r="C3" s="613"/>
      <c r="D3" s="613"/>
      <c r="E3" s="613"/>
      <c r="F3" s="613"/>
      <c r="G3" s="613"/>
      <c r="H3" s="613"/>
      <c r="I3" s="613"/>
      <c r="J3" s="613"/>
    </row>
    <row r="4" spans="1:10" ht="24.75" customHeight="1">
      <c r="A4" s="613"/>
      <c r="B4" s="613"/>
      <c r="C4" s="613"/>
      <c r="D4" s="613"/>
      <c r="E4" s="613"/>
      <c r="F4" s="613"/>
      <c r="G4" s="613"/>
      <c r="H4" s="613"/>
      <c r="I4" s="613"/>
      <c r="J4" s="613"/>
    </row>
    <row r="5" spans="1:10" ht="32.25" customHeight="1">
      <c r="A5" s="616" t="s">
        <v>3004</v>
      </c>
      <c r="B5" s="616"/>
      <c r="C5" s="616"/>
      <c r="D5" s="616"/>
      <c r="E5" s="616"/>
      <c r="F5" s="616"/>
      <c r="G5" s="616"/>
      <c r="H5" s="616"/>
      <c r="I5" s="616"/>
      <c r="J5" s="616"/>
    </row>
    <row r="6" spans="1:10" ht="12.75" customHeight="1">
      <c r="A6" s="681" t="s">
        <v>60</v>
      </c>
      <c r="B6" s="681" t="s">
        <v>579</v>
      </c>
      <c r="C6" s="681" t="s">
        <v>33</v>
      </c>
      <c r="D6" s="681" t="s">
        <v>736</v>
      </c>
      <c r="E6" s="682" t="s">
        <v>791</v>
      </c>
      <c r="F6" s="681" t="s">
        <v>792</v>
      </c>
      <c r="G6" s="682" t="s">
        <v>793</v>
      </c>
      <c r="H6" s="681" t="s">
        <v>794</v>
      </c>
      <c r="I6" s="681" t="s">
        <v>795</v>
      </c>
      <c r="J6" s="681" t="s">
        <v>796</v>
      </c>
    </row>
    <row r="7" spans="1:10" ht="18" customHeight="1">
      <c r="A7" s="681"/>
      <c r="B7" s="681"/>
      <c r="C7" s="681"/>
      <c r="D7" s="681"/>
      <c r="E7" s="682"/>
      <c r="F7" s="681"/>
      <c r="G7" s="682"/>
      <c r="H7" s="681"/>
      <c r="I7" s="681"/>
      <c r="J7" s="681"/>
    </row>
    <row r="8" spans="1:10" s="220" customFormat="1" ht="28.5">
      <c r="A8" s="443" t="s">
        <v>2302</v>
      </c>
      <c r="B8" s="443" t="s">
        <v>119</v>
      </c>
      <c r="C8" s="444" t="s">
        <v>2303</v>
      </c>
      <c r="D8" s="443" t="s">
        <v>167</v>
      </c>
      <c r="E8" s="445">
        <v>332.12099999999998</v>
      </c>
      <c r="F8" s="445">
        <v>507.41</v>
      </c>
      <c r="G8" s="445">
        <f>E8*F8</f>
        <v>168521.51660999999</v>
      </c>
      <c r="H8" s="496">
        <f>(G8*100)/SUM($G$8:$G$628)</f>
        <v>5.674950989974219</v>
      </c>
      <c r="I8" s="496">
        <f>H8</f>
        <v>5.674950989974219</v>
      </c>
      <c r="J8" s="443" t="str">
        <f>IF(I8&lt;80,"A",IF(I8&lt;95,"B","C"))</f>
        <v>A</v>
      </c>
    </row>
    <row r="9" spans="1:10" s="220" customFormat="1" ht="14.25">
      <c r="A9" s="443" t="s">
        <v>3720</v>
      </c>
      <c r="B9" s="443" t="s">
        <v>3722</v>
      </c>
      <c r="C9" s="444" t="s">
        <v>3721</v>
      </c>
      <c r="D9" s="443" t="s">
        <v>200</v>
      </c>
      <c r="E9" s="445">
        <v>14233.295099999999</v>
      </c>
      <c r="F9" s="445">
        <v>9.5399999999999991</v>
      </c>
      <c r="G9" s="445">
        <f>E9*F9</f>
        <v>135785.63525399999</v>
      </c>
      <c r="H9" s="496">
        <f t="shared" ref="H9:H72" si="0">(G9*100)/SUM($G$8:$G$628)</f>
        <v>4.5725723380016143</v>
      </c>
      <c r="I9" s="496">
        <f>H9+I8</f>
        <v>10.247523327975834</v>
      </c>
      <c r="J9" s="443" t="str">
        <f t="shared" ref="J9:J72" si="1">IF(I9&lt;80,"A",IF(I9&lt;95,"B","C"))</f>
        <v>A</v>
      </c>
    </row>
    <row r="10" spans="1:10" s="220" customFormat="1" ht="14.25">
      <c r="A10" s="443" t="s">
        <v>3011</v>
      </c>
      <c r="B10" s="443" t="s">
        <v>119</v>
      </c>
      <c r="C10" s="444" t="s">
        <v>3012</v>
      </c>
      <c r="D10" s="443" t="s">
        <v>107</v>
      </c>
      <c r="E10" s="445">
        <v>20343.863143867897</v>
      </c>
      <c r="F10" s="445">
        <v>5.93</v>
      </c>
      <c r="G10" s="445">
        <f>E10*F10</f>
        <v>120639.10844313662</v>
      </c>
      <c r="H10" s="496">
        <f t="shared" si="0"/>
        <v>4.0625140436717402</v>
      </c>
      <c r="I10" s="496">
        <f t="shared" ref="I10:I73" si="2">H10+I9</f>
        <v>14.310037371647574</v>
      </c>
      <c r="J10" s="443" t="str">
        <f t="shared" si="1"/>
        <v>A</v>
      </c>
    </row>
    <row r="11" spans="1:10" s="220" customFormat="1" ht="42.75">
      <c r="A11" s="443" t="s">
        <v>2444</v>
      </c>
      <c r="B11" s="443" t="s">
        <v>119</v>
      </c>
      <c r="C11" s="444" t="s">
        <v>2445</v>
      </c>
      <c r="D11" s="443" t="s">
        <v>139</v>
      </c>
      <c r="E11" s="445">
        <v>939.205017</v>
      </c>
      <c r="F11" s="445">
        <v>102.81</v>
      </c>
      <c r="G11" s="445">
        <f>E11*F11</f>
        <v>96559.667797770002</v>
      </c>
      <c r="H11" s="496">
        <f t="shared" si="0"/>
        <v>3.2516404633876896</v>
      </c>
      <c r="I11" s="496">
        <f t="shared" si="2"/>
        <v>17.561677835035265</v>
      </c>
      <c r="J11" s="443" t="str">
        <f t="shared" si="1"/>
        <v>A</v>
      </c>
    </row>
    <row r="12" spans="1:10" s="220" customFormat="1" ht="14.25">
      <c r="A12" s="443" t="s">
        <v>1560</v>
      </c>
      <c r="B12" s="443" t="s">
        <v>119</v>
      </c>
      <c r="C12" s="444" t="s">
        <v>1561</v>
      </c>
      <c r="D12" s="443" t="s">
        <v>139</v>
      </c>
      <c r="E12" s="445">
        <v>125.45432</v>
      </c>
      <c r="F12" s="445">
        <v>706.15</v>
      </c>
      <c r="G12" s="445">
        <f>E12*F12</f>
        <v>88589.568067999993</v>
      </c>
      <c r="H12" s="496">
        <f t="shared" si="0"/>
        <v>2.9832478790963632</v>
      </c>
      <c r="I12" s="496">
        <f t="shared" si="2"/>
        <v>20.544925714131629</v>
      </c>
      <c r="J12" s="443" t="str">
        <f t="shared" si="1"/>
        <v>A</v>
      </c>
    </row>
    <row r="13" spans="1:10" s="220" customFormat="1" ht="28.5">
      <c r="A13" s="443" t="s">
        <v>2563</v>
      </c>
      <c r="B13" s="443" t="s">
        <v>119</v>
      </c>
      <c r="C13" s="444" t="s">
        <v>1368</v>
      </c>
      <c r="D13" s="443" t="s">
        <v>167</v>
      </c>
      <c r="E13" s="445">
        <v>139.70538999999999</v>
      </c>
      <c r="F13" s="445">
        <v>583.16</v>
      </c>
      <c r="G13" s="445">
        <f>E13*F13</f>
        <v>81470.595232399995</v>
      </c>
      <c r="H13" s="496">
        <f t="shared" si="0"/>
        <v>2.7435169369966501</v>
      </c>
      <c r="I13" s="496">
        <f t="shared" si="2"/>
        <v>23.288442651128278</v>
      </c>
      <c r="J13" s="443" t="str">
        <f t="shared" si="1"/>
        <v>A</v>
      </c>
    </row>
    <row r="14" spans="1:10" s="220" customFormat="1" ht="42.75">
      <c r="A14" s="443" t="s">
        <v>3385</v>
      </c>
      <c r="B14" s="443" t="s">
        <v>119</v>
      </c>
      <c r="C14" s="444" t="s">
        <v>3386</v>
      </c>
      <c r="D14" s="443" t="s">
        <v>139</v>
      </c>
      <c r="E14" s="445">
        <v>337.09</v>
      </c>
      <c r="F14" s="445">
        <v>189</v>
      </c>
      <c r="G14" s="445">
        <f>E14*F14</f>
        <v>63710.009999999995</v>
      </c>
      <c r="H14" s="496">
        <f t="shared" si="0"/>
        <v>2.1454303972203457</v>
      </c>
      <c r="I14" s="496">
        <f t="shared" si="2"/>
        <v>25.433873048348623</v>
      </c>
      <c r="J14" s="443" t="str">
        <f t="shared" si="1"/>
        <v>A</v>
      </c>
    </row>
    <row r="15" spans="1:10" s="220" customFormat="1" ht="14.25">
      <c r="A15" s="443" t="s">
        <v>3708</v>
      </c>
      <c r="B15" s="443" t="s">
        <v>119</v>
      </c>
      <c r="C15" s="444" t="s">
        <v>3709</v>
      </c>
      <c r="D15" s="443" t="s">
        <v>167</v>
      </c>
      <c r="E15" s="445">
        <v>1601.16</v>
      </c>
      <c r="F15" s="445">
        <v>37.35</v>
      </c>
      <c r="G15" s="445">
        <f>E15*F15</f>
        <v>59803.326000000008</v>
      </c>
      <c r="H15" s="496">
        <f t="shared" si="0"/>
        <v>2.0138730704213961</v>
      </c>
      <c r="I15" s="496">
        <f t="shared" si="2"/>
        <v>27.44774611877002</v>
      </c>
      <c r="J15" s="443" t="str">
        <f t="shared" si="1"/>
        <v>A</v>
      </c>
    </row>
    <row r="16" spans="1:10" s="220" customFormat="1" ht="28.5">
      <c r="A16" s="443" t="s">
        <v>3710</v>
      </c>
      <c r="B16" s="443" t="s">
        <v>3006</v>
      </c>
      <c r="C16" s="444" t="s">
        <v>3748</v>
      </c>
      <c r="D16" s="443" t="s">
        <v>139</v>
      </c>
      <c r="E16" s="445">
        <v>446.03007200000002</v>
      </c>
      <c r="F16" s="445">
        <v>124.05</v>
      </c>
      <c r="G16" s="445">
        <f>E16*F16</f>
        <v>55330.030431600004</v>
      </c>
      <c r="H16" s="496">
        <f t="shared" si="0"/>
        <v>1.863235136316592</v>
      </c>
      <c r="I16" s="496">
        <f t="shared" si="2"/>
        <v>29.310981255086613</v>
      </c>
      <c r="J16" s="443" t="str">
        <f t="shared" si="1"/>
        <v>A</v>
      </c>
    </row>
    <row r="17" spans="1:10" s="220" customFormat="1" ht="14.25">
      <c r="A17" s="443" t="s">
        <v>646</v>
      </c>
      <c r="B17" s="443" t="s">
        <v>119</v>
      </c>
      <c r="C17" s="444" t="s">
        <v>647</v>
      </c>
      <c r="D17" s="443" t="s">
        <v>200</v>
      </c>
      <c r="E17" s="445">
        <v>75190.046622246446</v>
      </c>
      <c r="F17" s="445">
        <v>0.65</v>
      </c>
      <c r="G17" s="445">
        <f>E17*F17</f>
        <v>48873.53030446019</v>
      </c>
      <c r="H17" s="496">
        <f t="shared" si="0"/>
        <v>1.6458129191104922</v>
      </c>
      <c r="I17" s="496">
        <f t="shared" si="2"/>
        <v>30.956794174197107</v>
      </c>
      <c r="J17" s="443" t="str">
        <f t="shared" si="1"/>
        <v>A</v>
      </c>
    </row>
    <row r="18" spans="1:10" s="220" customFormat="1" ht="14.25">
      <c r="A18" s="443" t="s">
        <v>3013</v>
      </c>
      <c r="B18" s="443" t="s">
        <v>119</v>
      </c>
      <c r="C18" s="444" t="s">
        <v>3014</v>
      </c>
      <c r="D18" s="443" t="s">
        <v>200</v>
      </c>
      <c r="E18" s="445">
        <v>5402.04432</v>
      </c>
      <c r="F18" s="445">
        <v>8.7100000000000009</v>
      </c>
      <c r="G18" s="445">
        <f>E18*F18</f>
        <v>47051.806027200008</v>
      </c>
      <c r="H18" s="496">
        <f t="shared" si="0"/>
        <v>1.5844664738691829</v>
      </c>
      <c r="I18" s="496">
        <f t="shared" si="2"/>
        <v>32.541260648066292</v>
      </c>
      <c r="J18" s="443" t="str">
        <f t="shared" si="1"/>
        <v>A</v>
      </c>
    </row>
    <row r="19" spans="1:10" s="220" customFormat="1" ht="28.5">
      <c r="A19" s="443" t="s">
        <v>3772</v>
      </c>
      <c r="B19" s="443" t="s">
        <v>3396</v>
      </c>
      <c r="C19" s="444" t="s">
        <v>3773</v>
      </c>
      <c r="D19" s="443" t="s">
        <v>144</v>
      </c>
      <c r="E19" s="445">
        <v>64.44032</v>
      </c>
      <c r="F19" s="445">
        <v>686.31</v>
      </c>
      <c r="G19" s="445">
        <f>E19*F19</f>
        <v>44226.036019199993</v>
      </c>
      <c r="H19" s="496">
        <f t="shared" si="0"/>
        <v>1.4893088546706172</v>
      </c>
      <c r="I19" s="496">
        <f t="shared" si="2"/>
        <v>34.03056950273691</v>
      </c>
      <c r="J19" s="443" t="str">
        <f t="shared" si="1"/>
        <v>A</v>
      </c>
    </row>
    <row r="20" spans="1:10" s="220" customFormat="1" ht="28.5">
      <c r="A20" s="443" t="s">
        <v>2317</v>
      </c>
      <c r="B20" s="443" t="s">
        <v>119</v>
      </c>
      <c r="C20" s="444" t="s">
        <v>2318</v>
      </c>
      <c r="D20" s="443" t="s">
        <v>139</v>
      </c>
      <c r="E20" s="445">
        <v>334.98</v>
      </c>
      <c r="F20" s="445">
        <v>130.63</v>
      </c>
      <c r="G20" s="445">
        <f>E20*F20</f>
        <v>43758.437400000003</v>
      </c>
      <c r="H20" s="496">
        <f t="shared" si="0"/>
        <v>1.4735625019180447</v>
      </c>
      <c r="I20" s="496">
        <f t="shared" si="2"/>
        <v>35.504132004654956</v>
      </c>
      <c r="J20" s="443" t="str">
        <f t="shared" si="1"/>
        <v>A</v>
      </c>
    </row>
    <row r="21" spans="1:10" s="220" customFormat="1" ht="28.5">
      <c r="A21" s="443" t="s">
        <v>3226</v>
      </c>
      <c r="B21" s="443" t="s">
        <v>119</v>
      </c>
      <c r="C21" s="444" t="s">
        <v>3225</v>
      </c>
      <c r="D21" s="443" t="s">
        <v>139</v>
      </c>
      <c r="E21" s="445">
        <v>255.67538500000001</v>
      </c>
      <c r="F21" s="445">
        <v>164.5</v>
      </c>
      <c r="G21" s="445">
        <f>E21*F21</f>
        <v>42058.6008325</v>
      </c>
      <c r="H21" s="496">
        <f t="shared" si="0"/>
        <v>1.4163206172876515</v>
      </c>
      <c r="I21" s="496">
        <f t="shared" si="2"/>
        <v>36.920452621942609</v>
      </c>
      <c r="J21" s="443" t="str">
        <f t="shared" si="1"/>
        <v>A</v>
      </c>
    </row>
    <row r="22" spans="1:10" s="220" customFormat="1" ht="42.75">
      <c r="A22" s="443" t="s">
        <v>2190</v>
      </c>
      <c r="B22" s="443" t="s">
        <v>3006</v>
      </c>
      <c r="C22" s="444" t="s">
        <v>3007</v>
      </c>
      <c r="D22" s="443" t="s">
        <v>144</v>
      </c>
      <c r="E22" s="445">
        <v>71</v>
      </c>
      <c r="F22" s="445">
        <v>581.01</v>
      </c>
      <c r="G22" s="445">
        <f>E22*F22</f>
        <v>41251.71</v>
      </c>
      <c r="H22" s="496">
        <f t="shared" si="0"/>
        <v>1.3891486215638409</v>
      </c>
      <c r="I22" s="496">
        <f t="shared" si="2"/>
        <v>38.309601243506449</v>
      </c>
      <c r="J22" s="443" t="str">
        <f t="shared" si="1"/>
        <v>A</v>
      </c>
    </row>
    <row r="23" spans="1:10" s="220" customFormat="1" ht="28.5">
      <c r="A23" s="443" t="s">
        <v>1760</v>
      </c>
      <c r="B23" s="443" t="s">
        <v>119</v>
      </c>
      <c r="C23" s="444" t="s">
        <v>1761</v>
      </c>
      <c r="D23" s="443" t="s">
        <v>173</v>
      </c>
      <c r="E23" s="445">
        <v>463.66215</v>
      </c>
      <c r="F23" s="445">
        <v>88.87</v>
      </c>
      <c r="G23" s="445">
        <f>E23*F23</f>
        <v>41205.655270499999</v>
      </c>
      <c r="H23" s="496">
        <f t="shared" si="0"/>
        <v>1.387597731576458</v>
      </c>
      <c r="I23" s="496">
        <f t="shared" si="2"/>
        <v>39.697198975082905</v>
      </c>
      <c r="J23" s="443" t="str">
        <f t="shared" si="1"/>
        <v>A</v>
      </c>
    </row>
    <row r="24" spans="1:10" s="220" customFormat="1" ht="14.25">
      <c r="A24" s="443" t="s">
        <v>2755</v>
      </c>
      <c r="B24" s="443" t="s">
        <v>3006</v>
      </c>
      <c r="C24" s="444" t="s">
        <v>2753</v>
      </c>
      <c r="D24" s="443" t="s">
        <v>139</v>
      </c>
      <c r="E24" s="445">
        <v>316.52999999999997</v>
      </c>
      <c r="F24" s="445">
        <v>112.93</v>
      </c>
      <c r="G24" s="445">
        <f>E24*F24</f>
        <v>35745.732900000003</v>
      </c>
      <c r="H24" s="496">
        <f t="shared" si="0"/>
        <v>1.203735204790886</v>
      </c>
      <c r="I24" s="496">
        <f t="shared" si="2"/>
        <v>40.900934179873794</v>
      </c>
      <c r="J24" s="443" t="str">
        <f t="shared" si="1"/>
        <v>A</v>
      </c>
    </row>
    <row r="25" spans="1:10" s="220" customFormat="1" ht="28.5">
      <c r="A25" s="443" t="s">
        <v>1045</v>
      </c>
      <c r="B25" s="443" t="s">
        <v>119</v>
      </c>
      <c r="C25" s="444" t="s">
        <v>1046</v>
      </c>
      <c r="D25" s="443" t="s">
        <v>144</v>
      </c>
      <c r="E25" s="445">
        <v>1</v>
      </c>
      <c r="F25" s="445">
        <v>35055.18</v>
      </c>
      <c r="G25" s="445">
        <f>E25*F25</f>
        <v>35055.18</v>
      </c>
      <c r="H25" s="496">
        <f t="shared" si="0"/>
        <v>1.1804808812937047</v>
      </c>
      <c r="I25" s="496">
        <f t="shared" si="2"/>
        <v>42.081415061167498</v>
      </c>
      <c r="J25" s="443" t="str">
        <f t="shared" si="1"/>
        <v>A</v>
      </c>
    </row>
    <row r="26" spans="1:10" s="220" customFormat="1" ht="28.5">
      <c r="A26" s="443" t="s">
        <v>1405</v>
      </c>
      <c r="B26" s="443" t="s">
        <v>119</v>
      </c>
      <c r="C26" s="444" t="s">
        <v>1406</v>
      </c>
      <c r="D26" s="443" t="s">
        <v>167</v>
      </c>
      <c r="E26" s="445">
        <v>64.40428</v>
      </c>
      <c r="F26" s="445">
        <v>539.62</v>
      </c>
      <c r="G26" s="445">
        <f>E26*F26</f>
        <v>34753.837573600002</v>
      </c>
      <c r="H26" s="496">
        <f t="shared" si="0"/>
        <v>1.1703331949007705</v>
      </c>
      <c r="I26" s="496">
        <f t="shared" si="2"/>
        <v>43.251748256068268</v>
      </c>
      <c r="J26" s="443" t="str">
        <f t="shared" si="1"/>
        <v>A</v>
      </c>
    </row>
    <row r="27" spans="1:10" s="220" customFormat="1" ht="14.25">
      <c r="A27" s="443" t="s">
        <v>2185</v>
      </c>
      <c r="B27" s="443" t="s">
        <v>119</v>
      </c>
      <c r="C27" s="444" t="s">
        <v>2186</v>
      </c>
      <c r="D27" s="443" t="s">
        <v>173</v>
      </c>
      <c r="E27" s="445">
        <v>1397.6445000000001</v>
      </c>
      <c r="F27" s="445">
        <v>24.59</v>
      </c>
      <c r="G27" s="445">
        <f>E27*F27</f>
        <v>34368.078255</v>
      </c>
      <c r="H27" s="496">
        <f t="shared" si="0"/>
        <v>1.1573427752142025</v>
      </c>
      <c r="I27" s="496">
        <f t="shared" si="2"/>
        <v>44.409091031282472</v>
      </c>
      <c r="J27" s="443" t="str">
        <f t="shared" si="1"/>
        <v>A</v>
      </c>
    </row>
    <row r="28" spans="1:10" s="220" customFormat="1" ht="28.5">
      <c r="A28" s="443" t="s">
        <v>1431</v>
      </c>
      <c r="B28" s="443" t="s">
        <v>119</v>
      </c>
      <c r="C28" s="444" t="s">
        <v>1222</v>
      </c>
      <c r="D28" s="443" t="s">
        <v>139</v>
      </c>
      <c r="E28" s="445">
        <v>1240.692544</v>
      </c>
      <c r="F28" s="445">
        <v>27.68</v>
      </c>
      <c r="G28" s="445">
        <f>E28*F28</f>
        <v>34342.369617919998</v>
      </c>
      <c r="H28" s="496">
        <f t="shared" si="0"/>
        <v>1.1564770385511169</v>
      </c>
      <c r="I28" s="496">
        <f t="shared" si="2"/>
        <v>45.565568069833589</v>
      </c>
      <c r="J28" s="443" t="str">
        <f t="shared" si="1"/>
        <v>A</v>
      </c>
    </row>
    <row r="29" spans="1:10" s="220" customFormat="1" ht="28.5">
      <c r="A29" s="443" t="s">
        <v>2187</v>
      </c>
      <c r="B29" s="443" t="s">
        <v>158</v>
      </c>
      <c r="C29" s="444" t="s">
        <v>3010</v>
      </c>
      <c r="D29" s="443" t="s">
        <v>144</v>
      </c>
      <c r="E29" s="445">
        <v>39</v>
      </c>
      <c r="F29" s="445">
        <v>850.5</v>
      </c>
      <c r="G29" s="445">
        <f>E29*F29</f>
        <v>33169.5</v>
      </c>
      <c r="H29" s="496">
        <f t="shared" si="0"/>
        <v>1.1169807312948197</v>
      </c>
      <c r="I29" s="496">
        <f t="shared" si="2"/>
        <v>46.682548801128405</v>
      </c>
      <c r="J29" s="443" t="str">
        <f t="shared" si="1"/>
        <v>A</v>
      </c>
    </row>
    <row r="30" spans="1:10" s="220" customFormat="1" ht="14.25">
      <c r="A30" s="443" t="s">
        <v>3008</v>
      </c>
      <c r="B30" s="443" t="s">
        <v>119</v>
      </c>
      <c r="C30" s="444" t="s">
        <v>3009</v>
      </c>
      <c r="D30" s="443" t="s">
        <v>200</v>
      </c>
      <c r="E30" s="445">
        <v>46295.772599999997</v>
      </c>
      <c r="F30" s="445">
        <v>0.7</v>
      </c>
      <c r="G30" s="445">
        <f>E30*F30</f>
        <v>32407.040819999995</v>
      </c>
      <c r="H30" s="496">
        <f t="shared" si="0"/>
        <v>1.0913049685471492</v>
      </c>
      <c r="I30" s="496">
        <f t="shared" si="2"/>
        <v>47.773853769675554</v>
      </c>
      <c r="J30" s="443" t="str">
        <f t="shared" si="1"/>
        <v>A</v>
      </c>
    </row>
    <row r="31" spans="1:10" s="220" customFormat="1" ht="14.25">
      <c r="A31" s="443" t="s">
        <v>3281</v>
      </c>
      <c r="B31" s="443" t="s">
        <v>119</v>
      </c>
      <c r="C31" s="444" t="s">
        <v>3282</v>
      </c>
      <c r="D31" s="443" t="s">
        <v>139</v>
      </c>
      <c r="E31" s="445">
        <v>204.81</v>
      </c>
      <c r="F31" s="445">
        <v>156.24</v>
      </c>
      <c r="G31" s="445">
        <f>E31*F31</f>
        <v>31999.514400000004</v>
      </c>
      <c r="H31" s="496">
        <f t="shared" si="0"/>
        <v>1.077581543152327</v>
      </c>
      <c r="I31" s="496">
        <f t="shared" si="2"/>
        <v>48.851435312827881</v>
      </c>
      <c r="J31" s="443" t="str">
        <f t="shared" si="1"/>
        <v>A</v>
      </c>
    </row>
    <row r="32" spans="1:10" s="220" customFormat="1" ht="14.25">
      <c r="A32" s="443" t="s">
        <v>1215</v>
      </c>
      <c r="B32" s="443" t="s">
        <v>158</v>
      </c>
      <c r="C32" s="444" t="s">
        <v>3015</v>
      </c>
      <c r="D32" s="443" t="s">
        <v>139</v>
      </c>
      <c r="E32" s="445">
        <v>288.14463000000001</v>
      </c>
      <c r="F32" s="445">
        <v>99</v>
      </c>
      <c r="G32" s="445">
        <f>E32*F32</f>
        <v>28526.318370000001</v>
      </c>
      <c r="H32" s="496">
        <f t="shared" si="0"/>
        <v>0.96062189523723451</v>
      </c>
      <c r="I32" s="496">
        <f t="shared" si="2"/>
        <v>49.812057208065113</v>
      </c>
      <c r="J32" s="443" t="str">
        <f t="shared" si="1"/>
        <v>A</v>
      </c>
    </row>
    <row r="33" spans="1:10" s="220" customFormat="1" ht="14.25">
      <c r="A33" s="443" t="s">
        <v>2224</v>
      </c>
      <c r="B33" s="443" t="s">
        <v>158</v>
      </c>
      <c r="C33" s="444" t="s">
        <v>3017</v>
      </c>
      <c r="D33" s="443" t="s">
        <v>3018</v>
      </c>
      <c r="E33" s="445">
        <v>113.3</v>
      </c>
      <c r="F33" s="445">
        <v>228.9</v>
      </c>
      <c r="G33" s="445">
        <f>E33*F33</f>
        <v>25934.37</v>
      </c>
      <c r="H33" s="496">
        <f t="shared" si="0"/>
        <v>0.87333820432235731</v>
      </c>
      <c r="I33" s="496">
        <f t="shared" si="2"/>
        <v>50.685395412387471</v>
      </c>
      <c r="J33" s="443" t="str">
        <f t="shared" si="1"/>
        <v>A</v>
      </c>
    </row>
    <row r="34" spans="1:10" s="220" customFormat="1" ht="28.5">
      <c r="A34" s="443" t="s">
        <v>3758</v>
      </c>
      <c r="B34" s="443" t="s">
        <v>158</v>
      </c>
      <c r="C34" s="444" t="s">
        <v>3786</v>
      </c>
      <c r="D34" s="443" t="s">
        <v>139</v>
      </c>
      <c r="E34" s="445">
        <v>31.54</v>
      </c>
      <c r="F34" s="445">
        <v>800</v>
      </c>
      <c r="G34" s="445">
        <f>E34*F34</f>
        <v>25232</v>
      </c>
      <c r="H34" s="496">
        <f t="shared" si="0"/>
        <v>0.84968594075976089</v>
      </c>
      <c r="I34" s="496">
        <f t="shared" si="2"/>
        <v>51.535081353147234</v>
      </c>
      <c r="J34" s="443" t="str">
        <f t="shared" si="1"/>
        <v>A</v>
      </c>
    </row>
    <row r="35" spans="1:10" s="220" customFormat="1" ht="14.25">
      <c r="A35" s="443" t="s">
        <v>2613</v>
      </c>
      <c r="B35" s="443" t="s">
        <v>158</v>
      </c>
      <c r="C35" s="444" t="s">
        <v>3016</v>
      </c>
      <c r="D35" s="443" t="s">
        <v>173</v>
      </c>
      <c r="E35" s="445">
        <v>306.64638000000002</v>
      </c>
      <c r="F35" s="445">
        <v>78.83</v>
      </c>
      <c r="G35" s="445">
        <f>E35*F35</f>
        <v>24172.934135400003</v>
      </c>
      <c r="H35" s="496">
        <f t="shared" si="0"/>
        <v>0.81402196741285215</v>
      </c>
      <c r="I35" s="496">
        <f t="shared" si="2"/>
        <v>52.349103320560083</v>
      </c>
      <c r="J35" s="443" t="str">
        <f t="shared" si="1"/>
        <v>A</v>
      </c>
    </row>
    <row r="36" spans="1:10" s="220" customFormat="1" ht="14.25">
      <c r="A36" s="443" t="s">
        <v>1521</v>
      </c>
      <c r="B36" s="443" t="s">
        <v>119</v>
      </c>
      <c r="C36" s="444" t="s">
        <v>1522</v>
      </c>
      <c r="D36" s="443" t="s">
        <v>167</v>
      </c>
      <c r="E36" s="445">
        <v>117.9877758331</v>
      </c>
      <c r="F36" s="445">
        <v>197.39</v>
      </c>
      <c r="G36" s="445">
        <f>E36*F36</f>
        <v>23289.607071695609</v>
      </c>
      <c r="H36" s="496">
        <f t="shared" si="0"/>
        <v>0.78427598662963149</v>
      </c>
      <c r="I36" s="496">
        <f t="shared" si="2"/>
        <v>53.133379307189713</v>
      </c>
      <c r="J36" s="443" t="str">
        <f t="shared" si="1"/>
        <v>A</v>
      </c>
    </row>
    <row r="37" spans="1:10" s="220" customFormat="1" ht="14.25">
      <c r="A37" s="443" t="s">
        <v>3357</v>
      </c>
      <c r="B37" s="443" t="s">
        <v>158</v>
      </c>
      <c r="C37" s="444" t="s">
        <v>3387</v>
      </c>
      <c r="D37" s="443" t="s">
        <v>167</v>
      </c>
      <c r="E37" s="445">
        <v>225.88403379319999</v>
      </c>
      <c r="F37" s="445">
        <v>102.5</v>
      </c>
      <c r="G37" s="445">
        <f>E37*F37</f>
        <v>23153.113463802998</v>
      </c>
      <c r="H37" s="496">
        <f t="shared" si="0"/>
        <v>0.77967957335958049</v>
      </c>
      <c r="I37" s="496">
        <f t="shared" si="2"/>
        <v>53.913058880549293</v>
      </c>
      <c r="J37" s="443" t="str">
        <f t="shared" si="1"/>
        <v>A</v>
      </c>
    </row>
    <row r="38" spans="1:10" s="220" customFormat="1" ht="14.25">
      <c r="A38" s="443" t="s">
        <v>1453</v>
      </c>
      <c r="B38" s="443" t="s">
        <v>119</v>
      </c>
      <c r="C38" s="444" t="s">
        <v>1454</v>
      </c>
      <c r="D38" s="443" t="s">
        <v>144</v>
      </c>
      <c r="E38" s="445">
        <v>5667.2987999999996</v>
      </c>
      <c r="F38" s="445">
        <v>4.07</v>
      </c>
      <c r="G38" s="445">
        <f>E38*F38</f>
        <v>23065.906115999998</v>
      </c>
      <c r="H38" s="496">
        <f t="shared" si="0"/>
        <v>0.77674287165701417</v>
      </c>
      <c r="I38" s="496">
        <f t="shared" si="2"/>
        <v>54.689801752206307</v>
      </c>
      <c r="J38" s="443" t="str">
        <f t="shared" si="1"/>
        <v>A</v>
      </c>
    </row>
    <row r="39" spans="1:10" s="220" customFormat="1" ht="14.25">
      <c r="A39" s="443" t="s">
        <v>3646</v>
      </c>
      <c r="B39" s="443" t="s">
        <v>3006</v>
      </c>
      <c r="C39" s="444" t="s">
        <v>3647</v>
      </c>
      <c r="D39" s="443" t="s">
        <v>144</v>
      </c>
      <c r="E39" s="445">
        <v>235.654</v>
      </c>
      <c r="F39" s="445">
        <v>96.58</v>
      </c>
      <c r="G39" s="445">
        <f>E39*F39</f>
        <v>22759.463319999999</v>
      </c>
      <c r="H39" s="496">
        <f t="shared" si="0"/>
        <v>0.76642343065319707</v>
      </c>
      <c r="I39" s="496">
        <f t="shared" si="2"/>
        <v>55.456225182859505</v>
      </c>
      <c r="J39" s="443" t="str">
        <f t="shared" si="1"/>
        <v>A</v>
      </c>
    </row>
    <row r="40" spans="1:10" s="220" customFormat="1" ht="28.5">
      <c r="A40" s="443" t="s">
        <v>698</v>
      </c>
      <c r="B40" s="443" t="s">
        <v>119</v>
      </c>
      <c r="C40" s="444" t="s">
        <v>699</v>
      </c>
      <c r="D40" s="443" t="s">
        <v>173</v>
      </c>
      <c r="E40" s="445">
        <v>3361.0077980000001</v>
      </c>
      <c r="F40" s="445">
        <v>6.76</v>
      </c>
      <c r="G40" s="445">
        <f>E40*F40</f>
        <v>22720.41271448</v>
      </c>
      <c r="H40" s="496">
        <f t="shared" si="0"/>
        <v>0.76510840408025405</v>
      </c>
      <c r="I40" s="496">
        <f t="shared" si="2"/>
        <v>56.221333586939757</v>
      </c>
      <c r="J40" s="443" t="str">
        <f t="shared" si="1"/>
        <v>A</v>
      </c>
    </row>
    <row r="41" spans="1:10" s="220" customFormat="1" ht="28.5">
      <c r="A41" s="443" t="s">
        <v>4128</v>
      </c>
      <c r="B41" s="443" t="s">
        <v>158</v>
      </c>
      <c r="C41" s="444" t="s">
        <v>4129</v>
      </c>
      <c r="D41" s="443" t="s">
        <v>200</v>
      </c>
      <c r="E41" s="445">
        <v>1612.4</v>
      </c>
      <c r="F41" s="445">
        <v>14</v>
      </c>
      <c r="G41" s="445">
        <f>E41*F41</f>
        <v>22573.600000000002</v>
      </c>
      <c r="H41" s="496">
        <f t="shared" si="0"/>
        <v>0.76016449557445054</v>
      </c>
      <c r="I41" s="496">
        <f t="shared" si="2"/>
        <v>56.981498082514207</v>
      </c>
      <c r="J41" s="443" t="str">
        <f t="shared" si="1"/>
        <v>A</v>
      </c>
    </row>
    <row r="42" spans="1:10" s="220" customFormat="1" ht="28.5">
      <c r="A42" s="443" t="s">
        <v>3898</v>
      </c>
      <c r="B42" s="443" t="s">
        <v>3006</v>
      </c>
      <c r="C42" s="444" t="s">
        <v>3911</v>
      </c>
      <c r="D42" s="443" t="s">
        <v>139</v>
      </c>
      <c r="E42" s="445">
        <v>21.64</v>
      </c>
      <c r="F42" s="445">
        <v>1021.64</v>
      </c>
      <c r="G42" s="445">
        <f>E42*F42</f>
        <v>22108.2896</v>
      </c>
      <c r="H42" s="496">
        <f t="shared" si="0"/>
        <v>0.74449519845296597</v>
      </c>
      <c r="I42" s="496">
        <f t="shared" si="2"/>
        <v>57.725993280967174</v>
      </c>
      <c r="J42" s="443" t="str">
        <f t="shared" si="1"/>
        <v>A</v>
      </c>
    </row>
    <row r="43" spans="1:10" s="220" customFormat="1" ht="28.5">
      <c r="A43" s="443" t="s">
        <v>3849</v>
      </c>
      <c r="B43" s="443" t="s">
        <v>119</v>
      </c>
      <c r="C43" s="444" t="s">
        <v>4018</v>
      </c>
      <c r="D43" s="443" t="s">
        <v>144</v>
      </c>
      <c r="E43" s="445">
        <v>10145.4085</v>
      </c>
      <c r="F43" s="445">
        <v>2.04</v>
      </c>
      <c r="G43" s="445">
        <f>E43*F43</f>
        <v>20696.63334</v>
      </c>
      <c r="H43" s="496">
        <f t="shared" si="0"/>
        <v>0.69695776672708198</v>
      </c>
      <c r="I43" s="496">
        <f t="shared" si="2"/>
        <v>58.422951047694255</v>
      </c>
      <c r="J43" s="443" t="str">
        <f t="shared" si="1"/>
        <v>A</v>
      </c>
    </row>
    <row r="44" spans="1:10" s="220" customFormat="1" ht="28.5">
      <c r="A44" s="443" t="s">
        <v>1093</v>
      </c>
      <c r="B44" s="443" t="s">
        <v>3006</v>
      </c>
      <c r="C44" s="444" t="s">
        <v>3021</v>
      </c>
      <c r="D44" s="443" t="s">
        <v>139</v>
      </c>
      <c r="E44" s="445">
        <v>109.161</v>
      </c>
      <c r="F44" s="445">
        <v>177.34</v>
      </c>
      <c r="G44" s="445">
        <f>E44*F44</f>
        <v>19358.61174</v>
      </c>
      <c r="H44" s="496">
        <f t="shared" si="0"/>
        <v>0.65189997733452965</v>
      </c>
      <c r="I44" s="496">
        <f t="shared" si="2"/>
        <v>59.074851025028785</v>
      </c>
      <c r="J44" s="443" t="str">
        <f t="shared" si="1"/>
        <v>A</v>
      </c>
    </row>
    <row r="45" spans="1:10" s="220" customFormat="1" ht="28.5">
      <c r="A45" s="443" t="s">
        <v>1407</v>
      </c>
      <c r="B45" s="443" t="s">
        <v>119</v>
      </c>
      <c r="C45" s="444" t="s">
        <v>2420</v>
      </c>
      <c r="D45" s="443" t="s">
        <v>200</v>
      </c>
      <c r="E45" s="445">
        <v>1043.43</v>
      </c>
      <c r="F45" s="445">
        <v>18.489999999999998</v>
      </c>
      <c r="G45" s="445">
        <f>E45*F45</f>
        <v>19293.020700000001</v>
      </c>
      <c r="H45" s="496">
        <f t="shared" si="0"/>
        <v>0.64969120337575459</v>
      </c>
      <c r="I45" s="496">
        <f t="shared" si="2"/>
        <v>59.724542228404538</v>
      </c>
      <c r="J45" s="443" t="str">
        <f t="shared" si="1"/>
        <v>A</v>
      </c>
    </row>
    <row r="46" spans="1:10" s="220" customFormat="1" ht="14.25">
      <c r="A46" s="443" t="s">
        <v>1564</v>
      </c>
      <c r="B46" s="443" t="s">
        <v>119</v>
      </c>
      <c r="C46" s="444" t="s">
        <v>1565</v>
      </c>
      <c r="D46" s="443" t="s">
        <v>139</v>
      </c>
      <c r="E46" s="445">
        <v>1043.1600000000001</v>
      </c>
      <c r="F46" s="445">
        <v>18</v>
      </c>
      <c r="G46" s="445">
        <f>E46*F46</f>
        <v>18776.88</v>
      </c>
      <c r="H46" s="496">
        <f t="shared" si="0"/>
        <v>0.63231019924433807</v>
      </c>
      <c r="I46" s="496">
        <f t="shared" si="2"/>
        <v>60.356852427648874</v>
      </c>
      <c r="J46" s="443" t="str">
        <f t="shared" si="1"/>
        <v>A</v>
      </c>
    </row>
    <row r="47" spans="1:10" s="220" customFormat="1" ht="14.25">
      <c r="A47" s="443" t="s">
        <v>3019</v>
      </c>
      <c r="B47" s="443" t="s">
        <v>119</v>
      </c>
      <c r="C47" s="444" t="s">
        <v>3020</v>
      </c>
      <c r="D47" s="443" t="s">
        <v>200</v>
      </c>
      <c r="E47" s="445">
        <v>2355.42</v>
      </c>
      <c r="F47" s="445">
        <v>7.55</v>
      </c>
      <c r="G47" s="445">
        <f>E47*F47</f>
        <v>17783.420999999998</v>
      </c>
      <c r="H47" s="496">
        <f t="shared" si="0"/>
        <v>0.59885553274856873</v>
      </c>
      <c r="I47" s="496">
        <f t="shared" si="2"/>
        <v>60.95570796039744</v>
      </c>
      <c r="J47" s="443" t="str">
        <f t="shared" si="1"/>
        <v>A</v>
      </c>
    </row>
    <row r="48" spans="1:10" s="220" customFormat="1" ht="28.5">
      <c r="A48" s="443" t="s">
        <v>700</v>
      </c>
      <c r="B48" s="443" t="s">
        <v>119</v>
      </c>
      <c r="C48" s="444" t="s">
        <v>701</v>
      </c>
      <c r="D48" s="443" t="s">
        <v>173</v>
      </c>
      <c r="E48" s="445">
        <v>6123.6360919999997</v>
      </c>
      <c r="F48" s="445">
        <v>2.83</v>
      </c>
      <c r="G48" s="445">
        <f>E48*F48</f>
        <v>17329.890140359999</v>
      </c>
      <c r="H48" s="496">
        <f t="shared" si="0"/>
        <v>0.58358291087409209</v>
      </c>
      <c r="I48" s="496">
        <f t="shared" si="2"/>
        <v>61.539290871271533</v>
      </c>
      <c r="J48" s="443" t="str">
        <f t="shared" si="1"/>
        <v>A</v>
      </c>
    </row>
    <row r="49" spans="1:10" s="220" customFormat="1" ht="14.25">
      <c r="A49" s="443" t="s">
        <v>1021</v>
      </c>
      <c r="B49" s="443" t="s">
        <v>119</v>
      </c>
      <c r="C49" s="444" t="s">
        <v>1022</v>
      </c>
      <c r="D49" s="443" t="s">
        <v>173</v>
      </c>
      <c r="E49" s="445">
        <v>255.321</v>
      </c>
      <c r="F49" s="445">
        <v>66.790000000000006</v>
      </c>
      <c r="G49" s="445">
        <f>E49*F49</f>
        <v>17052.889590000002</v>
      </c>
      <c r="H49" s="496">
        <f t="shared" si="0"/>
        <v>0.57425493555609874</v>
      </c>
      <c r="I49" s="496">
        <f t="shared" si="2"/>
        <v>62.113545806827631</v>
      </c>
      <c r="J49" s="443" t="str">
        <f t="shared" si="1"/>
        <v>A</v>
      </c>
    </row>
    <row r="50" spans="1:10" s="220" customFormat="1" ht="28.5">
      <c r="A50" s="443" t="s">
        <v>1523</v>
      </c>
      <c r="B50" s="443" t="s">
        <v>119</v>
      </c>
      <c r="C50" s="444" t="s">
        <v>1524</v>
      </c>
      <c r="D50" s="443" t="s">
        <v>167</v>
      </c>
      <c r="E50" s="445">
        <v>36.066279999999999</v>
      </c>
      <c r="F50" s="445">
        <v>470</v>
      </c>
      <c r="G50" s="445">
        <f>E50*F50</f>
        <v>16951.151600000001</v>
      </c>
      <c r="H50" s="496">
        <f t="shared" si="0"/>
        <v>0.57082891543307412</v>
      </c>
      <c r="I50" s="496">
        <f t="shared" si="2"/>
        <v>62.684374722260706</v>
      </c>
      <c r="J50" s="443" t="str">
        <f t="shared" si="1"/>
        <v>A</v>
      </c>
    </row>
    <row r="51" spans="1:10" s="220" customFormat="1" ht="28.5">
      <c r="A51" s="443" t="s">
        <v>1313</v>
      </c>
      <c r="B51" s="443" t="s">
        <v>119</v>
      </c>
      <c r="C51" s="444" t="s">
        <v>1314</v>
      </c>
      <c r="D51" s="443" t="s">
        <v>139</v>
      </c>
      <c r="E51" s="445">
        <v>325.26876900000002</v>
      </c>
      <c r="F51" s="445">
        <v>50.19</v>
      </c>
      <c r="G51" s="445">
        <f>E51*F51</f>
        <v>16325.239516109999</v>
      </c>
      <c r="H51" s="496">
        <f t="shared" si="0"/>
        <v>0.54975136716765804</v>
      </c>
      <c r="I51" s="496">
        <f t="shared" si="2"/>
        <v>63.234126089428365</v>
      </c>
      <c r="J51" s="443" t="str">
        <f t="shared" si="1"/>
        <v>A</v>
      </c>
    </row>
    <row r="52" spans="1:10" s="220" customFormat="1" ht="14.25">
      <c r="A52" s="443" t="s">
        <v>1468</v>
      </c>
      <c r="B52" s="443" t="s">
        <v>119</v>
      </c>
      <c r="C52" s="444" t="s">
        <v>1469</v>
      </c>
      <c r="D52" s="443" t="s">
        <v>173</v>
      </c>
      <c r="E52" s="445">
        <v>261.46050000000002</v>
      </c>
      <c r="F52" s="445">
        <v>62.02</v>
      </c>
      <c r="G52" s="445">
        <f>E52*F52</f>
        <v>16215.780210000003</v>
      </c>
      <c r="H52" s="496">
        <f t="shared" si="0"/>
        <v>0.54606533223237808</v>
      </c>
      <c r="I52" s="496">
        <f t="shared" si="2"/>
        <v>63.780191421660746</v>
      </c>
      <c r="J52" s="443" t="str">
        <f t="shared" si="1"/>
        <v>A</v>
      </c>
    </row>
    <row r="53" spans="1:10" s="220" customFormat="1" ht="14.25">
      <c r="A53" s="443" t="s">
        <v>3776</v>
      </c>
      <c r="B53" s="443" t="s">
        <v>3396</v>
      </c>
      <c r="C53" s="444" t="s">
        <v>3777</v>
      </c>
      <c r="D53" s="443" t="s">
        <v>144</v>
      </c>
      <c r="E53" s="445">
        <v>66.291679999999999</v>
      </c>
      <c r="F53" s="445">
        <v>231.64</v>
      </c>
      <c r="G53" s="445">
        <f>E53*F53</f>
        <v>15355.804755199999</v>
      </c>
      <c r="H53" s="496">
        <f t="shared" si="0"/>
        <v>0.51710571534342575</v>
      </c>
      <c r="I53" s="496">
        <f t="shared" si="2"/>
        <v>64.297297137004165</v>
      </c>
      <c r="J53" s="443" t="str">
        <f t="shared" si="1"/>
        <v>A</v>
      </c>
    </row>
    <row r="54" spans="1:10" s="220" customFormat="1" ht="14.25">
      <c r="A54" s="443" t="s">
        <v>2860</v>
      </c>
      <c r="B54" s="443" t="s">
        <v>3006</v>
      </c>
      <c r="C54" s="444" t="s">
        <v>3073</v>
      </c>
      <c r="D54" s="443" t="s">
        <v>144</v>
      </c>
      <c r="E54" s="445">
        <v>331.07</v>
      </c>
      <c r="F54" s="445">
        <v>46.37</v>
      </c>
      <c r="G54" s="445">
        <f>E54*F54</f>
        <v>15351.715899999999</v>
      </c>
      <c r="H54" s="496">
        <f t="shared" si="0"/>
        <v>0.51696802341344628</v>
      </c>
      <c r="I54" s="496">
        <f t="shared" si="2"/>
        <v>64.814265160417605</v>
      </c>
      <c r="J54" s="443" t="str">
        <f t="shared" si="1"/>
        <v>A</v>
      </c>
    </row>
    <row r="55" spans="1:10" s="220" customFormat="1" ht="14.25">
      <c r="A55" s="443" t="s">
        <v>2876</v>
      </c>
      <c r="B55" s="443" t="s">
        <v>119</v>
      </c>
      <c r="C55" s="444" t="s">
        <v>2877</v>
      </c>
      <c r="D55" s="443" t="s">
        <v>139</v>
      </c>
      <c r="E55" s="445">
        <v>841.64300000000003</v>
      </c>
      <c r="F55" s="445">
        <v>17.93</v>
      </c>
      <c r="G55" s="445">
        <f>E55*F55</f>
        <v>15090.65899</v>
      </c>
      <c r="H55" s="496">
        <f t="shared" si="0"/>
        <v>0.50817694913613243</v>
      </c>
      <c r="I55" s="496">
        <f t="shared" si="2"/>
        <v>65.322442109553734</v>
      </c>
      <c r="J55" s="443" t="str">
        <f t="shared" si="1"/>
        <v>A</v>
      </c>
    </row>
    <row r="56" spans="1:10" s="220" customFormat="1" ht="14.25">
      <c r="A56" s="443" t="s">
        <v>661</v>
      </c>
      <c r="B56" s="443" t="s">
        <v>119</v>
      </c>
      <c r="C56" s="444" t="s">
        <v>662</v>
      </c>
      <c r="D56" s="443" t="s">
        <v>167</v>
      </c>
      <c r="E56" s="445">
        <v>75.239877000000007</v>
      </c>
      <c r="F56" s="445">
        <v>198.43</v>
      </c>
      <c r="G56" s="445">
        <f>E56*F56</f>
        <v>14929.848793110003</v>
      </c>
      <c r="H56" s="496">
        <f t="shared" si="0"/>
        <v>0.50276167633063773</v>
      </c>
      <c r="I56" s="496">
        <f t="shared" si="2"/>
        <v>65.825203785884369</v>
      </c>
      <c r="J56" s="443" t="str">
        <f t="shared" si="1"/>
        <v>A</v>
      </c>
    </row>
    <row r="57" spans="1:10" s="220" customFormat="1" ht="14.25">
      <c r="A57" s="443" t="s">
        <v>1010</v>
      </c>
      <c r="B57" s="443" t="s">
        <v>119</v>
      </c>
      <c r="C57" s="444" t="s">
        <v>1009</v>
      </c>
      <c r="D57" s="443" t="s">
        <v>200</v>
      </c>
      <c r="E57" s="445">
        <v>9844.6155887208151</v>
      </c>
      <c r="F57" s="445">
        <v>1.5</v>
      </c>
      <c r="G57" s="445">
        <f>E57*F57</f>
        <v>14766.923383081223</v>
      </c>
      <c r="H57" s="496">
        <f t="shared" si="0"/>
        <v>0.49727517386178977</v>
      </c>
      <c r="I57" s="496">
        <f t="shared" si="2"/>
        <v>66.322478959746164</v>
      </c>
      <c r="J57" s="443" t="str">
        <f t="shared" si="1"/>
        <v>A</v>
      </c>
    </row>
    <row r="58" spans="1:10" s="220" customFormat="1" ht="28.5">
      <c r="A58" s="443" t="s">
        <v>1768</v>
      </c>
      <c r="B58" s="443" t="s">
        <v>119</v>
      </c>
      <c r="C58" s="444" t="s">
        <v>1769</v>
      </c>
      <c r="D58" s="443" t="s">
        <v>173</v>
      </c>
      <c r="E58" s="445">
        <v>3030.9367080000002</v>
      </c>
      <c r="F58" s="445">
        <v>4.7</v>
      </c>
      <c r="G58" s="445">
        <f>E58*F58</f>
        <v>14245.402527600001</v>
      </c>
      <c r="H58" s="496">
        <f t="shared" si="0"/>
        <v>0.47971299334833867</v>
      </c>
      <c r="I58" s="496">
        <f t="shared" si="2"/>
        <v>66.802191953094507</v>
      </c>
      <c r="J58" s="443" t="str">
        <f t="shared" si="1"/>
        <v>A</v>
      </c>
    </row>
    <row r="59" spans="1:10" s="220" customFormat="1" ht="14.25">
      <c r="A59" s="443" t="s">
        <v>2530</v>
      </c>
      <c r="B59" s="443" t="s">
        <v>119</v>
      </c>
      <c r="C59" s="444" t="s">
        <v>2529</v>
      </c>
      <c r="D59" s="443" t="s">
        <v>173</v>
      </c>
      <c r="E59" s="445">
        <v>581.97299999999996</v>
      </c>
      <c r="F59" s="445">
        <v>24</v>
      </c>
      <c r="G59" s="445">
        <f>E59*F59</f>
        <v>13967.351999999999</v>
      </c>
      <c r="H59" s="496">
        <f t="shared" si="0"/>
        <v>0.47034966011583412</v>
      </c>
      <c r="I59" s="496">
        <f t="shared" si="2"/>
        <v>67.272541613210336</v>
      </c>
      <c r="J59" s="443" t="str">
        <f t="shared" si="1"/>
        <v>A</v>
      </c>
    </row>
    <row r="60" spans="1:10" s="220" customFormat="1" ht="28.5">
      <c r="A60" s="443" t="s">
        <v>2071</v>
      </c>
      <c r="B60" s="443" t="s">
        <v>3006</v>
      </c>
      <c r="C60" s="444" t="s">
        <v>3023</v>
      </c>
      <c r="D60" s="443" t="s">
        <v>144</v>
      </c>
      <c r="E60" s="445">
        <v>1</v>
      </c>
      <c r="F60" s="445">
        <v>13505.3</v>
      </c>
      <c r="G60" s="445">
        <f>E60*F60</f>
        <v>13505.3</v>
      </c>
      <c r="H60" s="496">
        <f t="shared" si="0"/>
        <v>0.4547900894000792</v>
      </c>
      <c r="I60" s="496">
        <f t="shared" si="2"/>
        <v>67.727331702610414</v>
      </c>
      <c r="J60" s="443" t="str">
        <f t="shared" si="1"/>
        <v>A</v>
      </c>
    </row>
    <row r="61" spans="1:10" s="220" customFormat="1" ht="42.75">
      <c r="A61" s="443" t="s">
        <v>2792</v>
      </c>
      <c r="B61" s="443" t="s">
        <v>119</v>
      </c>
      <c r="C61" s="444" t="s">
        <v>4177</v>
      </c>
      <c r="D61" s="443" t="s">
        <v>144</v>
      </c>
      <c r="E61" s="445">
        <v>10</v>
      </c>
      <c r="F61" s="445">
        <v>1340.35</v>
      </c>
      <c r="G61" s="445">
        <f>E61*F61</f>
        <v>13403.5</v>
      </c>
      <c r="H61" s="496">
        <f t="shared" si="0"/>
        <v>0.4513619810943823</v>
      </c>
      <c r="I61" s="496">
        <f t="shared" si="2"/>
        <v>68.178693683704793</v>
      </c>
      <c r="J61" s="443" t="str">
        <f t="shared" si="1"/>
        <v>A</v>
      </c>
    </row>
    <row r="62" spans="1:10" s="220" customFormat="1" ht="14.25">
      <c r="A62" s="443" t="s">
        <v>2976</v>
      </c>
      <c r="B62" s="443" t="s">
        <v>119</v>
      </c>
      <c r="C62" s="444" t="s">
        <v>2977</v>
      </c>
      <c r="D62" s="443" t="s">
        <v>173</v>
      </c>
      <c r="E62" s="445">
        <v>60.018000000000001</v>
      </c>
      <c r="F62" s="445">
        <v>222.54</v>
      </c>
      <c r="G62" s="445">
        <f>E62*F62</f>
        <v>13356.405719999999</v>
      </c>
      <c r="H62" s="496">
        <f t="shared" si="0"/>
        <v>0.44977608431227212</v>
      </c>
      <c r="I62" s="496">
        <f t="shared" si="2"/>
        <v>68.628469768017069</v>
      </c>
      <c r="J62" s="443" t="str">
        <f t="shared" si="1"/>
        <v>A</v>
      </c>
    </row>
    <row r="63" spans="1:10" s="220" customFormat="1" ht="28.5">
      <c r="A63" s="443" t="s">
        <v>3359</v>
      </c>
      <c r="B63" s="443" t="s">
        <v>3006</v>
      </c>
      <c r="C63" s="444" t="s">
        <v>3388</v>
      </c>
      <c r="D63" s="443" t="s">
        <v>139</v>
      </c>
      <c r="E63" s="445">
        <v>14.34</v>
      </c>
      <c r="F63" s="445">
        <v>926.4</v>
      </c>
      <c r="G63" s="445">
        <f>E63*F63</f>
        <v>13284.575999999999</v>
      </c>
      <c r="H63" s="496">
        <f t="shared" si="0"/>
        <v>0.44735722321474869</v>
      </c>
      <c r="I63" s="496">
        <f t="shared" si="2"/>
        <v>69.075826991231821</v>
      </c>
      <c r="J63" s="443" t="str">
        <f t="shared" si="1"/>
        <v>A</v>
      </c>
    </row>
    <row r="64" spans="1:10" s="220" customFormat="1" ht="14.25">
      <c r="A64" s="443" t="s">
        <v>2910</v>
      </c>
      <c r="B64" s="443" t="s">
        <v>119</v>
      </c>
      <c r="C64" s="444" t="s">
        <v>2911</v>
      </c>
      <c r="D64" s="443" t="s">
        <v>144</v>
      </c>
      <c r="E64" s="445">
        <v>3841.7028</v>
      </c>
      <c r="F64" s="445">
        <v>3.32</v>
      </c>
      <c r="G64" s="445">
        <f>E64*F64</f>
        <v>12754.453296</v>
      </c>
      <c r="H64" s="496">
        <f t="shared" si="0"/>
        <v>0.42950537601807992</v>
      </c>
      <c r="I64" s="496">
        <f t="shared" si="2"/>
        <v>69.505332367249906</v>
      </c>
      <c r="J64" s="443" t="str">
        <f t="shared" si="1"/>
        <v>A</v>
      </c>
    </row>
    <row r="65" spans="1:10" s="220" customFormat="1" ht="28.5">
      <c r="A65" s="443" t="s">
        <v>1229</v>
      </c>
      <c r="B65" s="443" t="s">
        <v>3006</v>
      </c>
      <c r="C65" s="444" t="s">
        <v>3022</v>
      </c>
      <c r="D65" s="443" t="s">
        <v>144</v>
      </c>
      <c r="E65" s="445">
        <v>1</v>
      </c>
      <c r="F65" s="445">
        <v>12571.41</v>
      </c>
      <c r="G65" s="445">
        <f>E65*F65</f>
        <v>12571.41</v>
      </c>
      <c r="H65" s="496">
        <f t="shared" si="0"/>
        <v>0.42334140506209039</v>
      </c>
      <c r="I65" s="496">
        <f t="shared" si="2"/>
        <v>69.928673772311996</v>
      </c>
      <c r="J65" s="443" t="str">
        <f t="shared" si="1"/>
        <v>A</v>
      </c>
    </row>
    <row r="66" spans="1:10" s="220" customFormat="1" ht="14.25">
      <c r="A66" s="443" t="s">
        <v>3267</v>
      </c>
      <c r="B66" s="443" t="s">
        <v>119</v>
      </c>
      <c r="C66" s="444" t="s">
        <v>3373</v>
      </c>
      <c r="D66" s="443" t="s">
        <v>173</v>
      </c>
      <c r="E66" s="445">
        <v>373.38765000000001</v>
      </c>
      <c r="F66" s="445">
        <v>33.57</v>
      </c>
      <c r="G66" s="445">
        <f>E66*F66</f>
        <v>12534.6234105</v>
      </c>
      <c r="H66" s="496">
        <f t="shared" si="0"/>
        <v>0.42210261907974056</v>
      </c>
      <c r="I66" s="496">
        <f t="shared" si="2"/>
        <v>70.350776391391733</v>
      </c>
      <c r="J66" s="443" t="str">
        <f t="shared" si="1"/>
        <v>A</v>
      </c>
    </row>
    <row r="67" spans="1:10" s="220" customFormat="1" ht="28.5">
      <c r="A67" s="443" t="s">
        <v>1762</v>
      </c>
      <c r="B67" s="443" t="s">
        <v>119</v>
      </c>
      <c r="C67" s="444" t="s">
        <v>1763</v>
      </c>
      <c r="D67" s="443" t="s">
        <v>173</v>
      </c>
      <c r="E67" s="445">
        <v>273.67444999999998</v>
      </c>
      <c r="F67" s="445">
        <v>42.96</v>
      </c>
      <c r="G67" s="445">
        <f>E67*F67</f>
        <v>11757.054371999999</v>
      </c>
      <c r="H67" s="496">
        <f t="shared" si="0"/>
        <v>0.39591803284069743</v>
      </c>
      <c r="I67" s="496">
        <f t="shared" si="2"/>
        <v>70.74669442423243</v>
      </c>
      <c r="J67" s="443" t="str">
        <f t="shared" si="1"/>
        <v>A</v>
      </c>
    </row>
    <row r="68" spans="1:10" s="220" customFormat="1" ht="14.25">
      <c r="A68" s="443" t="s">
        <v>1309</v>
      </c>
      <c r="B68" s="443" t="s">
        <v>119</v>
      </c>
      <c r="C68" s="444" t="s">
        <v>1310</v>
      </c>
      <c r="D68" s="443" t="s">
        <v>173</v>
      </c>
      <c r="E68" s="445">
        <v>1507.949642</v>
      </c>
      <c r="F68" s="445">
        <v>7.78</v>
      </c>
      <c r="G68" s="445">
        <f>E68*F68</f>
        <v>11731.848214760001</v>
      </c>
      <c r="H68" s="496">
        <f t="shared" si="0"/>
        <v>0.39506921715318138</v>
      </c>
      <c r="I68" s="496">
        <f t="shared" si="2"/>
        <v>71.141763641385609</v>
      </c>
      <c r="J68" s="443" t="str">
        <f t="shared" si="1"/>
        <v>A</v>
      </c>
    </row>
    <row r="69" spans="1:10" s="220" customFormat="1" ht="14.25">
      <c r="A69" s="443" t="s">
        <v>1605</v>
      </c>
      <c r="B69" s="443" t="s">
        <v>119</v>
      </c>
      <c r="C69" s="444" t="s">
        <v>1606</v>
      </c>
      <c r="D69" s="443" t="s">
        <v>107</v>
      </c>
      <c r="E69" s="445">
        <v>265.32011999999997</v>
      </c>
      <c r="F69" s="445">
        <v>43.04</v>
      </c>
      <c r="G69" s="445">
        <f>E69*F69</f>
        <v>11419.377964799998</v>
      </c>
      <c r="H69" s="496">
        <f t="shared" si="0"/>
        <v>0.38454680203362274</v>
      </c>
      <c r="I69" s="496">
        <f t="shared" si="2"/>
        <v>71.526310443419234</v>
      </c>
      <c r="J69" s="443" t="str">
        <f t="shared" si="1"/>
        <v>A</v>
      </c>
    </row>
    <row r="70" spans="1:10" s="220" customFormat="1" ht="28.5">
      <c r="A70" s="443" t="s">
        <v>3362</v>
      </c>
      <c r="B70" s="443" t="s">
        <v>3006</v>
      </c>
      <c r="C70" s="444" t="s">
        <v>3389</v>
      </c>
      <c r="D70" s="443" t="s">
        <v>139</v>
      </c>
      <c r="E70" s="445">
        <v>8.4499999999999993</v>
      </c>
      <c r="F70" s="445">
        <v>1328.45</v>
      </c>
      <c r="G70" s="445">
        <f>E70*F70</f>
        <v>11225.4025</v>
      </c>
      <c r="H70" s="496">
        <f t="shared" si="0"/>
        <v>0.37801469101218577</v>
      </c>
      <c r="I70" s="496">
        <f t="shared" si="2"/>
        <v>71.904325134431417</v>
      </c>
      <c r="J70" s="443" t="str">
        <f t="shared" si="1"/>
        <v>A</v>
      </c>
    </row>
    <row r="71" spans="1:10" s="220" customFormat="1" ht="14.25">
      <c r="A71" s="443" t="s">
        <v>632</v>
      </c>
      <c r="B71" s="443" t="s">
        <v>119</v>
      </c>
      <c r="C71" s="444" t="s">
        <v>633</v>
      </c>
      <c r="D71" s="443" t="s">
        <v>107</v>
      </c>
      <c r="E71" s="445">
        <v>357.35257000000001</v>
      </c>
      <c r="F71" s="445">
        <v>31.4</v>
      </c>
      <c r="G71" s="445">
        <f>E71*F71</f>
        <v>11220.870698000001</v>
      </c>
      <c r="H71" s="496">
        <f t="shared" si="0"/>
        <v>0.37786208287784423</v>
      </c>
      <c r="I71" s="496">
        <f t="shared" si="2"/>
        <v>72.282187217309257</v>
      </c>
      <c r="J71" s="443" t="str">
        <f t="shared" si="1"/>
        <v>A</v>
      </c>
    </row>
    <row r="72" spans="1:10" s="220" customFormat="1" ht="28.5">
      <c r="A72" s="443" t="s">
        <v>728</v>
      </c>
      <c r="B72" s="443" t="s">
        <v>3006</v>
      </c>
      <c r="C72" s="444" t="s">
        <v>3024</v>
      </c>
      <c r="D72" s="443" t="s">
        <v>144</v>
      </c>
      <c r="E72" s="445">
        <v>5</v>
      </c>
      <c r="F72" s="445">
        <v>2203.2600000000002</v>
      </c>
      <c r="G72" s="445">
        <f>E72*F72</f>
        <v>11016.300000000001</v>
      </c>
      <c r="H72" s="496">
        <f t="shared" si="0"/>
        <v>0.37097317807513291</v>
      </c>
      <c r="I72" s="496">
        <f t="shared" si="2"/>
        <v>72.65316039538439</v>
      </c>
      <c r="J72" s="443" t="str">
        <f t="shared" si="1"/>
        <v>A</v>
      </c>
    </row>
    <row r="73" spans="1:10" s="220" customFormat="1" ht="14.25">
      <c r="A73" s="443" t="s">
        <v>1438</v>
      </c>
      <c r="B73" s="443" t="s">
        <v>119</v>
      </c>
      <c r="C73" s="444" t="s">
        <v>1439</v>
      </c>
      <c r="D73" s="443" t="s">
        <v>139</v>
      </c>
      <c r="E73" s="445">
        <v>173.03355300000001</v>
      </c>
      <c r="F73" s="445">
        <v>63.49</v>
      </c>
      <c r="G73" s="445">
        <f>E73*F73</f>
        <v>10985.900279970001</v>
      </c>
      <c r="H73" s="496">
        <f t="shared" ref="H73:H136" si="3">(G73*100)/SUM($G$8:$G$628)</f>
        <v>0.36994946950218893</v>
      </c>
      <c r="I73" s="496">
        <f t="shared" si="2"/>
        <v>73.023109864886578</v>
      </c>
      <c r="J73" s="443" t="str">
        <f t="shared" ref="J73:J136" si="4">IF(I73&lt;80,"A",IF(I73&lt;95,"B","C"))</f>
        <v>A</v>
      </c>
    </row>
    <row r="74" spans="1:10" s="220" customFormat="1" ht="14.25">
      <c r="A74" s="443" t="s">
        <v>2944</v>
      </c>
      <c r="B74" s="443" t="s">
        <v>158</v>
      </c>
      <c r="C74" s="444" t="s">
        <v>3025</v>
      </c>
      <c r="D74" s="443" t="s">
        <v>200</v>
      </c>
      <c r="E74" s="445">
        <v>196.92529999999999</v>
      </c>
      <c r="F74" s="445">
        <v>51.84</v>
      </c>
      <c r="G74" s="445">
        <f>E74*F74</f>
        <v>10208.607551999999</v>
      </c>
      <c r="H74" s="496">
        <f t="shared" si="3"/>
        <v>0.34377418800207349</v>
      </c>
      <c r="I74" s="496">
        <f t="shared" ref="I74:I137" si="5">H74+I73</f>
        <v>73.366884052888651</v>
      </c>
      <c r="J74" s="443" t="str">
        <f t="shared" si="4"/>
        <v>A</v>
      </c>
    </row>
    <row r="75" spans="1:10" s="220" customFormat="1" ht="14.25">
      <c r="A75" s="443" t="s">
        <v>4174</v>
      </c>
      <c r="B75" s="443" t="s">
        <v>3832</v>
      </c>
      <c r="C75" s="444" t="s">
        <v>4141</v>
      </c>
      <c r="D75" s="443" t="s">
        <v>200</v>
      </c>
      <c r="E75" s="445">
        <v>520.79999999999995</v>
      </c>
      <c r="F75" s="445">
        <v>19.43</v>
      </c>
      <c r="G75" s="445">
        <f>E75*F75</f>
        <v>10119.143999999998</v>
      </c>
      <c r="H75" s="496">
        <f t="shared" si="3"/>
        <v>0.3407615087715396</v>
      </c>
      <c r="I75" s="496">
        <f t="shared" si="5"/>
        <v>73.707645561660186</v>
      </c>
      <c r="J75" s="443" t="str">
        <f t="shared" si="4"/>
        <v>A</v>
      </c>
    </row>
    <row r="76" spans="1:10" s="220" customFormat="1" ht="14.25">
      <c r="A76" s="443" t="s">
        <v>1011</v>
      </c>
      <c r="B76" s="443" t="s">
        <v>119</v>
      </c>
      <c r="C76" s="444" t="s">
        <v>1012</v>
      </c>
      <c r="D76" s="443" t="s">
        <v>107</v>
      </c>
      <c r="E76" s="445">
        <v>212.58020226211201</v>
      </c>
      <c r="F76" s="445">
        <v>44.95</v>
      </c>
      <c r="G76" s="445">
        <f>E76*F76</f>
        <v>9555.4800916819349</v>
      </c>
      <c r="H76" s="496">
        <f t="shared" si="3"/>
        <v>0.3217801637251082</v>
      </c>
      <c r="I76" s="496">
        <f t="shared" si="5"/>
        <v>74.029425725385295</v>
      </c>
      <c r="J76" s="443" t="str">
        <f t="shared" si="4"/>
        <v>A</v>
      </c>
    </row>
    <row r="77" spans="1:10" s="220" customFormat="1" ht="42.75">
      <c r="A77" s="443" t="s">
        <v>2793</v>
      </c>
      <c r="B77" s="443" t="s">
        <v>119</v>
      </c>
      <c r="C77" s="444" t="s">
        <v>4178</v>
      </c>
      <c r="D77" s="443" t="s">
        <v>144</v>
      </c>
      <c r="E77" s="445">
        <v>7</v>
      </c>
      <c r="F77" s="445">
        <v>1359.38</v>
      </c>
      <c r="G77" s="445">
        <f>E77*F77</f>
        <v>9515.66</v>
      </c>
      <c r="H77" s="496">
        <f t="shared" si="3"/>
        <v>0.32043922475626291</v>
      </c>
      <c r="I77" s="496">
        <f t="shared" si="5"/>
        <v>74.349864950141551</v>
      </c>
      <c r="J77" s="443" t="str">
        <f t="shared" si="4"/>
        <v>A</v>
      </c>
    </row>
    <row r="78" spans="1:10" s="220" customFormat="1" ht="28.5">
      <c r="A78" s="443" t="s">
        <v>641</v>
      </c>
      <c r="B78" s="443" t="s">
        <v>119</v>
      </c>
      <c r="C78" s="444" t="s">
        <v>642</v>
      </c>
      <c r="D78" s="443" t="s">
        <v>139</v>
      </c>
      <c r="E78" s="445">
        <v>247.52182920000001</v>
      </c>
      <c r="F78" s="445">
        <v>38.04</v>
      </c>
      <c r="G78" s="445">
        <f>E78*F78</f>
        <v>9415.7303827680007</v>
      </c>
      <c r="H78" s="496">
        <f t="shared" si="3"/>
        <v>0.31707410146728326</v>
      </c>
      <c r="I78" s="496">
        <f t="shared" si="5"/>
        <v>74.666939051608836</v>
      </c>
      <c r="J78" s="443" t="str">
        <f t="shared" si="4"/>
        <v>A</v>
      </c>
    </row>
    <row r="79" spans="1:10" s="220" customFormat="1" ht="14.25">
      <c r="A79" s="443" t="s">
        <v>3603</v>
      </c>
      <c r="B79" s="443" t="s">
        <v>119</v>
      </c>
      <c r="C79" s="444" t="s">
        <v>3613</v>
      </c>
      <c r="D79" s="443" t="s">
        <v>167</v>
      </c>
      <c r="E79" s="445">
        <v>12.285</v>
      </c>
      <c r="F79" s="445">
        <v>747.19</v>
      </c>
      <c r="G79" s="445">
        <f>E79*F79</f>
        <v>9179.229150000001</v>
      </c>
      <c r="H79" s="496">
        <f t="shared" si="3"/>
        <v>0.30910993800599124</v>
      </c>
      <c r="I79" s="496">
        <f t="shared" si="5"/>
        <v>74.976048989614824</v>
      </c>
      <c r="J79" s="443" t="str">
        <f t="shared" si="4"/>
        <v>A</v>
      </c>
    </row>
    <row r="80" spans="1:10" s="220" customFormat="1" ht="42.75">
      <c r="A80" s="443" t="s">
        <v>1104</v>
      </c>
      <c r="B80" s="443" t="s">
        <v>3006</v>
      </c>
      <c r="C80" s="444" t="s">
        <v>3027</v>
      </c>
      <c r="D80" s="443" t="s">
        <v>144</v>
      </c>
      <c r="E80" s="445">
        <v>2</v>
      </c>
      <c r="F80" s="445">
        <v>4566.1000000000004</v>
      </c>
      <c r="G80" s="445">
        <f>E80*F80</f>
        <v>9132.2000000000007</v>
      </c>
      <c r="H80" s="496">
        <f t="shared" si="3"/>
        <v>0.30752623447234817</v>
      </c>
      <c r="I80" s="496">
        <f t="shared" si="5"/>
        <v>75.283575224087173</v>
      </c>
      <c r="J80" s="443" t="str">
        <f t="shared" si="4"/>
        <v>A</v>
      </c>
    </row>
    <row r="81" spans="1:10" s="220" customFormat="1" ht="28.5">
      <c r="A81" s="443" t="s">
        <v>1135</v>
      </c>
      <c r="B81" s="443" t="s">
        <v>158</v>
      </c>
      <c r="C81" s="444" t="s">
        <v>3028</v>
      </c>
      <c r="D81" s="443" t="s">
        <v>144</v>
      </c>
      <c r="E81" s="445">
        <v>10</v>
      </c>
      <c r="F81" s="445">
        <v>899.89</v>
      </c>
      <c r="G81" s="445">
        <f>E81*F81</f>
        <v>8998.9</v>
      </c>
      <c r="H81" s="496">
        <f t="shared" si="3"/>
        <v>0.30303736573807116</v>
      </c>
      <c r="I81" s="496">
        <f t="shared" si="5"/>
        <v>75.586612589825251</v>
      </c>
      <c r="J81" s="443" t="str">
        <f t="shared" si="4"/>
        <v>A</v>
      </c>
    </row>
    <row r="82" spans="1:10" s="220" customFormat="1" ht="28.5">
      <c r="A82" s="443" t="s">
        <v>4020</v>
      </c>
      <c r="B82" s="443" t="s">
        <v>119</v>
      </c>
      <c r="C82" s="444" t="s">
        <v>4021</v>
      </c>
      <c r="D82" s="443" t="s">
        <v>4022</v>
      </c>
      <c r="E82" s="445">
        <v>66.857528102399996</v>
      </c>
      <c r="F82" s="445">
        <v>134.38</v>
      </c>
      <c r="G82" s="445">
        <f>E82*F82</f>
        <v>8984.3146264005118</v>
      </c>
      <c r="H82" s="496">
        <f t="shared" si="3"/>
        <v>0.3025462042412333</v>
      </c>
      <c r="I82" s="496">
        <f t="shared" si="5"/>
        <v>75.889158794066489</v>
      </c>
      <c r="J82" s="443" t="str">
        <f t="shared" si="4"/>
        <v>A</v>
      </c>
    </row>
    <row r="83" spans="1:10" s="220" customFormat="1" ht="14.25">
      <c r="A83" s="443" t="s">
        <v>2150</v>
      </c>
      <c r="B83" s="443" t="s">
        <v>3832</v>
      </c>
      <c r="C83" s="444" t="s">
        <v>2409</v>
      </c>
      <c r="D83" s="443" t="s">
        <v>144</v>
      </c>
      <c r="E83" s="445">
        <v>70</v>
      </c>
      <c r="F83" s="445">
        <v>125.42</v>
      </c>
      <c r="G83" s="445">
        <f>E83*F83</f>
        <v>8779.4</v>
      </c>
      <c r="H83" s="496">
        <f t="shared" si="3"/>
        <v>0.29564571767225128</v>
      </c>
      <c r="I83" s="496">
        <f t="shared" si="5"/>
        <v>76.184804511738747</v>
      </c>
      <c r="J83" s="443" t="str">
        <f t="shared" si="4"/>
        <v>A</v>
      </c>
    </row>
    <row r="84" spans="1:10" s="220" customFormat="1" ht="14.25">
      <c r="A84" s="443" t="s">
        <v>3029</v>
      </c>
      <c r="B84" s="443" t="s">
        <v>119</v>
      </c>
      <c r="C84" s="444" t="s">
        <v>3030</v>
      </c>
      <c r="D84" s="443" t="s">
        <v>200</v>
      </c>
      <c r="E84" s="445">
        <v>1060.6554657280001</v>
      </c>
      <c r="F84" s="445">
        <v>8.25</v>
      </c>
      <c r="G84" s="445">
        <f>E84*F84</f>
        <v>8750.4075922560005</v>
      </c>
      <c r="H84" s="496">
        <f t="shared" si="3"/>
        <v>0.29466940024799437</v>
      </c>
      <c r="I84" s="496">
        <f t="shared" si="5"/>
        <v>76.479473911986744</v>
      </c>
      <c r="J84" s="443" t="str">
        <f t="shared" si="4"/>
        <v>A</v>
      </c>
    </row>
    <row r="85" spans="1:10" s="220" customFormat="1" ht="14.25">
      <c r="A85" s="443" t="s">
        <v>1144</v>
      </c>
      <c r="B85" s="443" t="s">
        <v>158</v>
      </c>
      <c r="C85" s="444" t="s">
        <v>3031</v>
      </c>
      <c r="D85" s="443" t="s">
        <v>144</v>
      </c>
      <c r="E85" s="445">
        <v>6</v>
      </c>
      <c r="F85" s="445">
        <v>1449.9</v>
      </c>
      <c r="G85" s="445">
        <f>E85*F85</f>
        <v>8699.4000000000015</v>
      </c>
      <c r="H85" s="496">
        <f t="shared" si="3"/>
        <v>0.29295172293300031</v>
      </c>
      <c r="I85" s="496">
        <f t="shared" si="5"/>
        <v>76.772425634919742</v>
      </c>
      <c r="J85" s="443" t="str">
        <f t="shared" si="4"/>
        <v>A</v>
      </c>
    </row>
    <row r="86" spans="1:10" s="220" customFormat="1" ht="28.5">
      <c r="A86" s="443" t="s">
        <v>1766</v>
      </c>
      <c r="B86" s="443" t="s">
        <v>119</v>
      </c>
      <c r="C86" s="444" t="s">
        <v>1767</v>
      </c>
      <c r="D86" s="443" t="s">
        <v>173</v>
      </c>
      <c r="E86" s="445">
        <v>438.77099199999998</v>
      </c>
      <c r="F86" s="445">
        <v>19.600000000000001</v>
      </c>
      <c r="G86" s="445">
        <f>E86*F86</f>
        <v>8599.9114432000006</v>
      </c>
      <c r="H86" s="496">
        <f t="shared" si="3"/>
        <v>0.2896014523250644</v>
      </c>
      <c r="I86" s="496">
        <f t="shared" si="5"/>
        <v>77.0620270872448</v>
      </c>
      <c r="J86" s="443" t="str">
        <f t="shared" si="4"/>
        <v>A</v>
      </c>
    </row>
    <row r="87" spans="1:10" s="220" customFormat="1" ht="28.5">
      <c r="A87" s="443" t="s">
        <v>1089</v>
      </c>
      <c r="B87" s="443" t="s">
        <v>3006</v>
      </c>
      <c r="C87" s="444" t="s">
        <v>3044</v>
      </c>
      <c r="D87" s="443" t="s">
        <v>1106</v>
      </c>
      <c r="E87" s="445">
        <v>178.43625</v>
      </c>
      <c r="F87" s="445">
        <v>47.46</v>
      </c>
      <c r="G87" s="445">
        <f>E87*F87</f>
        <v>8468.5844250000009</v>
      </c>
      <c r="H87" s="496">
        <f t="shared" si="3"/>
        <v>0.28517902362316044</v>
      </c>
      <c r="I87" s="496">
        <f t="shared" si="5"/>
        <v>77.347206110867958</v>
      </c>
      <c r="J87" s="443" t="str">
        <f t="shared" si="4"/>
        <v>A</v>
      </c>
    </row>
    <row r="88" spans="1:10" s="220" customFormat="1" ht="14.25">
      <c r="A88" s="446" t="s">
        <v>1868</v>
      </c>
      <c r="B88" s="446" t="s">
        <v>3832</v>
      </c>
      <c r="C88" s="447" t="s">
        <v>2696</v>
      </c>
      <c r="D88" s="446" t="s">
        <v>144</v>
      </c>
      <c r="E88" s="448">
        <v>6</v>
      </c>
      <c r="F88" s="448">
        <v>1400</v>
      </c>
      <c r="G88" s="445">
        <f>E88*F88</f>
        <v>8400</v>
      </c>
      <c r="H88" s="496">
        <f t="shared" si="3"/>
        <v>0.28286944762135346</v>
      </c>
      <c r="I88" s="496">
        <f t="shared" si="5"/>
        <v>77.63007555848931</v>
      </c>
      <c r="J88" s="443" t="str">
        <f t="shared" si="4"/>
        <v>A</v>
      </c>
    </row>
    <row r="89" spans="1:10" s="220" customFormat="1" ht="14.25">
      <c r="A89" s="443" t="s">
        <v>2692</v>
      </c>
      <c r="B89" s="443" t="s">
        <v>158</v>
      </c>
      <c r="C89" s="444" t="s">
        <v>3039</v>
      </c>
      <c r="D89" s="443" t="s">
        <v>200</v>
      </c>
      <c r="E89" s="445">
        <v>878.14</v>
      </c>
      <c r="F89" s="445">
        <v>9.44</v>
      </c>
      <c r="G89" s="445">
        <f>E89*F89</f>
        <v>8289.641599999999</v>
      </c>
      <c r="H89" s="496">
        <f t="shared" si="3"/>
        <v>0.27915313575845152</v>
      </c>
      <c r="I89" s="496">
        <f t="shared" si="5"/>
        <v>77.909228694247759</v>
      </c>
      <c r="J89" s="443" t="str">
        <f t="shared" si="4"/>
        <v>A</v>
      </c>
    </row>
    <row r="90" spans="1:10" s="220" customFormat="1" ht="28.5">
      <c r="A90" s="443" t="s">
        <v>2360</v>
      </c>
      <c r="B90" s="443" t="s">
        <v>3006</v>
      </c>
      <c r="C90" s="444" t="s">
        <v>3033</v>
      </c>
      <c r="D90" s="443" t="s">
        <v>144</v>
      </c>
      <c r="E90" s="445">
        <v>4</v>
      </c>
      <c r="F90" s="445">
        <v>2066.5100000000002</v>
      </c>
      <c r="G90" s="445">
        <f>E90*F90</f>
        <v>8266.0400000000009</v>
      </c>
      <c r="H90" s="496">
        <f t="shared" si="3"/>
        <v>0.27835835343047777</v>
      </c>
      <c r="I90" s="496">
        <f t="shared" si="5"/>
        <v>78.187587047678235</v>
      </c>
      <c r="J90" s="443" t="str">
        <f t="shared" si="4"/>
        <v>A</v>
      </c>
    </row>
    <row r="91" spans="1:10" s="220" customFormat="1" ht="28.5">
      <c r="A91" s="443" t="s">
        <v>2095</v>
      </c>
      <c r="B91" s="443" t="s">
        <v>3006</v>
      </c>
      <c r="C91" s="444" t="s">
        <v>3026</v>
      </c>
      <c r="D91" s="443" t="s">
        <v>144</v>
      </c>
      <c r="E91" s="445">
        <v>51</v>
      </c>
      <c r="F91" s="445">
        <v>158.49</v>
      </c>
      <c r="G91" s="445">
        <f>E91*F91</f>
        <v>8082.9900000000007</v>
      </c>
      <c r="H91" s="496">
        <f t="shared" si="3"/>
        <v>0.27219415671772906</v>
      </c>
      <c r="I91" s="496">
        <f t="shared" si="5"/>
        <v>78.459781204395966</v>
      </c>
      <c r="J91" s="443" t="str">
        <f t="shared" si="4"/>
        <v>A</v>
      </c>
    </row>
    <row r="92" spans="1:10" s="220" customFormat="1" ht="14.25">
      <c r="A92" s="443" t="s">
        <v>3689</v>
      </c>
      <c r="B92" s="443" t="s">
        <v>158</v>
      </c>
      <c r="C92" s="444" t="s">
        <v>3749</v>
      </c>
      <c r="D92" s="443" t="s">
        <v>144</v>
      </c>
      <c r="E92" s="445">
        <v>96.69</v>
      </c>
      <c r="F92" s="445">
        <v>83.06</v>
      </c>
      <c r="G92" s="445">
        <f>E92*F92</f>
        <v>8031.0713999999998</v>
      </c>
      <c r="H92" s="496">
        <f t="shared" si="3"/>
        <v>0.27044580127686307</v>
      </c>
      <c r="I92" s="496">
        <f t="shared" si="5"/>
        <v>78.73022700567283</v>
      </c>
      <c r="J92" s="443" t="str">
        <f t="shared" si="4"/>
        <v>A</v>
      </c>
    </row>
    <row r="93" spans="1:10" s="220" customFormat="1" ht="14.25">
      <c r="A93" s="443" t="s">
        <v>3034</v>
      </c>
      <c r="B93" s="443" t="s">
        <v>119</v>
      </c>
      <c r="C93" s="444" t="s">
        <v>3035</v>
      </c>
      <c r="D93" s="443" t="s">
        <v>200</v>
      </c>
      <c r="E93" s="445">
        <v>866.56089999999995</v>
      </c>
      <c r="F93" s="445">
        <v>9.19</v>
      </c>
      <c r="G93" s="445">
        <f>E93*F93</f>
        <v>7963.6946709999993</v>
      </c>
      <c r="H93" s="496">
        <f t="shared" si="3"/>
        <v>0.26817689435843883</v>
      </c>
      <c r="I93" s="496">
        <f t="shared" si="5"/>
        <v>78.998403900031263</v>
      </c>
      <c r="J93" s="443" t="str">
        <f t="shared" si="4"/>
        <v>A</v>
      </c>
    </row>
    <row r="94" spans="1:10" s="220" customFormat="1" ht="28.5">
      <c r="A94" s="443" t="s">
        <v>680</v>
      </c>
      <c r="B94" s="443" t="s">
        <v>3006</v>
      </c>
      <c r="C94" s="444" t="s">
        <v>3037</v>
      </c>
      <c r="D94" s="443" t="s">
        <v>173</v>
      </c>
      <c r="E94" s="445">
        <v>92.364999999999995</v>
      </c>
      <c r="F94" s="445">
        <v>85.44</v>
      </c>
      <c r="G94" s="445">
        <f>E94*F94</f>
        <v>7891.6655999999994</v>
      </c>
      <c r="H94" s="496">
        <f t="shared" si="3"/>
        <v>0.26575132012909963</v>
      </c>
      <c r="I94" s="496">
        <f t="shared" si="5"/>
        <v>79.264155220160362</v>
      </c>
      <c r="J94" s="443" t="str">
        <f t="shared" si="4"/>
        <v>A</v>
      </c>
    </row>
    <row r="95" spans="1:10" s="220" customFormat="1" ht="14.25">
      <c r="A95" s="443" t="s">
        <v>659</v>
      </c>
      <c r="B95" s="443" t="s">
        <v>158</v>
      </c>
      <c r="C95" s="444" t="s">
        <v>3070</v>
      </c>
      <c r="D95" s="443" t="s">
        <v>173</v>
      </c>
      <c r="E95" s="445">
        <v>43.887999999999998</v>
      </c>
      <c r="F95" s="445">
        <v>179.5</v>
      </c>
      <c r="G95" s="445">
        <f>E95*F95</f>
        <v>7877.8959999999997</v>
      </c>
      <c r="H95" s="496">
        <f t="shared" si="3"/>
        <v>0.26528762975457976</v>
      </c>
      <c r="I95" s="496">
        <f t="shared" si="5"/>
        <v>79.529442849914943</v>
      </c>
      <c r="J95" s="443" t="str">
        <f t="shared" si="4"/>
        <v>A</v>
      </c>
    </row>
    <row r="96" spans="1:10" s="220" customFormat="1" ht="28.5">
      <c r="A96" s="443" t="s">
        <v>1136</v>
      </c>
      <c r="B96" s="443" t="s">
        <v>158</v>
      </c>
      <c r="C96" s="444" t="s">
        <v>3032</v>
      </c>
      <c r="D96" s="443" t="s">
        <v>144</v>
      </c>
      <c r="E96" s="445">
        <v>6</v>
      </c>
      <c r="F96" s="445">
        <v>1284.8900000000001</v>
      </c>
      <c r="G96" s="445">
        <f>E96*F96</f>
        <v>7709.34</v>
      </c>
      <c r="H96" s="496">
        <f t="shared" si="3"/>
        <v>0.25961151753871492</v>
      </c>
      <c r="I96" s="496">
        <f t="shared" si="5"/>
        <v>79.789054367453659</v>
      </c>
      <c r="J96" s="443" t="str">
        <f t="shared" si="4"/>
        <v>A</v>
      </c>
    </row>
    <row r="97" spans="1:10" s="220" customFormat="1" ht="28.5">
      <c r="A97" s="443" t="s">
        <v>2319</v>
      </c>
      <c r="B97" s="443" t="s">
        <v>119</v>
      </c>
      <c r="C97" s="444" t="s">
        <v>2320</v>
      </c>
      <c r="D97" s="443" t="s">
        <v>200</v>
      </c>
      <c r="E97" s="445">
        <v>208.53949499999999</v>
      </c>
      <c r="F97" s="445">
        <v>36.340000000000003</v>
      </c>
      <c r="G97" s="445">
        <f>E97*F97</f>
        <v>7578.3252483000006</v>
      </c>
      <c r="H97" s="496">
        <f t="shared" si="3"/>
        <v>0.25519960439066397</v>
      </c>
      <c r="I97" s="496">
        <f t="shared" si="5"/>
        <v>80.044253971844327</v>
      </c>
      <c r="J97" s="443" t="str">
        <f t="shared" si="4"/>
        <v>B</v>
      </c>
    </row>
    <row r="98" spans="1:10" s="220" customFormat="1" ht="14.25">
      <c r="A98" s="443" t="s">
        <v>1527</v>
      </c>
      <c r="B98" s="443" t="s">
        <v>119</v>
      </c>
      <c r="C98" s="444" t="s">
        <v>1528</v>
      </c>
      <c r="D98" s="443" t="s">
        <v>200</v>
      </c>
      <c r="E98" s="445">
        <v>3553.6420819999998</v>
      </c>
      <c r="F98" s="445">
        <v>2.09</v>
      </c>
      <c r="G98" s="445">
        <f>E98*F98</f>
        <v>7427.1119513799995</v>
      </c>
      <c r="H98" s="496">
        <f t="shared" si="3"/>
        <v>0.25010750656057301</v>
      </c>
      <c r="I98" s="496">
        <f t="shared" si="5"/>
        <v>80.294361478404895</v>
      </c>
      <c r="J98" s="443" t="str">
        <f t="shared" si="4"/>
        <v>B</v>
      </c>
    </row>
    <row r="99" spans="1:10" s="220" customFormat="1" ht="28.5">
      <c r="A99" s="443" t="s">
        <v>3924</v>
      </c>
      <c r="B99" s="443" t="s">
        <v>3006</v>
      </c>
      <c r="C99" s="444" t="s">
        <v>3933</v>
      </c>
      <c r="D99" s="443" t="s">
        <v>107</v>
      </c>
      <c r="E99" s="445">
        <v>1202.817</v>
      </c>
      <c r="F99" s="445">
        <v>6.16</v>
      </c>
      <c r="G99" s="445">
        <f>E99*F99</f>
        <v>7409.3527199999999</v>
      </c>
      <c r="H99" s="496">
        <f t="shared" si="3"/>
        <v>0.24950946561168724</v>
      </c>
      <c r="I99" s="496">
        <f t="shared" si="5"/>
        <v>80.543870944016575</v>
      </c>
      <c r="J99" s="443" t="str">
        <f t="shared" si="4"/>
        <v>B</v>
      </c>
    </row>
    <row r="100" spans="1:10" s="220" customFormat="1" ht="14.25">
      <c r="A100" s="443" t="s">
        <v>4175</v>
      </c>
      <c r="B100" s="443" t="s">
        <v>3832</v>
      </c>
      <c r="C100" s="444" t="s">
        <v>4142</v>
      </c>
      <c r="D100" s="443" t="s">
        <v>200</v>
      </c>
      <c r="E100" s="445">
        <v>520.79999999999995</v>
      </c>
      <c r="F100" s="445">
        <v>13.79</v>
      </c>
      <c r="G100" s="445">
        <f>E100*F100</f>
        <v>7181.8319999999985</v>
      </c>
      <c r="H100" s="496">
        <f t="shared" si="3"/>
        <v>0.24184772032730475</v>
      </c>
      <c r="I100" s="496">
        <f t="shared" si="5"/>
        <v>80.785718664343875</v>
      </c>
      <c r="J100" s="443" t="str">
        <f t="shared" si="4"/>
        <v>B</v>
      </c>
    </row>
    <row r="101" spans="1:10" s="220" customFormat="1" ht="28.5">
      <c r="A101" s="443" t="s">
        <v>1804</v>
      </c>
      <c r="B101" s="443" t="s">
        <v>119</v>
      </c>
      <c r="C101" s="444" t="s">
        <v>1805</v>
      </c>
      <c r="D101" s="443" t="s">
        <v>173</v>
      </c>
      <c r="E101" s="445">
        <v>104.274732</v>
      </c>
      <c r="F101" s="445">
        <v>68.55</v>
      </c>
      <c r="G101" s="445">
        <f>E101*F101</f>
        <v>7148.0328786</v>
      </c>
      <c r="H101" s="496">
        <f t="shared" si="3"/>
        <v>0.24070953713676849</v>
      </c>
      <c r="I101" s="496">
        <f t="shared" si="5"/>
        <v>81.026428201480641</v>
      </c>
      <c r="J101" s="443" t="str">
        <f t="shared" si="4"/>
        <v>B</v>
      </c>
    </row>
    <row r="102" spans="1:10" s="220" customFormat="1" ht="14.25">
      <c r="A102" s="446" t="s">
        <v>3268</v>
      </c>
      <c r="B102" s="446" t="s">
        <v>158</v>
      </c>
      <c r="C102" s="447" t="s">
        <v>3390</v>
      </c>
      <c r="D102" s="446" t="s">
        <v>139</v>
      </c>
      <c r="E102" s="448">
        <v>32.229999999999997</v>
      </c>
      <c r="F102" s="448">
        <v>221.24</v>
      </c>
      <c r="G102" s="445">
        <f>E102*F102</f>
        <v>7130.5652</v>
      </c>
      <c r="H102" s="496">
        <f t="shared" si="3"/>
        <v>0.24012131420857691</v>
      </c>
      <c r="I102" s="496">
        <f t="shared" si="5"/>
        <v>81.266549515689221</v>
      </c>
      <c r="J102" s="443" t="str">
        <f t="shared" si="4"/>
        <v>B</v>
      </c>
    </row>
    <row r="103" spans="1:10" s="220" customFormat="1" ht="14.25">
      <c r="A103" s="446" t="s">
        <v>3693</v>
      </c>
      <c r="B103" s="446" t="s">
        <v>158</v>
      </c>
      <c r="C103" s="447" t="s">
        <v>3750</v>
      </c>
      <c r="D103" s="446" t="s">
        <v>173</v>
      </c>
      <c r="E103" s="448">
        <v>134.72139999999999</v>
      </c>
      <c r="F103" s="448">
        <v>52.1</v>
      </c>
      <c r="G103" s="445">
        <f>E103*F103</f>
        <v>7018.9849399999994</v>
      </c>
      <c r="H103" s="496">
        <f t="shared" si="3"/>
        <v>0.23636385629052367</v>
      </c>
      <c r="I103" s="496">
        <f t="shared" si="5"/>
        <v>81.502913371979744</v>
      </c>
      <c r="J103" s="443" t="str">
        <f t="shared" si="4"/>
        <v>B</v>
      </c>
    </row>
    <row r="104" spans="1:10" s="220" customFormat="1" ht="28.5">
      <c r="A104" s="446" t="s">
        <v>678</v>
      </c>
      <c r="B104" s="446" t="s">
        <v>3006</v>
      </c>
      <c r="C104" s="447" t="s">
        <v>3038</v>
      </c>
      <c r="D104" s="446" t="s">
        <v>173</v>
      </c>
      <c r="E104" s="448">
        <v>66.502799999999993</v>
      </c>
      <c r="F104" s="448">
        <v>104.99</v>
      </c>
      <c r="G104" s="445">
        <f>E104*F104</f>
        <v>6982.1289719999986</v>
      </c>
      <c r="H104" s="496">
        <f t="shared" si="3"/>
        <v>0.2351227339917486</v>
      </c>
      <c r="I104" s="496">
        <f t="shared" si="5"/>
        <v>81.738036105971489</v>
      </c>
      <c r="J104" s="443" t="str">
        <f t="shared" si="4"/>
        <v>B</v>
      </c>
    </row>
    <row r="105" spans="1:10" s="220" customFormat="1" ht="28.5">
      <c r="A105" s="446" t="s">
        <v>1026</v>
      </c>
      <c r="B105" s="446" t="s">
        <v>119</v>
      </c>
      <c r="C105" s="447" t="s">
        <v>1027</v>
      </c>
      <c r="D105" s="446" t="s">
        <v>173</v>
      </c>
      <c r="E105" s="448">
        <v>32</v>
      </c>
      <c r="F105" s="448">
        <v>209.3</v>
      </c>
      <c r="G105" s="445">
        <f>E105*F105</f>
        <v>6697.6</v>
      </c>
      <c r="H105" s="496">
        <f t="shared" si="3"/>
        <v>0.22554123957009251</v>
      </c>
      <c r="I105" s="496">
        <f t="shared" si="5"/>
        <v>81.96357734554158</v>
      </c>
      <c r="J105" s="443" t="str">
        <f t="shared" si="4"/>
        <v>B</v>
      </c>
    </row>
    <row r="106" spans="1:10" s="220" customFormat="1" ht="14.25">
      <c r="A106" s="446" t="s">
        <v>3527</v>
      </c>
      <c r="B106" s="446" t="s">
        <v>3832</v>
      </c>
      <c r="C106" s="447" t="s">
        <v>3528</v>
      </c>
      <c r="D106" s="446" t="s">
        <v>144</v>
      </c>
      <c r="E106" s="448">
        <v>24</v>
      </c>
      <c r="F106" s="448">
        <v>278.60000000000002</v>
      </c>
      <c r="G106" s="445">
        <f>E106*F106</f>
        <v>6686.4000000000005</v>
      </c>
      <c r="H106" s="496">
        <f t="shared" si="3"/>
        <v>0.22516408030659738</v>
      </c>
      <c r="I106" s="496">
        <f t="shared" si="5"/>
        <v>82.188741425848178</v>
      </c>
      <c r="J106" s="443" t="str">
        <f t="shared" si="4"/>
        <v>B</v>
      </c>
    </row>
    <row r="107" spans="1:10" s="220" customFormat="1" ht="14.25">
      <c r="A107" s="446" t="s">
        <v>2978</v>
      </c>
      <c r="B107" s="446" t="s">
        <v>119</v>
      </c>
      <c r="C107" s="447" t="s">
        <v>2979</v>
      </c>
      <c r="D107" s="446" t="s">
        <v>173</v>
      </c>
      <c r="E107" s="448">
        <v>18.942</v>
      </c>
      <c r="F107" s="448">
        <v>342.53</v>
      </c>
      <c r="G107" s="445">
        <f>E107*F107</f>
        <v>6488.2032599999993</v>
      </c>
      <c r="H107" s="496">
        <f t="shared" si="3"/>
        <v>0.21848981812038865</v>
      </c>
      <c r="I107" s="496">
        <f t="shared" si="5"/>
        <v>82.407231243968567</v>
      </c>
      <c r="J107" s="443" t="str">
        <f t="shared" si="4"/>
        <v>B</v>
      </c>
    </row>
    <row r="108" spans="1:10" s="220" customFormat="1" ht="28.5">
      <c r="A108" s="446" t="s">
        <v>1808</v>
      </c>
      <c r="B108" s="446" t="s">
        <v>119</v>
      </c>
      <c r="C108" s="447" t="s">
        <v>1809</v>
      </c>
      <c r="D108" s="446" t="s">
        <v>173</v>
      </c>
      <c r="E108" s="448">
        <v>74.989583999999994</v>
      </c>
      <c r="F108" s="448">
        <v>85.27</v>
      </c>
      <c r="G108" s="445">
        <f>E108*F108</f>
        <v>6394.3618276799989</v>
      </c>
      <c r="H108" s="496">
        <f t="shared" si="3"/>
        <v>0.21532971405796544</v>
      </c>
      <c r="I108" s="496">
        <f t="shared" si="5"/>
        <v>82.62256095802654</v>
      </c>
      <c r="J108" s="443" t="str">
        <f t="shared" si="4"/>
        <v>B</v>
      </c>
    </row>
    <row r="109" spans="1:10" s="220" customFormat="1" ht="28.5">
      <c r="A109" s="446" t="s">
        <v>1103</v>
      </c>
      <c r="B109" s="446" t="s">
        <v>158</v>
      </c>
      <c r="C109" s="447" t="s">
        <v>3040</v>
      </c>
      <c r="D109" s="446" t="s">
        <v>144</v>
      </c>
      <c r="E109" s="448">
        <v>25</v>
      </c>
      <c r="F109" s="448">
        <v>250</v>
      </c>
      <c r="G109" s="445">
        <f>E109*F109</f>
        <v>6250</v>
      </c>
      <c r="H109" s="496">
        <f t="shared" si="3"/>
        <v>0.21046833900398323</v>
      </c>
      <c r="I109" s="496">
        <f t="shared" si="5"/>
        <v>82.833029297030521</v>
      </c>
      <c r="J109" s="443" t="str">
        <f t="shared" si="4"/>
        <v>B</v>
      </c>
    </row>
    <row r="110" spans="1:10" s="220" customFormat="1" ht="14.25">
      <c r="A110" s="446" t="s">
        <v>3041</v>
      </c>
      <c r="B110" s="446" t="s">
        <v>3006</v>
      </c>
      <c r="C110" s="447" t="s">
        <v>1959</v>
      </c>
      <c r="D110" s="446" t="s">
        <v>144</v>
      </c>
      <c r="E110" s="448">
        <v>4</v>
      </c>
      <c r="F110" s="448">
        <v>1547.48</v>
      </c>
      <c r="G110" s="445">
        <f>E110*F110</f>
        <v>6189.92</v>
      </c>
      <c r="H110" s="496">
        <f t="shared" si="3"/>
        <v>0.20844514895480576</v>
      </c>
      <c r="I110" s="496">
        <f t="shared" si="5"/>
        <v>83.04147444598533</v>
      </c>
      <c r="J110" s="443" t="str">
        <f t="shared" si="4"/>
        <v>B</v>
      </c>
    </row>
    <row r="111" spans="1:10" s="220" customFormat="1" ht="14.25">
      <c r="A111" s="446" t="s">
        <v>1311</v>
      </c>
      <c r="B111" s="446" t="s">
        <v>119</v>
      </c>
      <c r="C111" s="447" t="s">
        <v>1312</v>
      </c>
      <c r="D111" s="446" t="s">
        <v>173</v>
      </c>
      <c r="E111" s="448">
        <v>1111.46</v>
      </c>
      <c r="F111" s="448">
        <v>5.55</v>
      </c>
      <c r="G111" s="445">
        <f>E111*F111</f>
        <v>6168.6030000000001</v>
      </c>
      <c r="H111" s="496">
        <f t="shared" si="3"/>
        <v>0.20772730038159812</v>
      </c>
      <c r="I111" s="496">
        <f t="shared" si="5"/>
        <v>83.249201746366921</v>
      </c>
      <c r="J111" s="443" t="str">
        <f t="shared" si="4"/>
        <v>B</v>
      </c>
    </row>
    <row r="112" spans="1:10" s="220" customFormat="1" ht="14.25">
      <c r="A112" s="446" t="s">
        <v>2338</v>
      </c>
      <c r="B112" s="446" t="s">
        <v>119</v>
      </c>
      <c r="C112" s="447" t="s">
        <v>2339</v>
      </c>
      <c r="D112" s="446" t="s">
        <v>144</v>
      </c>
      <c r="E112" s="448">
        <v>1</v>
      </c>
      <c r="F112" s="448">
        <v>6145.88</v>
      </c>
      <c r="G112" s="445">
        <f>E112*F112</f>
        <v>6145.88</v>
      </c>
      <c r="H112" s="496">
        <f t="shared" si="3"/>
        <v>0.20696210485084809</v>
      </c>
      <c r="I112" s="496">
        <f t="shared" si="5"/>
        <v>83.456163851217767</v>
      </c>
      <c r="J112" s="443" t="str">
        <f t="shared" si="4"/>
        <v>B</v>
      </c>
    </row>
    <row r="113" spans="1:10" s="220" customFormat="1" ht="14.25">
      <c r="A113" s="446" t="s">
        <v>1556</v>
      </c>
      <c r="B113" s="446" t="s">
        <v>119</v>
      </c>
      <c r="C113" s="447" t="s">
        <v>1557</v>
      </c>
      <c r="D113" s="446" t="s">
        <v>173</v>
      </c>
      <c r="E113" s="448">
        <v>453.46552000000003</v>
      </c>
      <c r="F113" s="448">
        <v>13.3</v>
      </c>
      <c r="G113" s="445">
        <f>E113*F113</f>
        <v>6031.0914160000011</v>
      </c>
      <c r="H113" s="496">
        <f t="shared" si="3"/>
        <v>0.20309660683307224</v>
      </c>
      <c r="I113" s="496">
        <f t="shared" si="5"/>
        <v>83.659260458050838</v>
      </c>
      <c r="J113" s="443" t="str">
        <f t="shared" si="4"/>
        <v>B</v>
      </c>
    </row>
    <row r="114" spans="1:10" s="220" customFormat="1" ht="28.5">
      <c r="A114" s="446" t="s">
        <v>1095</v>
      </c>
      <c r="B114" s="446" t="s">
        <v>3006</v>
      </c>
      <c r="C114" s="447" t="s">
        <v>3051</v>
      </c>
      <c r="D114" s="446" t="s">
        <v>200</v>
      </c>
      <c r="E114" s="448">
        <v>126.408438</v>
      </c>
      <c r="F114" s="448">
        <v>44.96</v>
      </c>
      <c r="G114" s="445">
        <f>E114*F114</f>
        <v>5683.3233724800002</v>
      </c>
      <c r="H114" s="496">
        <f t="shared" si="3"/>
        <v>0.19138554083654111</v>
      </c>
      <c r="I114" s="496">
        <f t="shared" si="5"/>
        <v>83.850645998887373</v>
      </c>
      <c r="J114" s="443" t="str">
        <f t="shared" si="4"/>
        <v>B</v>
      </c>
    </row>
    <row r="115" spans="1:10" s="220" customFormat="1" ht="14.25">
      <c r="A115" s="446" t="s">
        <v>1583</v>
      </c>
      <c r="B115" s="446" t="s">
        <v>119</v>
      </c>
      <c r="C115" s="447" t="s">
        <v>1584</v>
      </c>
      <c r="D115" s="446" t="s">
        <v>139</v>
      </c>
      <c r="E115" s="448">
        <v>109.79430000000001</v>
      </c>
      <c r="F115" s="448">
        <v>51.7</v>
      </c>
      <c r="G115" s="445">
        <f>E115*F115</f>
        <v>5676.365310000001</v>
      </c>
      <c r="H115" s="496">
        <f t="shared" si="3"/>
        <v>0.1911512285400849</v>
      </c>
      <c r="I115" s="496">
        <f t="shared" si="5"/>
        <v>84.041797227427452</v>
      </c>
      <c r="J115" s="443" t="str">
        <f t="shared" si="4"/>
        <v>B</v>
      </c>
    </row>
    <row r="116" spans="1:10" s="220" customFormat="1" ht="14.25">
      <c r="A116" s="446" t="s">
        <v>2183</v>
      </c>
      <c r="B116" s="446" t="s">
        <v>119</v>
      </c>
      <c r="C116" s="447" t="s">
        <v>2184</v>
      </c>
      <c r="D116" s="446" t="s">
        <v>200</v>
      </c>
      <c r="E116" s="448">
        <v>803.66631800000005</v>
      </c>
      <c r="F116" s="448">
        <v>6.85</v>
      </c>
      <c r="G116" s="445">
        <f>E116*F116</f>
        <v>5505.1142783000005</v>
      </c>
      <c r="H116" s="496">
        <f t="shared" si="3"/>
        <v>0.18538436130894609</v>
      </c>
      <c r="I116" s="496">
        <f t="shared" si="5"/>
        <v>84.2271815887364</v>
      </c>
      <c r="J116" s="443" t="str">
        <f t="shared" si="4"/>
        <v>B</v>
      </c>
    </row>
    <row r="117" spans="1:10" s="220" customFormat="1" ht="14.25">
      <c r="A117" s="446" t="s">
        <v>945</v>
      </c>
      <c r="B117" s="446" t="s">
        <v>3006</v>
      </c>
      <c r="C117" s="447" t="s">
        <v>946</v>
      </c>
      <c r="D117" s="446" t="s">
        <v>144</v>
      </c>
      <c r="E117" s="448">
        <v>1</v>
      </c>
      <c r="F117" s="448">
        <v>5454.61</v>
      </c>
      <c r="G117" s="445">
        <f>E117*F117</f>
        <v>5454.61</v>
      </c>
      <c r="H117" s="496">
        <f t="shared" si="3"/>
        <v>0.18368363305832272</v>
      </c>
      <c r="I117" s="496">
        <f t="shared" si="5"/>
        <v>84.410865221794722</v>
      </c>
      <c r="J117" s="443" t="str">
        <f t="shared" si="4"/>
        <v>B</v>
      </c>
    </row>
    <row r="118" spans="1:10" s="220" customFormat="1" ht="14.25">
      <c r="A118" s="446" t="s">
        <v>3046</v>
      </c>
      <c r="B118" s="446" t="s">
        <v>119</v>
      </c>
      <c r="C118" s="447" t="s">
        <v>3047</v>
      </c>
      <c r="D118" s="446" t="s">
        <v>167</v>
      </c>
      <c r="E118" s="448">
        <v>25.789898347726002</v>
      </c>
      <c r="F118" s="448">
        <v>207.68</v>
      </c>
      <c r="G118" s="445">
        <f>E118*F118</f>
        <v>5356.0460888557363</v>
      </c>
      <c r="H118" s="496">
        <f t="shared" si="3"/>
        <v>0.18036449983203964</v>
      </c>
      <c r="I118" s="496">
        <f t="shared" si="5"/>
        <v>84.59122972162676</v>
      </c>
      <c r="J118" s="443" t="str">
        <f t="shared" si="4"/>
        <v>B</v>
      </c>
    </row>
    <row r="119" spans="1:10" s="220" customFormat="1" ht="14.25">
      <c r="A119" s="446" t="s">
        <v>1466</v>
      </c>
      <c r="B119" s="446" t="s">
        <v>119</v>
      </c>
      <c r="C119" s="447" t="s">
        <v>1467</v>
      </c>
      <c r="D119" s="446" t="s">
        <v>139</v>
      </c>
      <c r="E119" s="448">
        <v>572.72299999999996</v>
      </c>
      <c r="F119" s="448">
        <v>9.11</v>
      </c>
      <c r="G119" s="445">
        <f>E119*F119</f>
        <v>5217.5065299999997</v>
      </c>
      <c r="H119" s="496">
        <f t="shared" si="3"/>
        <v>0.17569918929784581</v>
      </c>
      <c r="I119" s="496">
        <f t="shared" si="5"/>
        <v>84.766928910924605</v>
      </c>
      <c r="J119" s="443" t="str">
        <f t="shared" si="4"/>
        <v>B</v>
      </c>
    </row>
    <row r="120" spans="1:10" s="220" customFormat="1" ht="14.25">
      <c r="A120" s="446" t="s">
        <v>937</v>
      </c>
      <c r="B120" s="446" t="s">
        <v>3006</v>
      </c>
      <c r="C120" s="447" t="s">
        <v>938</v>
      </c>
      <c r="D120" s="446" t="s">
        <v>144</v>
      </c>
      <c r="E120" s="448">
        <v>1</v>
      </c>
      <c r="F120" s="448">
        <v>5098.51</v>
      </c>
      <c r="G120" s="445">
        <f>E120*F120</f>
        <v>5098.51</v>
      </c>
      <c r="H120" s="496">
        <f t="shared" si="3"/>
        <v>0.17169198897523177</v>
      </c>
      <c r="I120" s="496">
        <f t="shared" si="5"/>
        <v>84.938620899899831</v>
      </c>
      <c r="J120" s="443" t="str">
        <f t="shared" si="4"/>
        <v>B</v>
      </c>
    </row>
    <row r="121" spans="1:10" s="220" customFormat="1" ht="28.5">
      <c r="A121" s="446" t="s">
        <v>1185</v>
      </c>
      <c r="B121" s="446" t="s">
        <v>3006</v>
      </c>
      <c r="C121" s="447" t="s">
        <v>3045</v>
      </c>
      <c r="D121" s="446" t="s">
        <v>139</v>
      </c>
      <c r="E121" s="448">
        <v>4.32</v>
      </c>
      <c r="F121" s="448">
        <v>1160.79</v>
      </c>
      <c r="G121" s="445">
        <f>E121*F121</f>
        <v>5014.6127999999999</v>
      </c>
      <c r="H121" s="496">
        <f t="shared" si="3"/>
        <v>0.16886675628225817</v>
      </c>
      <c r="I121" s="496">
        <f t="shared" si="5"/>
        <v>85.107487656182087</v>
      </c>
      <c r="J121" s="443" t="str">
        <f t="shared" si="4"/>
        <v>B</v>
      </c>
    </row>
    <row r="122" spans="1:10" s="220" customFormat="1" ht="14.25">
      <c r="A122" s="446" t="s">
        <v>3334</v>
      </c>
      <c r="B122" s="446" t="s">
        <v>3006</v>
      </c>
      <c r="C122" s="447" t="s">
        <v>3335</v>
      </c>
      <c r="D122" s="446" t="s">
        <v>167</v>
      </c>
      <c r="E122" s="448">
        <v>11.29138</v>
      </c>
      <c r="F122" s="448">
        <v>435.43</v>
      </c>
      <c r="G122" s="445">
        <f>E122*F122</f>
        <v>4916.6055934000005</v>
      </c>
      <c r="H122" s="496">
        <f t="shared" si="3"/>
        <v>0.16556637004489463</v>
      </c>
      <c r="I122" s="496">
        <f t="shared" si="5"/>
        <v>85.273054026226987</v>
      </c>
      <c r="J122" s="443" t="str">
        <f t="shared" si="4"/>
        <v>B</v>
      </c>
    </row>
    <row r="123" spans="1:10" s="220" customFormat="1" ht="14.25">
      <c r="A123" s="446" t="s">
        <v>3995</v>
      </c>
      <c r="B123" s="446" t="s">
        <v>119</v>
      </c>
      <c r="C123" s="447" t="s">
        <v>3996</v>
      </c>
      <c r="D123" s="446" t="s">
        <v>173</v>
      </c>
      <c r="E123" s="448">
        <v>60.396000000000001</v>
      </c>
      <c r="F123" s="448">
        <v>80.209999999999994</v>
      </c>
      <c r="G123" s="445">
        <f>E123*F123</f>
        <v>4844.3631599999999</v>
      </c>
      <c r="H123" s="496">
        <f t="shared" si="3"/>
        <v>0.163133610850766</v>
      </c>
      <c r="I123" s="496">
        <f t="shared" si="5"/>
        <v>85.436187637077751</v>
      </c>
      <c r="J123" s="443" t="str">
        <f t="shared" si="4"/>
        <v>B</v>
      </c>
    </row>
    <row r="124" spans="1:10" s="220" customFormat="1" ht="28.5">
      <c r="A124" s="446" t="s">
        <v>1149</v>
      </c>
      <c r="B124" s="446" t="s">
        <v>3006</v>
      </c>
      <c r="C124" s="447" t="s">
        <v>3036</v>
      </c>
      <c r="D124" s="446" t="s">
        <v>139</v>
      </c>
      <c r="E124" s="448">
        <v>5.5</v>
      </c>
      <c r="F124" s="448">
        <v>878.93</v>
      </c>
      <c r="G124" s="445">
        <f>E124*F124</f>
        <v>4834.1149999999998</v>
      </c>
      <c r="H124" s="496">
        <f t="shared" si="3"/>
        <v>0.16278850473667847</v>
      </c>
      <c r="I124" s="496">
        <f t="shared" si="5"/>
        <v>85.598976141814433</v>
      </c>
      <c r="J124" s="443" t="str">
        <f t="shared" si="4"/>
        <v>B</v>
      </c>
    </row>
    <row r="125" spans="1:10" s="220" customFormat="1" ht="28.5">
      <c r="A125" s="446" t="s">
        <v>1319</v>
      </c>
      <c r="B125" s="446" t="s">
        <v>119</v>
      </c>
      <c r="C125" s="447" t="s">
        <v>1320</v>
      </c>
      <c r="D125" s="446" t="s">
        <v>139</v>
      </c>
      <c r="E125" s="448">
        <v>12</v>
      </c>
      <c r="F125" s="448">
        <v>400</v>
      </c>
      <c r="G125" s="445">
        <f>E125*F125</f>
        <v>4800</v>
      </c>
      <c r="H125" s="496">
        <f t="shared" si="3"/>
        <v>0.16163968435505913</v>
      </c>
      <c r="I125" s="496">
        <f t="shared" si="5"/>
        <v>85.760615826169499</v>
      </c>
      <c r="J125" s="443" t="str">
        <f t="shared" si="4"/>
        <v>B</v>
      </c>
    </row>
    <row r="126" spans="1:10" s="220" customFormat="1" ht="14.25">
      <c r="A126" s="446" t="s">
        <v>3353</v>
      </c>
      <c r="B126" s="446" t="s">
        <v>158</v>
      </c>
      <c r="C126" s="447" t="s">
        <v>3391</v>
      </c>
      <c r="D126" s="446" t="s">
        <v>144</v>
      </c>
      <c r="E126" s="448">
        <v>6</v>
      </c>
      <c r="F126" s="448">
        <v>794.09</v>
      </c>
      <c r="G126" s="445">
        <f>E126*F126</f>
        <v>4764.54</v>
      </c>
      <c r="H126" s="496">
        <f t="shared" si="3"/>
        <v>0.16044557118688613</v>
      </c>
      <c r="I126" s="496">
        <f t="shared" si="5"/>
        <v>85.921061397356382</v>
      </c>
      <c r="J126" s="443" t="str">
        <f t="shared" si="4"/>
        <v>B</v>
      </c>
    </row>
    <row r="127" spans="1:10" s="220" customFormat="1" ht="14.25">
      <c r="A127" s="446" t="s">
        <v>2783</v>
      </c>
      <c r="B127" s="446" t="s">
        <v>2785</v>
      </c>
      <c r="C127" s="447" t="s">
        <v>2784</v>
      </c>
      <c r="D127" s="446" t="s">
        <v>144</v>
      </c>
      <c r="E127" s="448">
        <v>5</v>
      </c>
      <c r="F127" s="448">
        <v>950</v>
      </c>
      <c r="G127" s="445">
        <f>E127*F127</f>
        <v>4750</v>
      </c>
      <c r="H127" s="496">
        <f t="shared" si="3"/>
        <v>0.15995593764302726</v>
      </c>
      <c r="I127" s="496">
        <f t="shared" si="5"/>
        <v>86.081017334999416</v>
      </c>
      <c r="J127" s="443" t="str">
        <f t="shared" si="4"/>
        <v>B</v>
      </c>
    </row>
    <row r="128" spans="1:10" s="220" customFormat="1" ht="28.5">
      <c r="A128" s="446" t="s">
        <v>694</v>
      </c>
      <c r="B128" s="446" t="s">
        <v>3006</v>
      </c>
      <c r="C128" s="447" t="s">
        <v>3048</v>
      </c>
      <c r="D128" s="446" t="s">
        <v>200</v>
      </c>
      <c r="E128" s="448">
        <v>40</v>
      </c>
      <c r="F128" s="448">
        <v>118.06</v>
      </c>
      <c r="G128" s="445">
        <f>E128*F128</f>
        <v>4722.3999999999996</v>
      </c>
      <c r="H128" s="496">
        <f t="shared" si="3"/>
        <v>0.15902650945798566</v>
      </c>
      <c r="I128" s="496">
        <f t="shared" si="5"/>
        <v>86.240043844457404</v>
      </c>
      <c r="J128" s="443" t="str">
        <f t="shared" si="4"/>
        <v>B</v>
      </c>
    </row>
    <row r="129" spans="1:10" s="220" customFormat="1" ht="28.5">
      <c r="A129" s="446" t="s">
        <v>3049</v>
      </c>
      <c r="B129" s="446" t="s">
        <v>158</v>
      </c>
      <c r="C129" s="447" t="s">
        <v>2250</v>
      </c>
      <c r="D129" s="446" t="s">
        <v>144</v>
      </c>
      <c r="E129" s="448">
        <v>3</v>
      </c>
      <c r="F129" s="448">
        <v>1545.12</v>
      </c>
      <c r="G129" s="445">
        <f>E129*F129</f>
        <v>4635.3599999999997</v>
      </c>
      <c r="H129" s="496">
        <f t="shared" si="3"/>
        <v>0.15609544318168059</v>
      </c>
      <c r="I129" s="496">
        <f t="shared" si="5"/>
        <v>86.396139287639087</v>
      </c>
      <c r="J129" s="443" t="str">
        <f t="shared" si="4"/>
        <v>B</v>
      </c>
    </row>
    <row r="130" spans="1:10" s="220" customFormat="1" ht="14.25">
      <c r="A130" s="446" t="s">
        <v>2178</v>
      </c>
      <c r="B130" s="446" t="s">
        <v>3832</v>
      </c>
      <c r="C130" s="447" t="s">
        <v>3058</v>
      </c>
      <c r="D130" s="446" t="s">
        <v>144</v>
      </c>
      <c r="E130" s="448">
        <v>5</v>
      </c>
      <c r="F130" s="448">
        <v>926.91</v>
      </c>
      <c r="G130" s="445">
        <f>E130*F130</f>
        <v>4634.55</v>
      </c>
      <c r="H130" s="496">
        <f t="shared" si="3"/>
        <v>0.15606816648494568</v>
      </c>
      <c r="I130" s="496">
        <f t="shared" si="5"/>
        <v>86.55220745412403</v>
      </c>
      <c r="J130" s="443" t="str">
        <f t="shared" si="4"/>
        <v>B</v>
      </c>
    </row>
    <row r="131" spans="1:10" s="220" customFormat="1" ht="28.5">
      <c r="A131" s="446" t="s">
        <v>2947</v>
      </c>
      <c r="B131" s="446" t="s">
        <v>119</v>
      </c>
      <c r="C131" s="447" t="s">
        <v>2948</v>
      </c>
      <c r="D131" s="446" t="s">
        <v>139</v>
      </c>
      <c r="E131" s="448">
        <v>113.3</v>
      </c>
      <c r="F131" s="448">
        <v>39.61</v>
      </c>
      <c r="G131" s="445">
        <f>E131*F131</f>
        <v>4487.8130000000001</v>
      </c>
      <c r="H131" s="496">
        <f t="shared" si="3"/>
        <v>0.15112680765927727</v>
      </c>
      <c r="I131" s="496">
        <f t="shared" si="5"/>
        <v>86.703334261783311</v>
      </c>
      <c r="J131" s="443" t="str">
        <f t="shared" si="4"/>
        <v>B</v>
      </c>
    </row>
    <row r="132" spans="1:10" s="220" customFormat="1" ht="14.25">
      <c r="A132" s="446" t="s">
        <v>2729</v>
      </c>
      <c r="B132" s="446" t="s">
        <v>158</v>
      </c>
      <c r="C132" s="447" t="s">
        <v>3052</v>
      </c>
      <c r="D132" s="446" t="s">
        <v>144</v>
      </c>
      <c r="E132" s="448">
        <v>1</v>
      </c>
      <c r="F132" s="448">
        <v>4481.34</v>
      </c>
      <c r="G132" s="445">
        <f>E132*F132</f>
        <v>4481.34</v>
      </c>
      <c r="H132" s="496">
        <f t="shared" si="3"/>
        <v>0.15090882980993764</v>
      </c>
      <c r="I132" s="496">
        <f t="shared" si="5"/>
        <v>86.854243091593247</v>
      </c>
      <c r="J132" s="443" t="str">
        <f t="shared" si="4"/>
        <v>B</v>
      </c>
    </row>
    <row r="133" spans="1:10" s="220" customFormat="1" ht="14.25">
      <c r="A133" s="446" t="s">
        <v>1511</v>
      </c>
      <c r="B133" s="446" t="s">
        <v>119</v>
      </c>
      <c r="C133" s="447" t="s">
        <v>1512</v>
      </c>
      <c r="D133" s="446" t="s">
        <v>173</v>
      </c>
      <c r="E133" s="448">
        <v>193.72499999999999</v>
      </c>
      <c r="F133" s="448">
        <v>22.75</v>
      </c>
      <c r="G133" s="445">
        <f>E133*F133</f>
        <v>4407.2437499999996</v>
      </c>
      <c r="H133" s="496">
        <f t="shared" si="3"/>
        <v>0.1484136434637098</v>
      </c>
      <c r="I133" s="496">
        <f t="shared" si="5"/>
        <v>87.002656735056959</v>
      </c>
      <c r="J133" s="443" t="str">
        <f t="shared" si="4"/>
        <v>B</v>
      </c>
    </row>
    <row r="134" spans="1:10" s="220" customFormat="1" ht="28.5">
      <c r="A134" s="446" t="s">
        <v>2815</v>
      </c>
      <c r="B134" s="446" t="s">
        <v>3006</v>
      </c>
      <c r="C134" s="447" t="s">
        <v>3059</v>
      </c>
      <c r="D134" s="446" t="s">
        <v>173</v>
      </c>
      <c r="E134" s="448">
        <v>5.32</v>
      </c>
      <c r="F134" s="448">
        <v>824.95</v>
      </c>
      <c r="G134" s="445">
        <f>E134*F134</f>
        <v>4388.7340000000004</v>
      </c>
      <c r="H134" s="496">
        <f t="shared" si="3"/>
        <v>0.14779032884964918</v>
      </c>
      <c r="I134" s="496">
        <f t="shared" si="5"/>
        <v>87.150447063906611</v>
      </c>
      <c r="J134" s="443" t="str">
        <f t="shared" si="4"/>
        <v>B</v>
      </c>
    </row>
    <row r="135" spans="1:10" s="220" customFormat="1" ht="14.25">
      <c r="A135" s="446" t="s">
        <v>4173</v>
      </c>
      <c r="B135" s="446" t="s">
        <v>3832</v>
      </c>
      <c r="C135" s="447" t="s">
        <v>4130</v>
      </c>
      <c r="D135" s="446" t="s">
        <v>144</v>
      </c>
      <c r="E135" s="448">
        <v>7</v>
      </c>
      <c r="F135" s="448">
        <v>622.94000000000005</v>
      </c>
      <c r="G135" s="445">
        <f>E135*F135</f>
        <v>4360.58</v>
      </c>
      <c r="H135" s="496">
        <f t="shared" si="3"/>
        <v>0.14684224475103827</v>
      </c>
      <c r="I135" s="496">
        <f t="shared" si="5"/>
        <v>87.297289308657653</v>
      </c>
      <c r="J135" s="443" t="str">
        <f t="shared" si="4"/>
        <v>B</v>
      </c>
    </row>
    <row r="136" spans="1:10" s="220" customFormat="1" ht="28.5">
      <c r="A136" s="446" t="s">
        <v>3042</v>
      </c>
      <c r="B136" s="446" t="s">
        <v>158</v>
      </c>
      <c r="C136" s="447" t="s">
        <v>3043</v>
      </c>
      <c r="D136" s="446" t="s">
        <v>167</v>
      </c>
      <c r="E136" s="448">
        <v>8.5352662890000008</v>
      </c>
      <c r="F136" s="448">
        <v>503.81</v>
      </c>
      <c r="G136" s="445">
        <f>E136*F136</f>
        <v>4300.1525090610903</v>
      </c>
      <c r="H136" s="496">
        <f t="shared" si="3"/>
        <v>0.14480735296734379</v>
      </c>
      <c r="I136" s="496">
        <f t="shared" si="5"/>
        <v>87.442096661625001</v>
      </c>
      <c r="J136" s="443" t="str">
        <f t="shared" si="4"/>
        <v>B</v>
      </c>
    </row>
    <row r="137" spans="1:10" s="220" customFormat="1" ht="14.25">
      <c r="A137" s="446" t="s">
        <v>2110</v>
      </c>
      <c r="B137" s="446" t="s">
        <v>3832</v>
      </c>
      <c r="C137" s="447" t="s">
        <v>2801</v>
      </c>
      <c r="D137" s="446" t="s">
        <v>144</v>
      </c>
      <c r="E137" s="448">
        <v>4</v>
      </c>
      <c r="F137" s="448">
        <v>1073.43</v>
      </c>
      <c r="G137" s="445">
        <f>E137*F137</f>
        <v>4293.72</v>
      </c>
      <c r="H137" s="496">
        <f t="shared" ref="H137:H200" si="6">(G137*100)/SUM($G$8:$G$628)</f>
        <v>0.14459073864770927</v>
      </c>
      <c r="I137" s="496">
        <f t="shared" si="5"/>
        <v>87.586687400272709</v>
      </c>
      <c r="J137" s="443" t="str">
        <f t="shared" ref="J137:J200" si="7">IF(I137&lt;80,"A",IF(I137&lt;95,"B","C"))</f>
        <v>B</v>
      </c>
    </row>
    <row r="138" spans="1:10" s="220" customFormat="1" ht="28.5">
      <c r="A138" s="446" t="s">
        <v>1851</v>
      </c>
      <c r="B138" s="446" t="s">
        <v>3832</v>
      </c>
      <c r="C138" s="447" t="s">
        <v>1188</v>
      </c>
      <c r="D138" s="446" t="s">
        <v>144</v>
      </c>
      <c r="E138" s="448">
        <v>2</v>
      </c>
      <c r="F138" s="448">
        <v>2116.5</v>
      </c>
      <c r="G138" s="445">
        <f>E138*F138</f>
        <v>4233</v>
      </c>
      <c r="H138" s="496">
        <f t="shared" si="6"/>
        <v>0.14254599664061776</v>
      </c>
      <c r="I138" s="496">
        <f t="shared" ref="I138:I201" si="8">H138+I137</f>
        <v>87.72923339691333</v>
      </c>
      <c r="J138" s="443" t="str">
        <f t="shared" si="7"/>
        <v>B</v>
      </c>
    </row>
    <row r="139" spans="1:10" s="220" customFormat="1" ht="28.5">
      <c r="A139" s="446" t="s">
        <v>684</v>
      </c>
      <c r="B139" s="446" t="s">
        <v>3006</v>
      </c>
      <c r="C139" s="447" t="s">
        <v>3053</v>
      </c>
      <c r="D139" s="446" t="s">
        <v>173</v>
      </c>
      <c r="E139" s="448">
        <v>147.36750000000001</v>
      </c>
      <c r="F139" s="448">
        <v>28.64</v>
      </c>
      <c r="G139" s="445">
        <f>E139*F139</f>
        <v>4220.6052</v>
      </c>
      <c r="H139" s="496">
        <f t="shared" si="6"/>
        <v>0.14212860256569193</v>
      </c>
      <c r="I139" s="496">
        <f t="shared" si="8"/>
        <v>87.871361999479021</v>
      </c>
      <c r="J139" s="443" t="str">
        <f t="shared" si="7"/>
        <v>B</v>
      </c>
    </row>
    <row r="140" spans="1:10" s="220" customFormat="1" ht="28.5">
      <c r="A140" s="446" t="s">
        <v>2956</v>
      </c>
      <c r="B140" s="446" t="s">
        <v>158</v>
      </c>
      <c r="C140" s="447" t="s">
        <v>3055</v>
      </c>
      <c r="D140" s="446" t="s">
        <v>144</v>
      </c>
      <c r="E140" s="448">
        <v>2</v>
      </c>
      <c r="F140" s="448">
        <v>2093</v>
      </c>
      <c r="G140" s="445">
        <f>E140*F140</f>
        <v>4186</v>
      </c>
      <c r="H140" s="496">
        <f t="shared" si="6"/>
        <v>0.14096327473130782</v>
      </c>
      <c r="I140" s="496">
        <f t="shared" si="8"/>
        <v>88.012325274210326</v>
      </c>
      <c r="J140" s="443" t="str">
        <f t="shared" si="7"/>
        <v>B</v>
      </c>
    </row>
    <row r="141" spans="1:10" s="220" customFormat="1" ht="14.25">
      <c r="A141" s="446" t="s">
        <v>1568</v>
      </c>
      <c r="B141" s="446" t="s">
        <v>119</v>
      </c>
      <c r="C141" s="447" t="s">
        <v>1569</v>
      </c>
      <c r="D141" s="446" t="s">
        <v>200</v>
      </c>
      <c r="E141" s="448">
        <v>3261.4247519999999</v>
      </c>
      <c r="F141" s="448">
        <v>1.28</v>
      </c>
      <c r="G141" s="445">
        <f>E141*F141</f>
        <v>4174.6236825599999</v>
      </c>
      <c r="H141" s="496">
        <f t="shared" si="6"/>
        <v>0.1405801779896152</v>
      </c>
      <c r="I141" s="496">
        <f t="shared" si="8"/>
        <v>88.152905452199946</v>
      </c>
      <c r="J141" s="443" t="str">
        <f t="shared" si="7"/>
        <v>B</v>
      </c>
    </row>
    <row r="142" spans="1:10" s="220" customFormat="1" ht="28.5">
      <c r="A142" s="446" t="s">
        <v>1502</v>
      </c>
      <c r="B142" s="446" t="s">
        <v>119</v>
      </c>
      <c r="C142" s="447" t="s">
        <v>1503</v>
      </c>
      <c r="D142" s="446" t="s">
        <v>144</v>
      </c>
      <c r="E142" s="448">
        <v>216</v>
      </c>
      <c r="F142" s="448">
        <v>19.260000000000002</v>
      </c>
      <c r="G142" s="445">
        <f>E142*F142</f>
        <v>4160.1600000000008</v>
      </c>
      <c r="H142" s="496">
        <f t="shared" si="6"/>
        <v>0.14009311443052977</v>
      </c>
      <c r="I142" s="496">
        <f t="shared" si="8"/>
        <v>88.292998566630473</v>
      </c>
      <c r="J142" s="443" t="str">
        <f t="shared" si="7"/>
        <v>B</v>
      </c>
    </row>
    <row r="143" spans="1:10" s="220" customFormat="1" ht="14.25">
      <c r="A143" s="446" t="s">
        <v>1472</v>
      </c>
      <c r="B143" s="446" t="s">
        <v>119</v>
      </c>
      <c r="C143" s="447" t="s">
        <v>1473</v>
      </c>
      <c r="D143" s="446" t="s">
        <v>144</v>
      </c>
      <c r="E143" s="448">
        <v>6752.8406000000004</v>
      </c>
      <c r="F143" s="448">
        <v>0.61</v>
      </c>
      <c r="G143" s="445">
        <f>E143*F143</f>
        <v>4119.2327660000001</v>
      </c>
      <c r="H143" s="496">
        <f t="shared" si="6"/>
        <v>0.13871489251692856</v>
      </c>
      <c r="I143" s="496">
        <f t="shared" si="8"/>
        <v>88.431713459147403</v>
      </c>
      <c r="J143" s="443" t="str">
        <f t="shared" si="7"/>
        <v>B</v>
      </c>
    </row>
    <row r="144" spans="1:10" s="220" customFormat="1" ht="28.5">
      <c r="A144" s="446" t="s">
        <v>1800</v>
      </c>
      <c r="B144" s="446" t="s">
        <v>119</v>
      </c>
      <c r="C144" s="447" t="s">
        <v>1801</v>
      </c>
      <c r="D144" s="446" t="s">
        <v>173</v>
      </c>
      <c r="E144" s="448">
        <v>80.432046999999997</v>
      </c>
      <c r="F144" s="448">
        <v>50.54</v>
      </c>
      <c r="G144" s="445">
        <f>E144*F144</f>
        <v>4065.0356553799998</v>
      </c>
      <c r="H144" s="496">
        <f t="shared" si="6"/>
        <v>0.13688980838076753</v>
      </c>
      <c r="I144" s="496">
        <f t="shared" si="8"/>
        <v>88.568603267528175</v>
      </c>
      <c r="J144" s="443" t="str">
        <f t="shared" si="7"/>
        <v>B</v>
      </c>
    </row>
    <row r="145" spans="1:10" s="220" customFormat="1" ht="14.25">
      <c r="A145" s="446" t="s">
        <v>1217</v>
      </c>
      <c r="B145" s="446" t="s">
        <v>158</v>
      </c>
      <c r="C145" s="447" t="s">
        <v>3050</v>
      </c>
      <c r="D145" s="446" t="s">
        <v>173</v>
      </c>
      <c r="E145" s="448">
        <v>368.63819999999998</v>
      </c>
      <c r="F145" s="448">
        <v>11</v>
      </c>
      <c r="G145" s="445">
        <f>E145*F145</f>
        <v>4055.0201999999999</v>
      </c>
      <c r="H145" s="496">
        <f t="shared" si="6"/>
        <v>0.13655253857945598</v>
      </c>
      <c r="I145" s="496">
        <f t="shared" si="8"/>
        <v>88.705155806107626</v>
      </c>
      <c r="J145" s="443" t="str">
        <f t="shared" si="7"/>
        <v>B</v>
      </c>
    </row>
    <row r="146" spans="1:10" s="220" customFormat="1" ht="14.25">
      <c r="A146" s="446" t="s">
        <v>3648</v>
      </c>
      <c r="B146" s="446" t="s">
        <v>3006</v>
      </c>
      <c r="C146" s="447" t="s">
        <v>3649</v>
      </c>
      <c r="D146" s="446" t="s">
        <v>144</v>
      </c>
      <c r="E146" s="448">
        <v>92.700999999999993</v>
      </c>
      <c r="F146" s="448">
        <v>43.69</v>
      </c>
      <c r="G146" s="445">
        <f>E146*F146</f>
        <v>4050.1066899999996</v>
      </c>
      <c r="H146" s="496">
        <f t="shared" si="6"/>
        <v>0.13638707645331524</v>
      </c>
      <c r="I146" s="496">
        <f t="shared" si="8"/>
        <v>88.841542882560944</v>
      </c>
      <c r="J146" s="443" t="str">
        <f t="shared" si="7"/>
        <v>B</v>
      </c>
    </row>
    <row r="147" spans="1:10" s="220" customFormat="1" ht="14.25">
      <c r="A147" s="446" t="s">
        <v>1513</v>
      </c>
      <c r="B147" s="446" t="s">
        <v>119</v>
      </c>
      <c r="C147" s="447" t="s">
        <v>1514</v>
      </c>
      <c r="D147" s="446" t="s">
        <v>200</v>
      </c>
      <c r="E147" s="448">
        <v>18.656099999999999</v>
      </c>
      <c r="F147" s="448">
        <v>214.12</v>
      </c>
      <c r="G147" s="445">
        <f>E147*F147</f>
        <v>3994.6441319999999</v>
      </c>
      <c r="H147" s="496">
        <f t="shared" si="6"/>
        <v>0.13451937845984774</v>
      </c>
      <c r="I147" s="496">
        <f t="shared" si="8"/>
        <v>88.976062261020786</v>
      </c>
      <c r="J147" s="443" t="str">
        <f t="shared" si="7"/>
        <v>B</v>
      </c>
    </row>
    <row r="148" spans="1:10" s="220" customFormat="1" ht="14.25">
      <c r="A148" s="446" t="s">
        <v>3056</v>
      </c>
      <c r="B148" s="446" t="s">
        <v>119</v>
      </c>
      <c r="C148" s="447" t="s">
        <v>3057</v>
      </c>
      <c r="D148" s="446" t="s">
        <v>167</v>
      </c>
      <c r="E148" s="448">
        <v>17.340062224265999</v>
      </c>
      <c r="F148" s="448">
        <v>227.89</v>
      </c>
      <c r="G148" s="445">
        <f>E148*F148</f>
        <v>3951.6267802879784</v>
      </c>
      <c r="H148" s="496">
        <f t="shared" si="6"/>
        <v>0.13307077196973904</v>
      </c>
      <c r="I148" s="496">
        <f t="shared" si="8"/>
        <v>89.109133032990528</v>
      </c>
      <c r="J148" s="443" t="str">
        <f t="shared" si="7"/>
        <v>B</v>
      </c>
    </row>
    <row r="149" spans="1:10" s="220" customFormat="1" ht="14.25">
      <c r="A149" s="446" t="s">
        <v>2110</v>
      </c>
      <c r="B149" s="446" t="s">
        <v>3832</v>
      </c>
      <c r="C149" s="447" t="s">
        <v>2374</v>
      </c>
      <c r="D149" s="446" t="s">
        <v>139</v>
      </c>
      <c r="E149" s="448">
        <v>13.18</v>
      </c>
      <c r="F149" s="448">
        <v>299</v>
      </c>
      <c r="G149" s="445">
        <f>E149*F149</f>
        <v>3940.8199999999997</v>
      </c>
      <c r="H149" s="496">
        <f t="shared" si="6"/>
        <v>0.13270685435418836</v>
      </c>
      <c r="I149" s="496">
        <f t="shared" si="8"/>
        <v>89.24183988734471</v>
      </c>
      <c r="J149" s="443" t="str">
        <f t="shared" si="7"/>
        <v>B</v>
      </c>
    </row>
    <row r="150" spans="1:10" s="220" customFormat="1" ht="14.25">
      <c r="A150" s="446" t="s">
        <v>2111</v>
      </c>
      <c r="B150" s="446" t="s">
        <v>3832</v>
      </c>
      <c r="C150" s="447" t="s">
        <v>2378</v>
      </c>
      <c r="D150" s="446" t="s">
        <v>144</v>
      </c>
      <c r="E150" s="448">
        <v>3</v>
      </c>
      <c r="F150" s="448">
        <v>1299</v>
      </c>
      <c r="G150" s="445">
        <f>E150*F150</f>
        <v>3897</v>
      </c>
      <c r="H150" s="496">
        <f t="shared" si="6"/>
        <v>0.13123121873576363</v>
      </c>
      <c r="I150" s="496">
        <f t="shared" si="8"/>
        <v>89.373071106080474</v>
      </c>
      <c r="J150" s="443" t="str">
        <f t="shared" si="7"/>
        <v>B</v>
      </c>
    </row>
    <row r="151" spans="1:10" s="220" customFormat="1" ht="14.25">
      <c r="A151" s="446" t="s">
        <v>3400</v>
      </c>
      <c r="B151" s="446" t="s">
        <v>158</v>
      </c>
      <c r="C151" s="447" t="s">
        <v>3393</v>
      </c>
      <c r="D151" s="446" t="s">
        <v>167</v>
      </c>
      <c r="E151" s="448">
        <v>28.341083000000001</v>
      </c>
      <c r="F151" s="448">
        <v>136</v>
      </c>
      <c r="G151" s="445">
        <f>E151*F151</f>
        <v>3854.3872880000004</v>
      </c>
      <c r="H151" s="496">
        <f t="shared" si="6"/>
        <v>0.12979623846134844</v>
      </c>
      <c r="I151" s="496">
        <f t="shared" si="8"/>
        <v>89.502867344541826</v>
      </c>
      <c r="J151" s="443" t="str">
        <f t="shared" si="7"/>
        <v>B</v>
      </c>
    </row>
    <row r="152" spans="1:10" s="220" customFormat="1" ht="14.25">
      <c r="A152" s="446" t="s">
        <v>3604</v>
      </c>
      <c r="B152" s="446" t="s">
        <v>2785</v>
      </c>
      <c r="C152" s="447" t="s">
        <v>3605</v>
      </c>
      <c r="D152" s="446" t="s">
        <v>144</v>
      </c>
      <c r="E152" s="448">
        <v>10</v>
      </c>
      <c r="F152" s="448">
        <v>366</v>
      </c>
      <c r="G152" s="445">
        <f>E152*F152</f>
        <v>3660</v>
      </c>
      <c r="H152" s="496">
        <f t="shared" si="6"/>
        <v>0.12325025932073259</v>
      </c>
      <c r="I152" s="496">
        <f t="shared" si="8"/>
        <v>89.626117603862554</v>
      </c>
      <c r="J152" s="443" t="str">
        <f t="shared" si="7"/>
        <v>B</v>
      </c>
    </row>
    <row r="153" spans="1:10" s="220" customFormat="1" ht="14.25">
      <c r="A153" s="446" t="s">
        <v>648</v>
      </c>
      <c r="B153" s="446" t="s">
        <v>119</v>
      </c>
      <c r="C153" s="447" t="s">
        <v>649</v>
      </c>
      <c r="D153" s="446" t="s">
        <v>144</v>
      </c>
      <c r="E153" s="448">
        <v>1014.9905</v>
      </c>
      <c r="F153" s="448">
        <v>3.59</v>
      </c>
      <c r="G153" s="445">
        <f>E153*F153</f>
        <v>3643.8158949999997</v>
      </c>
      <c r="H153" s="496">
        <f t="shared" si="6"/>
        <v>0.12270526064911402</v>
      </c>
      <c r="I153" s="496">
        <f t="shared" si="8"/>
        <v>89.748822864511666</v>
      </c>
      <c r="J153" s="443" t="str">
        <f t="shared" si="7"/>
        <v>B</v>
      </c>
    </row>
    <row r="154" spans="1:10" s="220" customFormat="1" ht="28.5">
      <c r="A154" s="446" t="s">
        <v>1796</v>
      </c>
      <c r="B154" s="446" t="s">
        <v>119</v>
      </c>
      <c r="C154" s="447" t="s">
        <v>1797</v>
      </c>
      <c r="D154" s="446" t="s">
        <v>173</v>
      </c>
      <c r="E154" s="448">
        <v>109.339388</v>
      </c>
      <c r="F154" s="448">
        <v>32.86</v>
      </c>
      <c r="G154" s="445">
        <f>E154*F154</f>
        <v>3592.89228968</v>
      </c>
      <c r="H154" s="496">
        <f t="shared" si="6"/>
        <v>0.12099041158866684</v>
      </c>
      <c r="I154" s="496">
        <f t="shared" si="8"/>
        <v>89.869813276100331</v>
      </c>
      <c r="J154" s="443" t="str">
        <f t="shared" si="7"/>
        <v>B</v>
      </c>
    </row>
    <row r="155" spans="1:10" s="220" customFormat="1" ht="14.25">
      <c r="A155" s="446" t="s">
        <v>2850</v>
      </c>
      <c r="B155" s="446" t="s">
        <v>119</v>
      </c>
      <c r="C155" s="447" t="s">
        <v>2851</v>
      </c>
      <c r="D155" s="446" t="s">
        <v>173</v>
      </c>
      <c r="E155" s="448">
        <v>119.639268</v>
      </c>
      <c r="F155" s="448">
        <v>29.83</v>
      </c>
      <c r="G155" s="445">
        <f>E155*F155</f>
        <v>3568.8393644399998</v>
      </c>
      <c r="H155" s="496">
        <f t="shared" si="6"/>
        <v>0.12018043091291489</v>
      </c>
      <c r="I155" s="496">
        <f t="shared" si="8"/>
        <v>89.989993707013241</v>
      </c>
      <c r="J155" s="443" t="str">
        <f t="shared" si="7"/>
        <v>B</v>
      </c>
    </row>
    <row r="156" spans="1:10" s="220" customFormat="1" ht="14.25">
      <c r="A156" s="446" t="s">
        <v>2458</v>
      </c>
      <c r="B156" s="446" t="s">
        <v>119</v>
      </c>
      <c r="C156" s="447" t="s">
        <v>3829</v>
      </c>
      <c r="D156" s="446" t="s">
        <v>144</v>
      </c>
      <c r="E156" s="448">
        <v>38</v>
      </c>
      <c r="F156" s="448">
        <v>93.8</v>
      </c>
      <c r="G156" s="445">
        <f>E156*F156</f>
        <v>3564.4</v>
      </c>
      <c r="H156" s="496">
        <f t="shared" si="6"/>
        <v>0.12003093560732767</v>
      </c>
      <c r="I156" s="496">
        <f t="shared" si="8"/>
        <v>90.110024642620573</v>
      </c>
      <c r="J156" s="443" t="str">
        <f t="shared" si="7"/>
        <v>B</v>
      </c>
    </row>
    <row r="157" spans="1:10" s="220" customFormat="1" ht="14.25">
      <c r="A157" s="446" t="s">
        <v>3336</v>
      </c>
      <c r="B157" s="446" t="s">
        <v>3006</v>
      </c>
      <c r="C157" s="447" t="s">
        <v>3337</v>
      </c>
      <c r="D157" s="446" t="s">
        <v>139</v>
      </c>
      <c r="E157" s="448">
        <v>127.479</v>
      </c>
      <c r="F157" s="448">
        <v>27.9</v>
      </c>
      <c r="G157" s="445">
        <f>E157*F157</f>
        <v>3556.6641</v>
      </c>
      <c r="H157" s="496">
        <f t="shared" si="6"/>
        <v>0.1197704296835355</v>
      </c>
      <c r="I157" s="496">
        <f t="shared" si="8"/>
        <v>90.229795072304114</v>
      </c>
      <c r="J157" s="443" t="str">
        <f t="shared" si="7"/>
        <v>B</v>
      </c>
    </row>
    <row r="158" spans="1:10" s="220" customFormat="1" ht="14.25">
      <c r="A158" s="446" t="s">
        <v>635</v>
      </c>
      <c r="B158" s="446" t="s">
        <v>119</v>
      </c>
      <c r="C158" s="447" t="s">
        <v>636</v>
      </c>
      <c r="D158" s="446" t="s">
        <v>200</v>
      </c>
      <c r="E158" s="448">
        <v>180.70750876</v>
      </c>
      <c r="F158" s="448">
        <v>19.38</v>
      </c>
      <c r="G158" s="445">
        <f>E158*F158</f>
        <v>3502.1115197687996</v>
      </c>
      <c r="H158" s="496">
        <f t="shared" si="6"/>
        <v>0.11793337513159276</v>
      </c>
      <c r="I158" s="496">
        <f t="shared" si="8"/>
        <v>90.347728447435713</v>
      </c>
      <c r="J158" s="443" t="str">
        <f t="shared" si="7"/>
        <v>B</v>
      </c>
    </row>
    <row r="159" spans="1:10" s="220" customFormat="1" ht="14.25">
      <c r="A159" s="446" t="s">
        <v>2454</v>
      </c>
      <c r="B159" s="446" t="s">
        <v>119</v>
      </c>
      <c r="C159" s="447" t="s">
        <v>2455</v>
      </c>
      <c r="D159" s="446" t="s">
        <v>173</v>
      </c>
      <c r="E159" s="448">
        <v>53.877012000000001</v>
      </c>
      <c r="F159" s="448">
        <v>63.01</v>
      </c>
      <c r="G159" s="445">
        <f>E159*F159</f>
        <v>3394.7905261199999</v>
      </c>
      <c r="H159" s="496">
        <f t="shared" si="6"/>
        <v>0.11431934772782956</v>
      </c>
      <c r="I159" s="496">
        <f t="shared" si="8"/>
        <v>90.462047795163542</v>
      </c>
      <c r="J159" s="443" t="str">
        <f t="shared" si="7"/>
        <v>B</v>
      </c>
    </row>
    <row r="160" spans="1:10" s="220" customFormat="1" ht="14.25">
      <c r="A160" s="446" t="s">
        <v>1134</v>
      </c>
      <c r="B160" s="446" t="s">
        <v>158</v>
      </c>
      <c r="C160" s="447" t="s">
        <v>4179</v>
      </c>
      <c r="D160" s="446" t="s">
        <v>144</v>
      </c>
      <c r="E160" s="448">
        <v>10</v>
      </c>
      <c r="F160" s="448">
        <v>338.85</v>
      </c>
      <c r="G160" s="445">
        <f>E160*F160</f>
        <v>3388.5</v>
      </c>
      <c r="H160" s="496">
        <f t="shared" si="6"/>
        <v>0.11410751467439956</v>
      </c>
      <c r="I160" s="496">
        <f t="shared" si="8"/>
        <v>90.576155309837944</v>
      </c>
      <c r="J160" s="443" t="str">
        <f t="shared" si="7"/>
        <v>B</v>
      </c>
    </row>
    <row r="161" spans="1:10" s="220" customFormat="1" ht="14.25">
      <c r="A161" s="446" t="s">
        <v>3684</v>
      </c>
      <c r="B161" s="446" t="s">
        <v>158</v>
      </c>
      <c r="C161" s="447" t="s">
        <v>3751</v>
      </c>
      <c r="D161" s="446" t="s">
        <v>173</v>
      </c>
      <c r="E161" s="448">
        <v>254.61699999999999</v>
      </c>
      <c r="F161" s="448">
        <v>12.78</v>
      </c>
      <c r="G161" s="445">
        <f>E161*F161</f>
        <v>3254.0052599999999</v>
      </c>
      <c r="H161" s="496">
        <f t="shared" si="6"/>
        <v>0.10957841314918795</v>
      </c>
      <c r="I161" s="496">
        <f t="shared" si="8"/>
        <v>90.685733722987138</v>
      </c>
      <c r="J161" s="443" t="str">
        <f t="shared" si="7"/>
        <v>B</v>
      </c>
    </row>
    <row r="162" spans="1:10" s="220" customFormat="1" ht="14.25">
      <c r="A162" s="446" t="s">
        <v>3060</v>
      </c>
      <c r="B162" s="446" t="s">
        <v>119</v>
      </c>
      <c r="C162" s="447" t="s">
        <v>3061</v>
      </c>
      <c r="D162" s="446" t="s">
        <v>144</v>
      </c>
      <c r="E162" s="448">
        <v>309</v>
      </c>
      <c r="F162" s="448">
        <v>10.52</v>
      </c>
      <c r="G162" s="445">
        <f>E162*F162</f>
        <v>3250.68</v>
      </c>
      <c r="H162" s="496">
        <f t="shared" si="6"/>
        <v>0.10946643523735491</v>
      </c>
      <c r="I162" s="496">
        <f t="shared" si="8"/>
        <v>90.795200158224489</v>
      </c>
      <c r="J162" s="443" t="str">
        <f t="shared" si="7"/>
        <v>B</v>
      </c>
    </row>
    <row r="163" spans="1:10" s="220" customFormat="1" ht="28.5">
      <c r="A163" s="446" t="s">
        <v>3064</v>
      </c>
      <c r="B163" s="446" t="s">
        <v>3006</v>
      </c>
      <c r="C163" s="447" t="s">
        <v>4180</v>
      </c>
      <c r="D163" s="446" t="s">
        <v>139</v>
      </c>
      <c r="E163" s="448">
        <v>2.59</v>
      </c>
      <c r="F163" s="448">
        <v>1248.98</v>
      </c>
      <c r="G163" s="445">
        <f>E163*F163</f>
        <v>3234.8581999999997</v>
      </c>
      <c r="H163" s="496">
        <f t="shared" si="6"/>
        <v>0.1089336371627864</v>
      </c>
      <c r="I163" s="496">
        <f t="shared" si="8"/>
        <v>90.904133795387281</v>
      </c>
      <c r="J163" s="443" t="str">
        <f t="shared" si="7"/>
        <v>B</v>
      </c>
    </row>
    <row r="164" spans="1:10" s="220" customFormat="1" ht="14.25">
      <c r="A164" s="446" t="s">
        <v>2467</v>
      </c>
      <c r="B164" s="446" t="s">
        <v>119</v>
      </c>
      <c r="C164" s="447" t="s">
        <v>2468</v>
      </c>
      <c r="D164" s="446" t="s">
        <v>144</v>
      </c>
      <c r="E164" s="448">
        <v>4</v>
      </c>
      <c r="F164" s="448">
        <v>795.84</v>
      </c>
      <c r="G164" s="445">
        <f>E164*F164</f>
        <v>3183.36</v>
      </c>
      <c r="H164" s="496">
        <f t="shared" si="6"/>
        <v>0.10719943866427521</v>
      </c>
      <c r="I164" s="496">
        <f t="shared" si="8"/>
        <v>91.011333234051563</v>
      </c>
      <c r="J164" s="443" t="str">
        <f t="shared" si="7"/>
        <v>B</v>
      </c>
    </row>
    <row r="165" spans="1:10" s="220" customFormat="1" ht="14.25">
      <c r="A165" s="446" t="s">
        <v>2705</v>
      </c>
      <c r="B165" s="446" t="s">
        <v>158</v>
      </c>
      <c r="C165" s="447" t="s">
        <v>3063</v>
      </c>
      <c r="D165" s="446" t="s">
        <v>144</v>
      </c>
      <c r="E165" s="448">
        <v>4</v>
      </c>
      <c r="F165" s="448">
        <v>786.28</v>
      </c>
      <c r="G165" s="445">
        <f>E165*F165</f>
        <v>3145.12</v>
      </c>
      <c r="H165" s="496">
        <f t="shared" si="6"/>
        <v>0.10591170917891325</v>
      </c>
      <c r="I165" s="496">
        <f t="shared" si="8"/>
        <v>91.117244943230475</v>
      </c>
      <c r="J165" s="443" t="str">
        <f t="shared" si="7"/>
        <v>B</v>
      </c>
    </row>
    <row r="166" spans="1:10" s="220" customFormat="1" ht="28.5">
      <c r="A166" s="446" t="s">
        <v>2983</v>
      </c>
      <c r="B166" s="446" t="s">
        <v>3006</v>
      </c>
      <c r="C166" s="447" t="s">
        <v>3062</v>
      </c>
      <c r="D166" s="446" t="s">
        <v>173</v>
      </c>
      <c r="E166" s="448">
        <v>35.5212</v>
      </c>
      <c r="F166" s="448">
        <v>88</v>
      </c>
      <c r="G166" s="445">
        <f>E166*F166</f>
        <v>3125.8656000000001</v>
      </c>
      <c r="H166" s="496">
        <f t="shared" si="6"/>
        <v>0.10526331852507032</v>
      </c>
      <c r="I166" s="496">
        <f t="shared" si="8"/>
        <v>91.22250826175555</v>
      </c>
      <c r="J166" s="443" t="str">
        <f t="shared" si="7"/>
        <v>B</v>
      </c>
    </row>
    <row r="167" spans="1:10" s="220" customFormat="1" ht="14.25">
      <c r="A167" s="446" t="s">
        <v>1498</v>
      </c>
      <c r="B167" s="446" t="s">
        <v>119</v>
      </c>
      <c r="C167" s="447" t="s">
        <v>1499</v>
      </c>
      <c r="D167" s="446" t="s">
        <v>139</v>
      </c>
      <c r="E167" s="448">
        <v>177.138732</v>
      </c>
      <c r="F167" s="448">
        <v>17.47</v>
      </c>
      <c r="G167" s="445">
        <f>E167*F167</f>
        <v>3094.61364804</v>
      </c>
      <c r="H167" s="496">
        <f t="shared" si="6"/>
        <v>0.10421091109792577</v>
      </c>
      <c r="I167" s="496">
        <f t="shared" si="8"/>
        <v>91.326719172853473</v>
      </c>
      <c r="J167" s="443" t="str">
        <f t="shared" si="7"/>
        <v>B</v>
      </c>
    </row>
    <row r="168" spans="1:10" s="220" customFormat="1" ht="14.25">
      <c r="A168" s="446" t="s">
        <v>1877</v>
      </c>
      <c r="B168" s="446" t="s">
        <v>3832</v>
      </c>
      <c r="C168" s="447" t="s">
        <v>2127</v>
      </c>
      <c r="D168" s="446" t="s">
        <v>144</v>
      </c>
      <c r="E168" s="448">
        <v>14</v>
      </c>
      <c r="F168" s="448">
        <v>218</v>
      </c>
      <c r="G168" s="445">
        <f>E168*F168</f>
        <v>3052</v>
      </c>
      <c r="H168" s="496">
        <f t="shared" si="6"/>
        <v>0.1027758993024251</v>
      </c>
      <c r="I168" s="496">
        <f t="shared" si="8"/>
        <v>91.429495072155902</v>
      </c>
      <c r="J168" s="443" t="str">
        <f t="shared" si="7"/>
        <v>B</v>
      </c>
    </row>
    <row r="169" spans="1:10" s="220" customFormat="1" ht="28.5">
      <c r="A169" s="446" t="s">
        <v>688</v>
      </c>
      <c r="B169" s="446" t="s">
        <v>3006</v>
      </c>
      <c r="C169" s="447" t="s">
        <v>3054</v>
      </c>
      <c r="D169" s="446" t="s">
        <v>139</v>
      </c>
      <c r="E169" s="448">
        <v>1.2</v>
      </c>
      <c r="F169" s="448">
        <v>2523.62</v>
      </c>
      <c r="G169" s="445">
        <f>E169*F169</f>
        <v>3028.3439999999996</v>
      </c>
      <c r="H169" s="496">
        <f t="shared" si="6"/>
        <v>0.10197928505802857</v>
      </c>
      <c r="I169" s="496">
        <f t="shared" si="8"/>
        <v>91.531474357213924</v>
      </c>
      <c r="J169" s="443" t="str">
        <f t="shared" si="7"/>
        <v>B</v>
      </c>
    </row>
    <row r="170" spans="1:10" s="220" customFormat="1" ht="14.25">
      <c r="A170" s="446" t="s">
        <v>1464</v>
      </c>
      <c r="B170" s="446" t="s">
        <v>119</v>
      </c>
      <c r="C170" s="447" t="s">
        <v>1465</v>
      </c>
      <c r="D170" s="446" t="s">
        <v>107</v>
      </c>
      <c r="E170" s="448">
        <v>238.88305199999999</v>
      </c>
      <c r="F170" s="448">
        <v>12.45</v>
      </c>
      <c r="G170" s="445">
        <f>E170*F170</f>
        <v>2974.0939973999998</v>
      </c>
      <c r="H170" s="496">
        <f t="shared" si="6"/>
        <v>0.10015241978791917</v>
      </c>
      <c r="I170" s="496">
        <f t="shared" si="8"/>
        <v>91.631626777001841</v>
      </c>
      <c r="J170" s="443" t="str">
        <f t="shared" si="7"/>
        <v>B</v>
      </c>
    </row>
    <row r="171" spans="1:10" s="220" customFormat="1" ht="14.25">
      <c r="A171" s="446" t="s">
        <v>3691</v>
      </c>
      <c r="B171" s="446" t="s">
        <v>158</v>
      </c>
      <c r="C171" s="447" t="s">
        <v>3752</v>
      </c>
      <c r="D171" s="446" t="s">
        <v>144</v>
      </c>
      <c r="E171" s="448">
        <v>193.38</v>
      </c>
      <c r="F171" s="448">
        <v>15.35</v>
      </c>
      <c r="G171" s="445">
        <f>E171*F171</f>
        <v>2968.3829999999998</v>
      </c>
      <c r="H171" s="496">
        <f t="shared" si="6"/>
        <v>9.9960102326025729E-2</v>
      </c>
      <c r="I171" s="496">
        <f t="shared" si="8"/>
        <v>91.731586879327864</v>
      </c>
      <c r="J171" s="443" t="str">
        <f t="shared" si="7"/>
        <v>B</v>
      </c>
    </row>
    <row r="172" spans="1:10" s="220" customFormat="1" ht="14.25">
      <c r="A172" s="446" t="s">
        <v>1448</v>
      </c>
      <c r="B172" s="446" t="s">
        <v>119</v>
      </c>
      <c r="C172" s="447" t="s">
        <v>1449</v>
      </c>
      <c r="D172" s="446" t="s">
        <v>107</v>
      </c>
      <c r="E172" s="448">
        <v>147.84870416179999</v>
      </c>
      <c r="F172" s="448">
        <v>19.78</v>
      </c>
      <c r="G172" s="445">
        <f>E172*F172</f>
        <v>2924.4473683204037</v>
      </c>
      <c r="H172" s="496">
        <f t="shared" si="6"/>
        <v>9.8480572818394452E-2</v>
      </c>
      <c r="I172" s="496">
        <f t="shared" si="8"/>
        <v>91.830067452146253</v>
      </c>
      <c r="J172" s="443" t="str">
        <f t="shared" si="7"/>
        <v>B</v>
      </c>
    </row>
    <row r="173" spans="1:10" s="220" customFormat="1" ht="28.5">
      <c r="A173" s="446" t="s">
        <v>2988</v>
      </c>
      <c r="B173" s="446" t="s">
        <v>3006</v>
      </c>
      <c r="C173" s="447" t="s">
        <v>3067</v>
      </c>
      <c r="D173" s="446" t="s">
        <v>173</v>
      </c>
      <c r="E173" s="448">
        <v>49.335000000000001</v>
      </c>
      <c r="F173" s="448">
        <v>58.96</v>
      </c>
      <c r="G173" s="445">
        <f>E173*F173</f>
        <v>2908.7916</v>
      </c>
      <c r="H173" s="496">
        <f t="shared" si="6"/>
        <v>9.7953365849718199E-2</v>
      </c>
      <c r="I173" s="496">
        <f t="shared" si="8"/>
        <v>91.928020817995971</v>
      </c>
      <c r="J173" s="443" t="str">
        <f t="shared" si="7"/>
        <v>B</v>
      </c>
    </row>
    <row r="174" spans="1:10" s="220" customFormat="1" ht="28.5">
      <c r="A174" s="446" t="s">
        <v>1853</v>
      </c>
      <c r="B174" s="446" t="s">
        <v>3832</v>
      </c>
      <c r="C174" s="447" t="s">
        <v>1842</v>
      </c>
      <c r="D174" s="446" t="s">
        <v>144</v>
      </c>
      <c r="E174" s="448">
        <v>1</v>
      </c>
      <c r="F174" s="448">
        <v>2898</v>
      </c>
      <c r="G174" s="445">
        <f>E174*F174</f>
        <v>2898</v>
      </c>
      <c r="H174" s="496">
        <f t="shared" si="6"/>
        <v>9.7589959429366949E-2</v>
      </c>
      <c r="I174" s="496">
        <f t="shared" si="8"/>
        <v>92.025610777425342</v>
      </c>
      <c r="J174" s="443" t="str">
        <f t="shared" si="7"/>
        <v>B</v>
      </c>
    </row>
    <row r="175" spans="1:10" s="220" customFormat="1" ht="28.5">
      <c r="A175" s="446" t="s">
        <v>2252</v>
      </c>
      <c r="B175" s="446" t="s">
        <v>3006</v>
      </c>
      <c r="C175" s="447" t="s">
        <v>3065</v>
      </c>
      <c r="D175" s="446" t="s">
        <v>315</v>
      </c>
      <c r="E175" s="448">
        <v>2</v>
      </c>
      <c r="F175" s="448">
        <v>1417.76</v>
      </c>
      <c r="G175" s="445">
        <f>E175*F175</f>
        <v>2835.52</v>
      </c>
      <c r="H175" s="496">
        <f t="shared" si="6"/>
        <v>9.5485949538011927E-2</v>
      </c>
      <c r="I175" s="496">
        <f t="shared" si="8"/>
        <v>92.121096726963358</v>
      </c>
      <c r="J175" s="443" t="str">
        <f t="shared" si="7"/>
        <v>B</v>
      </c>
    </row>
    <row r="176" spans="1:10" s="220" customFormat="1" ht="14.25">
      <c r="A176" s="446" t="s">
        <v>1476</v>
      </c>
      <c r="B176" s="446" t="s">
        <v>119</v>
      </c>
      <c r="C176" s="447" t="s">
        <v>1477</v>
      </c>
      <c r="D176" s="446" t="s">
        <v>144</v>
      </c>
      <c r="E176" s="448">
        <v>1260.6138000000001</v>
      </c>
      <c r="F176" s="448">
        <v>2.2400000000000002</v>
      </c>
      <c r="G176" s="445">
        <f>E176*F176</f>
        <v>2823.7749120000003</v>
      </c>
      <c r="H176" s="496">
        <f t="shared" si="6"/>
        <v>9.5090434471961444E-2</v>
      </c>
      <c r="I176" s="496">
        <f t="shared" si="8"/>
        <v>92.216187161435315</v>
      </c>
      <c r="J176" s="443" t="str">
        <f t="shared" si="7"/>
        <v>B</v>
      </c>
    </row>
    <row r="177" spans="1:10" s="220" customFormat="1" ht="28.5">
      <c r="A177" s="446" t="s">
        <v>2299</v>
      </c>
      <c r="B177" s="446" t="s">
        <v>3006</v>
      </c>
      <c r="C177" s="447" t="s">
        <v>3068</v>
      </c>
      <c r="D177" s="446" t="s">
        <v>173</v>
      </c>
      <c r="E177" s="448">
        <v>64.554000000000002</v>
      </c>
      <c r="F177" s="448">
        <v>42.57</v>
      </c>
      <c r="G177" s="445">
        <f>E177*F177</f>
        <v>2748.06378</v>
      </c>
      <c r="H177" s="496">
        <f t="shared" si="6"/>
        <v>9.254086708057721E-2</v>
      </c>
      <c r="I177" s="496">
        <f t="shared" si="8"/>
        <v>92.308728028515887</v>
      </c>
      <c r="J177" s="443" t="str">
        <f t="shared" si="7"/>
        <v>B</v>
      </c>
    </row>
    <row r="178" spans="1:10" s="220" customFormat="1" ht="14.25">
      <c r="A178" s="446" t="s">
        <v>2974</v>
      </c>
      <c r="B178" s="446" t="s">
        <v>119</v>
      </c>
      <c r="C178" s="447" t="s">
        <v>2975</v>
      </c>
      <c r="D178" s="446" t="s">
        <v>173</v>
      </c>
      <c r="E178" s="448">
        <v>18.585000000000001</v>
      </c>
      <c r="F178" s="448">
        <v>142.09</v>
      </c>
      <c r="G178" s="445">
        <f>E178*F178</f>
        <v>2640.7426500000001</v>
      </c>
      <c r="H178" s="496">
        <f t="shared" si="6"/>
        <v>8.8926835085196332E-2</v>
      </c>
      <c r="I178" s="496">
        <f t="shared" si="8"/>
        <v>92.397654863601076</v>
      </c>
      <c r="J178" s="443" t="str">
        <f t="shared" si="7"/>
        <v>B</v>
      </c>
    </row>
    <row r="179" spans="1:10" s="220" customFormat="1" ht="28.5">
      <c r="A179" s="446" t="s">
        <v>1331</v>
      </c>
      <c r="B179" s="446" t="s">
        <v>119</v>
      </c>
      <c r="C179" s="447" t="s">
        <v>1332</v>
      </c>
      <c r="D179" s="446" t="s">
        <v>173</v>
      </c>
      <c r="E179" s="448">
        <v>103.4</v>
      </c>
      <c r="F179" s="448">
        <v>25.42</v>
      </c>
      <c r="G179" s="445">
        <f>E179*F179</f>
        <v>2628.4280000000003</v>
      </c>
      <c r="H179" s="496">
        <f t="shared" si="6"/>
        <v>8.8512140056249883E-2</v>
      </c>
      <c r="I179" s="496">
        <f t="shared" si="8"/>
        <v>92.486167003657329</v>
      </c>
      <c r="J179" s="443" t="str">
        <f t="shared" si="7"/>
        <v>B</v>
      </c>
    </row>
    <row r="180" spans="1:10" s="220" customFormat="1" ht="14.25">
      <c r="A180" s="446" t="s">
        <v>3614</v>
      </c>
      <c r="B180" s="446" t="s">
        <v>119</v>
      </c>
      <c r="C180" s="447" t="s">
        <v>1678</v>
      </c>
      <c r="D180" s="446" t="s">
        <v>144</v>
      </c>
      <c r="E180" s="448">
        <v>2</v>
      </c>
      <c r="F180" s="448">
        <v>1306.51</v>
      </c>
      <c r="G180" s="445">
        <f>E180*F180</f>
        <v>2613.02</v>
      </c>
      <c r="H180" s="496">
        <f t="shared" si="6"/>
        <v>8.7993276669470127E-2</v>
      </c>
      <c r="I180" s="496">
        <f t="shared" si="8"/>
        <v>92.574160280326794</v>
      </c>
      <c r="J180" s="443" t="str">
        <f t="shared" si="7"/>
        <v>B</v>
      </c>
    </row>
    <row r="181" spans="1:10" s="220" customFormat="1" ht="28.5">
      <c r="A181" s="446" t="s">
        <v>718</v>
      </c>
      <c r="B181" s="446" t="s">
        <v>3006</v>
      </c>
      <c r="C181" s="447" t="s">
        <v>3072</v>
      </c>
      <c r="D181" s="446" t="s">
        <v>173</v>
      </c>
      <c r="E181" s="448">
        <v>298.32274999999998</v>
      </c>
      <c r="F181" s="448">
        <v>8.2899999999999991</v>
      </c>
      <c r="G181" s="445">
        <f>E181*F181</f>
        <v>2473.0955974999997</v>
      </c>
      <c r="H181" s="496">
        <f t="shared" si="6"/>
        <v>8.3281331616622142E-2</v>
      </c>
      <c r="I181" s="496">
        <f t="shared" si="8"/>
        <v>92.657441611943412</v>
      </c>
      <c r="J181" s="443" t="str">
        <f t="shared" si="7"/>
        <v>B</v>
      </c>
    </row>
    <row r="182" spans="1:10" s="220" customFormat="1" ht="14.25">
      <c r="A182" s="446" t="s">
        <v>1730</v>
      </c>
      <c r="B182" s="446" t="s">
        <v>119</v>
      </c>
      <c r="C182" s="447" t="s">
        <v>1731</v>
      </c>
      <c r="D182" s="446" t="s">
        <v>144</v>
      </c>
      <c r="E182" s="448">
        <v>6</v>
      </c>
      <c r="F182" s="448">
        <v>411.42</v>
      </c>
      <c r="G182" s="445">
        <f>E182*F182</f>
        <v>2468.52</v>
      </c>
      <c r="H182" s="496">
        <f t="shared" si="6"/>
        <v>8.3127248671698031E-2</v>
      </c>
      <c r="I182" s="496">
        <f t="shared" si="8"/>
        <v>92.740568860615113</v>
      </c>
      <c r="J182" s="443" t="str">
        <f t="shared" si="7"/>
        <v>B</v>
      </c>
    </row>
    <row r="183" spans="1:10" s="220" customFormat="1" ht="14.25">
      <c r="A183" s="446" t="s">
        <v>3664</v>
      </c>
      <c r="B183" s="446" t="s">
        <v>3662</v>
      </c>
      <c r="C183" s="447" t="s">
        <v>3663</v>
      </c>
      <c r="D183" s="446" t="s">
        <v>173</v>
      </c>
      <c r="E183" s="448">
        <v>107.1872</v>
      </c>
      <c r="F183" s="448">
        <v>22.87</v>
      </c>
      <c r="G183" s="445">
        <f>E183*F183</f>
        <v>2451.3712640000003</v>
      </c>
      <c r="H183" s="496">
        <f t="shared" si="6"/>
        <v>8.2549766114588002E-2</v>
      </c>
      <c r="I183" s="496">
        <f t="shared" si="8"/>
        <v>92.823118626729695</v>
      </c>
      <c r="J183" s="443" t="str">
        <f t="shared" si="7"/>
        <v>B</v>
      </c>
    </row>
    <row r="184" spans="1:10" s="220" customFormat="1" ht="14.25">
      <c r="A184" s="446" t="s">
        <v>1397</v>
      </c>
      <c r="B184" s="446" t="s">
        <v>119</v>
      </c>
      <c r="C184" s="447" t="s">
        <v>1398</v>
      </c>
      <c r="D184" s="446" t="s">
        <v>173</v>
      </c>
      <c r="E184" s="448">
        <v>895.84062025000003</v>
      </c>
      <c r="F184" s="448">
        <v>2.72</v>
      </c>
      <c r="G184" s="445">
        <f>E184*F184</f>
        <v>2436.6864870800005</v>
      </c>
      <c r="H184" s="496">
        <f t="shared" si="6"/>
        <v>8.2055257217468577E-2</v>
      </c>
      <c r="I184" s="496">
        <f t="shared" si="8"/>
        <v>92.905173883947157</v>
      </c>
      <c r="J184" s="443" t="str">
        <f t="shared" si="7"/>
        <v>B</v>
      </c>
    </row>
    <row r="185" spans="1:10" s="220" customFormat="1" ht="14.25">
      <c r="A185" s="446" t="s">
        <v>1665</v>
      </c>
      <c r="B185" s="446" t="s">
        <v>119</v>
      </c>
      <c r="C185" s="447" t="s">
        <v>1666</v>
      </c>
      <c r="D185" s="446" t="s">
        <v>173</v>
      </c>
      <c r="E185" s="448">
        <v>250.92960199999999</v>
      </c>
      <c r="F185" s="448">
        <v>9.6199999999999992</v>
      </c>
      <c r="G185" s="445">
        <f>E185*F185</f>
        <v>2413.9427712399997</v>
      </c>
      <c r="H185" s="496">
        <f t="shared" si="6"/>
        <v>8.1289364082168816E-2</v>
      </c>
      <c r="I185" s="496">
        <f t="shared" si="8"/>
        <v>92.986463248029324</v>
      </c>
      <c r="J185" s="443" t="str">
        <f t="shared" si="7"/>
        <v>B</v>
      </c>
    </row>
    <row r="186" spans="1:10" s="220" customFormat="1" ht="14.25">
      <c r="A186" s="446" t="s">
        <v>2823</v>
      </c>
      <c r="B186" s="446" t="s">
        <v>3832</v>
      </c>
      <c r="C186" s="447" t="s">
        <v>3074</v>
      </c>
      <c r="D186" s="446" t="s">
        <v>144</v>
      </c>
      <c r="E186" s="448">
        <v>10</v>
      </c>
      <c r="F186" s="448">
        <v>239.9</v>
      </c>
      <c r="G186" s="445">
        <f>E186*F186</f>
        <v>2399</v>
      </c>
      <c r="H186" s="496">
        <f t="shared" si="6"/>
        <v>8.0786167243288923E-2</v>
      </c>
      <c r="I186" s="496">
        <f t="shared" si="8"/>
        <v>93.067249415272613</v>
      </c>
      <c r="J186" s="443" t="str">
        <f t="shared" si="7"/>
        <v>B</v>
      </c>
    </row>
    <row r="187" spans="1:10" s="220" customFormat="1" ht="14.25">
      <c r="A187" s="446" t="s">
        <v>1220</v>
      </c>
      <c r="B187" s="446" t="s">
        <v>158</v>
      </c>
      <c r="C187" s="447" t="s">
        <v>3071</v>
      </c>
      <c r="D187" s="446" t="s">
        <v>144</v>
      </c>
      <c r="E187" s="448">
        <v>18</v>
      </c>
      <c r="F187" s="448">
        <v>133.02000000000001</v>
      </c>
      <c r="G187" s="445">
        <f>E187*F187</f>
        <v>2394.36</v>
      </c>
      <c r="H187" s="496">
        <f t="shared" si="6"/>
        <v>8.0629915548412368E-2</v>
      </c>
      <c r="I187" s="496">
        <f t="shared" si="8"/>
        <v>93.147879330821027</v>
      </c>
      <c r="J187" s="443" t="str">
        <f t="shared" si="7"/>
        <v>B</v>
      </c>
    </row>
    <row r="188" spans="1:10" s="220" customFormat="1" ht="14.25">
      <c r="A188" s="446" t="s">
        <v>664</v>
      </c>
      <c r="B188" s="446" t="s">
        <v>158</v>
      </c>
      <c r="C188" s="447" t="s">
        <v>3069</v>
      </c>
      <c r="D188" s="446" t="s">
        <v>139</v>
      </c>
      <c r="E188" s="448">
        <v>3.82</v>
      </c>
      <c r="F188" s="448">
        <v>616.79</v>
      </c>
      <c r="G188" s="445">
        <f>E188*F188</f>
        <v>2356.1378</v>
      </c>
      <c r="H188" s="496">
        <f t="shared" si="6"/>
        <v>7.9342785476879882E-2</v>
      </c>
      <c r="I188" s="496">
        <f t="shared" si="8"/>
        <v>93.227222116297909</v>
      </c>
      <c r="J188" s="443" t="str">
        <f t="shared" si="7"/>
        <v>B</v>
      </c>
    </row>
    <row r="189" spans="1:10" s="220" customFormat="1" ht="14.25">
      <c r="A189" s="446" t="s">
        <v>3251</v>
      </c>
      <c r="B189" s="446" t="s">
        <v>119</v>
      </c>
      <c r="C189" s="447" t="s">
        <v>3392</v>
      </c>
      <c r="D189" s="446" t="s">
        <v>144</v>
      </c>
      <c r="E189" s="448">
        <v>2</v>
      </c>
      <c r="F189" s="448">
        <v>1151.78</v>
      </c>
      <c r="G189" s="445">
        <f>E189*F189</f>
        <v>2303.56</v>
      </c>
      <c r="H189" s="496">
        <f t="shared" si="6"/>
        <v>7.7572231519362503E-2</v>
      </c>
      <c r="I189" s="496">
        <f t="shared" si="8"/>
        <v>93.304794347817278</v>
      </c>
      <c r="J189" s="443" t="str">
        <f t="shared" si="7"/>
        <v>B</v>
      </c>
    </row>
    <row r="190" spans="1:10" s="220" customFormat="1" ht="14.25">
      <c r="A190" s="446" t="s">
        <v>3338</v>
      </c>
      <c r="B190" s="446" t="s">
        <v>3006</v>
      </c>
      <c r="C190" s="447" t="s">
        <v>3339</v>
      </c>
      <c r="D190" s="446" t="s">
        <v>173</v>
      </c>
      <c r="E190" s="448">
        <v>509.916</v>
      </c>
      <c r="F190" s="448">
        <v>4.5</v>
      </c>
      <c r="G190" s="445">
        <f>E190*F190</f>
        <v>2294.6219999999998</v>
      </c>
      <c r="H190" s="496">
        <f t="shared" si="6"/>
        <v>7.7271244957119678E-2</v>
      </c>
      <c r="I190" s="496">
        <f t="shared" si="8"/>
        <v>93.382065592774396</v>
      </c>
      <c r="J190" s="443" t="str">
        <f t="shared" si="7"/>
        <v>B</v>
      </c>
    </row>
    <row r="191" spans="1:10" s="220" customFormat="1" ht="14.25">
      <c r="A191" s="446" t="s">
        <v>1673</v>
      </c>
      <c r="B191" s="446" t="s">
        <v>119</v>
      </c>
      <c r="C191" s="447" t="s">
        <v>1674</v>
      </c>
      <c r="D191" s="446" t="s">
        <v>173</v>
      </c>
      <c r="E191" s="448">
        <v>143.41365500000001</v>
      </c>
      <c r="F191" s="448">
        <v>15.84</v>
      </c>
      <c r="G191" s="445">
        <f>E191*F191</f>
        <v>2271.6722952</v>
      </c>
      <c r="H191" s="496">
        <f t="shared" si="6"/>
        <v>7.649841515713765E-2</v>
      </c>
      <c r="I191" s="496">
        <f t="shared" si="8"/>
        <v>93.458564007931528</v>
      </c>
      <c r="J191" s="443" t="str">
        <f t="shared" si="7"/>
        <v>B</v>
      </c>
    </row>
    <row r="192" spans="1:10" s="220" customFormat="1" ht="14.25">
      <c r="A192" s="446" t="s">
        <v>3730</v>
      </c>
      <c r="B192" s="446" t="s">
        <v>119</v>
      </c>
      <c r="C192" s="447" t="s">
        <v>3731</v>
      </c>
      <c r="D192" s="446" t="s">
        <v>200</v>
      </c>
      <c r="E192" s="448">
        <v>282.90808279999999</v>
      </c>
      <c r="F192" s="448">
        <v>8.02</v>
      </c>
      <c r="G192" s="445">
        <f>E192*F192</f>
        <v>2268.9228240559996</v>
      </c>
      <c r="H192" s="496">
        <f t="shared" si="6"/>
        <v>7.6405826897166906E-2</v>
      </c>
      <c r="I192" s="496">
        <f t="shared" si="8"/>
        <v>93.534969834828701</v>
      </c>
      <c r="J192" s="443" t="str">
        <f t="shared" si="7"/>
        <v>B</v>
      </c>
    </row>
    <row r="193" spans="1:10" s="220" customFormat="1" ht="14.25">
      <c r="A193" s="446" t="s">
        <v>3075</v>
      </c>
      <c r="B193" s="446" t="s">
        <v>158</v>
      </c>
      <c r="C193" s="447" t="s">
        <v>3076</v>
      </c>
      <c r="D193" s="446" t="s">
        <v>144</v>
      </c>
      <c r="E193" s="448">
        <v>16</v>
      </c>
      <c r="F193" s="448">
        <v>141</v>
      </c>
      <c r="G193" s="445">
        <f>E193*F193</f>
        <v>2256</v>
      </c>
      <c r="H193" s="496">
        <f t="shared" si="6"/>
        <v>7.5970651646877788E-2</v>
      </c>
      <c r="I193" s="496">
        <f t="shared" si="8"/>
        <v>93.610940486475585</v>
      </c>
      <c r="J193" s="443" t="str">
        <f t="shared" si="7"/>
        <v>B</v>
      </c>
    </row>
    <row r="194" spans="1:10" s="220" customFormat="1" ht="14.25">
      <c r="A194" s="446" t="s">
        <v>1500</v>
      </c>
      <c r="B194" s="446" t="s">
        <v>119</v>
      </c>
      <c r="C194" s="447" t="s">
        <v>1501</v>
      </c>
      <c r="D194" s="446" t="s">
        <v>144</v>
      </c>
      <c r="E194" s="448">
        <v>12</v>
      </c>
      <c r="F194" s="448">
        <v>182.72</v>
      </c>
      <c r="G194" s="445">
        <f>E194*F194</f>
        <v>2192.64</v>
      </c>
      <c r="H194" s="496">
        <f t="shared" si="6"/>
        <v>7.3837007813391017E-2</v>
      </c>
      <c r="I194" s="496">
        <f t="shared" si="8"/>
        <v>93.68477749428898</v>
      </c>
      <c r="J194" s="443" t="str">
        <f t="shared" si="7"/>
        <v>B</v>
      </c>
    </row>
    <row r="195" spans="1:10" s="220" customFormat="1" ht="14.25">
      <c r="A195" s="446" t="s">
        <v>1525</v>
      </c>
      <c r="B195" s="446" t="s">
        <v>119</v>
      </c>
      <c r="C195" s="447" t="s">
        <v>1526</v>
      </c>
      <c r="D195" s="446" t="s">
        <v>200</v>
      </c>
      <c r="E195" s="448">
        <v>624.03922</v>
      </c>
      <c r="F195" s="448">
        <v>3.41</v>
      </c>
      <c r="G195" s="445">
        <f>E195*F195</f>
        <v>2127.9737402000001</v>
      </c>
      <c r="H195" s="496">
        <f t="shared" si="6"/>
        <v>7.1659375767038055E-2</v>
      </c>
      <c r="I195" s="496">
        <f t="shared" si="8"/>
        <v>93.756436870056021</v>
      </c>
      <c r="J195" s="443" t="str">
        <f t="shared" si="7"/>
        <v>B</v>
      </c>
    </row>
    <row r="196" spans="1:10" s="220" customFormat="1" ht="28.5">
      <c r="A196" s="446" t="s">
        <v>1695</v>
      </c>
      <c r="B196" s="446" t="s">
        <v>119</v>
      </c>
      <c r="C196" s="447" t="s">
        <v>1696</v>
      </c>
      <c r="D196" s="446" t="s">
        <v>173</v>
      </c>
      <c r="E196" s="448">
        <v>538.923</v>
      </c>
      <c r="F196" s="448">
        <v>3.94</v>
      </c>
      <c r="G196" s="445">
        <f>E196*F196</f>
        <v>2123.35662</v>
      </c>
      <c r="H196" s="496">
        <f t="shared" si="6"/>
        <v>7.1503894547921928E-2</v>
      </c>
      <c r="I196" s="496">
        <f t="shared" si="8"/>
        <v>93.827940764603937</v>
      </c>
      <c r="J196" s="443" t="str">
        <f t="shared" si="7"/>
        <v>B</v>
      </c>
    </row>
    <row r="197" spans="1:10" s="220" customFormat="1" ht="14.25">
      <c r="A197" s="446" t="s">
        <v>2836</v>
      </c>
      <c r="B197" s="446" t="s">
        <v>3832</v>
      </c>
      <c r="C197" s="447" t="s">
        <v>2837</v>
      </c>
      <c r="D197" s="446" t="s">
        <v>144</v>
      </c>
      <c r="E197" s="448">
        <v>8</v>
      </c>
      <c r="F197" s="448">
        <v>261.32</v>
      </c>
      <c r="G197" s="445">
        <f>E197*F197</f>
        <v>2090.56</v>
      </c>
      <c r="H197" s="496">
        <f t="shared" si="6"/>
        <v>7.0399470526106761E-2</v>
      </c>
      <c r="I197" s="496">
        <f t="shared" si="8"/>
        <v>93.89834023513005</v>
      </c>
      <c r="J197" s="443" t="str">
        <f t="shared" si="7"/>
        <v>B</v>
      </c>
    </row>
    <row r="198" spans="1:10" s="220" customFormat="1" ht="14.25">
      <c r="A198" s="446" t="s">
        <v>3077</v>
      </c>
      <c r="B198" s="446" t="s">
        <v>119</v>
      </c>
      <c r="C198" s="447" t="s">
        <v>3078</v>
      </c>
      <c r="D198" s="446" t="s">
        <v>144</v>
      </c>
      <c r="E198" s="448">
        <v>12</v>
      </c>
      <c r="F198" s="448">
        <v>171.36</v>
      </c>
      <c r="G198" s="445">
        <f>E198*F198</f>
        <v>2056.3200000000002</v>
      </c>
      <c r="H198" s="496">
        <f t="shared" si="6"/>
        <v>6.9246440777707335E-2</v>
      </c>
      <c r="I198" s="496">
        <f t="shared" si="8"/>
        <v>93.967586675907754</v>
      </c>
      <c r="J198" s="443" t="str">
        <f t="shared" si="7"/>
        <v>B</v>
      </c>
    </row>
    <row r="199" spans="1:10" s="220" customFormat="1" ht="28.5">
      <c r="A199" s="446" t="s">
        <v>3888</v>
      </c>
      <c r="B199" s="446" t="s">
        <v>119</v>
      </c>
      <c r="C199" s="447" t="s">
        <v>3889</v>
      </c>
      <c r="D199" s="446" t="s">
        <v>144</v>
      </c>
      <c r="E199" s="448">
        <v>14.34</v>
      </c>
      <c r="F199" s="448">
        <v>140.91</v>
      </c>
      <c r="G199" s="445">
        <f>E199*F199</f>
        <v>2020.6494</v>
      </c>
      <c r="H199" s="496">
        <f t="shared" si="6"/>
        <v>6.8045235668383261E-2</v>
      </c>
      <c r="I199" s="496">
        <f t="shared" si="8"/>
        <v>94.035631911576132</v>
      </c>
      <c r="J199" s="443" t="str">
        <f t="shared" si="7"/>
        <v>B</v>
      </c>
    </row>
    <row r="200" spans="1:10" s="220" customFormat="1" ht="14.25">
      <c r="A200" s="446" t="s">
        <v>657</v>
      </c>
      <c r="B200" s="446" t="s">
        <v>158</v>
      </c>
      <c r="C200" s="447" t="s">
        <v>3066</v>
      </c>
      <c r="D200" s="446" t="s">
        <v>173</v>
      </c>
      <c r="E200" s="448">
        <v>17.27</v>
      </c>
      <c r="F200" s="448">
        <v>115.79</v>
      </c>
      <c r="G200" s="445">
        <f>E200*F200</f>
        <v>1999.6933000000001</v>
      </c>
      <c r="H200" s="496">
        <f t="shared" si="6"/>
        <v>6.7339540378943047E-2</v>
      </c>
      <c r="I200" s="496">
        <f t="shared" si="8"/>
        <v>94.102971451955071</v>
      </c>
      <c r="J200" s="443" t="str">
        <f t="shared" si="7"/>
        <v>B</v>
      </c>
    </row>
    <row r="201" spans="1:10" s="220" customFormat="1" ht="14.25">
      <c r="A201" s="446" t="s">
        <v>2463</v>
      </c>
      <c r="B201" s="446" t="s">
        <v>119</v>
      </c>
      <c r="C201" s="447" t="s">
        <v>2464</v>
      </c>
      <c r="D201" s="446" t="s">
        <v>144</v>
      </c>
      <c r="E201" s="448">
        <v>4</v>
      </c>
      <c r="F201" s="448">
        <v>499.86</v>
      </c>
      <c r="G201" s="445">
        <f>E201*F201</f>
        <v>1999.44</v>
      </c>
      <c r="H201" s="496">
        <f t="shared" ref="H201:H264" si="9">(G201*100)/SUM($G$8:$G$628)</f>
        <v>6.7331010518099879E-2</v>
      </c>
      <c r="I201" s="496">
        <f t="shared" si="8"/>
        <v>94.170302462473174</v>
      </c>
      <c r="J201" s="443" t="str">
        <f t="shared" ref="J201:J264" si="10">IF(I201&lt;80,"A",IF(I201&lt;95,"B","C"))</f>
        <v>B</v>
      </c>
    </row>
    <row r="202" spans="1:10" s="220" customFormat="1" ht="14.25">
      <c r="A202" s="446" t="s">
        <v>615</v>
      </c>
      <c r="B202" s="446" t="s">
        <v>119</v>
      </c>
      <c r="C202" s="447" t="s">
        <v>616</v>
      </c>
      <c r="D202" s="446" t="s">
        <v>200</v>
      </c>
      <c r="E202" s="448">
        <v>108.00324000000001</v>
      </c>
      <c r="F202" s="448">
        <v>18.399999999999999</v>
      </c>
      <c r="G202" s="445">
        <f>E202*F202</f>
        <v>1987.2596160000001</v>
      </c>
      <c r="H202" s="496">
        <f t="shared" si="9"/>
        <v>6.6920836887874174E-2</v>
      </c>
      <c r="I202" s="496">
        <f t="shared" ref="I202:I265" si="11">H202+I201</f>
        <v>94.237223299361048</v>
      </c>
      <c r="J202" s="443" t="str">
        <f t="shared" si="10"/>
        <v>B</v>
      </c>
    </row>
    <row r="203" spans="1:10" s="220" customFormat="1" ht="14.25">
      <c r="A203" s="446" t="s">
        <v>2980</v>
      </c>
      <c r="B203" s="446" t="s">
        <v>119</v>
      </c>
      <c r="C203" s="447" t="s">
        <v>2981</v>
      </c>
      <c r="D203" s="446" t="s">
        <v>173</v>
      </c>
      <c r="E203" s="448">
        <v>4.0529999999999999</v>
      </c>
      <c r="F203" s="448">
        <v>484.08</v>
      </c>
      <c r="G203" s="445">
        <f>E203*F203</f>
        <v>1961.97624</v>
      </c>
      <c r="H203" s="496">
        <f t="shared" si="9"/>
        <v>6.6069420863692871E-2</v>
      </c>
      <c r="I203" s="496">
        <f t="shared" si="11"/>
        <v>94.303292720224746</v>
      </c>
      <c r="J203" s="443" t="str">
        <f t="shared" si="10"/>
        <v>B</v>
      </c>
    </row>
    <row r="204" spans="1:10" s="220" customFormat="1" ht="28.5">
      <c r="A204" s="446" t="s">
        <v>3079</v>
      </c>
      <c r="B204" s="446" t="s">
        <v>158</v>
      </c>
      <c r="C204" s="447" t="s">
        <v>1953</v>
      </c>
      <c r="D204" s="446" t="s">
        <v>144</v>
      </c>
      <c r="E204" s="448">
        <v>4</v>
      </c>
      <c r="F204" s="448">
        <v>490</v>
      </c>
      <c r="G204" s="445">
        <f>E204*F204</f>
        <v>1960</v>
      </c>
      <c r="H204" s="496">
        <f t="shared" si="9"/>
        <v>6.6002871111649139E-2</v>
      </c>
      <c r="I204" s="496">
        <f t="shared" si="11"/>
        <v>94.369295591336396</v>
      </c>
      <c r="J204" s="443" t="str">
        <f t="shared" si="10"/>
        <v>B</v>
      </c>
    </row>
    <row r="205" spans="1:10" s="220" customFormat="1" ht="14.25">
      <c r="A205" s="446" t="s">
        <v>2852</v>
      </c>
      <c r="B205" s="446" t="s">
        <v>119</v>
      </c>
      <c r="C205" s="447" t="s">
        <v>3080</v>
      </c>
      <c r="D205" s="446" t="s">
        <v>173</v>
      </c>
      <c r="E205" s="448">
        <v>45.888150000000003</v>
      </c>
      <c r="F205" s="448">
        <v>41.4</v>
      </c>
      <c r="G205" s="445">
        <f>E205*F205</f>
        <v>1899.7694100000001</v>
      </c>
      <c r="H205" s="496">
        <f t="shared" si="9"/>
        <v>6.3974609954124365E-2</v>
      </c>
      <c r="I205" s="496">
        <f t="shared" si="11"/>
        <v>94.433270201290526</v>
      </c>
      <c r="J205" s="443" t="str">
        <f t="shared" si="10"/>
        <v>B</v>
      </c>
    </row>
    <row r="206" spans="1:10" s="220" customFormat="1" ht="14.25">
      <c r="A206" s="446" t="s">
        <v>3681</v>
      </c>
      <c r="B206" s="446" t="s">
        <v>158</v>
      </c>
      <c r="C206" s="447" t="s">
        <v>3754</v>
      </c>
      <c r="D206" s="446" t="s">
        <v>173</v>
      </c>
      <c r="E206" s="448">
        <v>149.5</v>
      </c>
      <c r="F206" s="448">
        <v>12.63</v>
      </c>
      <c r="G206" s="445">
        <f>E206*F206</f>
        <v>1888.1850000000002</v>
      </c>
      <c r="H206" s="496">
        <f t="shared" si="9"/>
        <v>6.3584505709157788E-2</v>
      </c>
      <c r="I206" s="496">
        <f t="shared" si="11"/>
        <v>94.496854706999684</v>
      </c>
      <c r="J206" s="443" t="str">
        <f t="shared" si="10"/>
        <v>B</v>
      </c>
    </row>
    <row r="207" spans="1:10" s="220" customFormat="1" ht="28.5">
      <c r="A207" s="446" t="s">
        <v>696</v>
      </c>
      <c r="B207" s="446" t="s">
        <v>3006</v>
      </c>
      <c r="C207" s="447" t="s">
        <v>3089</v>
      </c>
      <c r="D207" s="446" t="s">
        <v>144</v>
      </c>
      <c r="E207" s="448">
        <v>3</v>
      </c>
      <c r="F207" s="448">
        <v>627.33000000000004</v>
      </c>
      <c r="G207" s="445">
        <f>E207*F207</f>
        <v>1881.9900000000002</v>
      </c>
      <c r="H207" s="496">
        <f t="shared" si="9"/>
        <v>6.3375889491537038E-2</v>
      </c>
      <c r="I207" s="496">
        <f t="shared" si="11"/>
        <v>94.560230596491223</v>
      </c>
      <c r="J207" s="443" t="str">
        <f t="shared" si="10"/>
        <v>B</v>
      </c>
    </row>
    <row r="208" spans="1:10" s="220" customFormat="1" ht="14.25">
      <c r="A208" s="446" t="s">
        <v>669</v>
      </c>
      <c r="B208" s="446" t="s">
        <v>158</v>
      </c>
      <c r="C208" s="447" t="s">
        <v>3090</v>
      </c>
      <c r="D208" s="446" t="s">
        <v>144</v>
      </c>
      <c r="E208" s="448">
        <v>6</v>
      </c>
      <c r="F208" s="448">
        <v>304.86</v>
      </c>
      <c r="G208" s="445">
        <f>E208*F208</f>
        <v>1829.16</v>
      </c>
      <c r="H208" s="496">
        <f t="shared" si="9"/>
        <v>6.1596842715604158E-2</v>
      </c>
      <c r="I208" s="496">
        <f t="shared" si="11"/>
        <v>94.621827439206825</v>
      </c>
      <c r="J208" s="443" t="str">
        <f t="shared" si="10"/>
        <v>B</v>
      </c>
    </row>
    <row r="209" spans="1:10" s="220" customFormat="1" ht="14.25">
      <c r="A209" s="446" t="s">
        <v>3717</v>
      </c>
      <c r="B209" s="446" t="s">
        <v>119</v>
      </c>
      <c r="C209" s="447" t="s">
        <v>3718</v>
      </c>
      <c r="D209" s="446" t="s">
        <v>200</v>
      </c>
      <c r="E209" s="448">
        <v>227.11892499999999</v>
      </c>
      <c r="F209" s="448">
        <v>7.96</v>
      </c>
      <c r="G209" s="445">
        <f>E209*F209</f>
        <v>1807.8666429999998</v>
      </c>
      <c r="H209" s="496">
        <f t="shared" si="9"/>
        <v>6.0879790318866735E-2</v>
      </c>
      <c r="I209" s="496">
        <f t="shared" si="11"/>
        <v>94.68270722952569</v>
      </c>
      <c r="J209" s="443" t="str">
        <f t="shared" si="10"/>
        <v>B</v>
      </c>
    </row>
    <row r="210" spans="1:10" s="220" customFormat="1" ht="14.25">
      <c r="A210" s="446" t="s">
        <v>692</v>
      </c>
      <c r="B210" s="446" t="s">
        <v>158</v>
      </c>
      <c r="C210" s="447" t="s">
        <v>3081</v>
      </c>
      <c r="D210" s="446" t="s">
        <v>144</v>
      </c>
      <c r="E210" s="448">
        <v>24</v>
      </c>
      <c r="F210" s="448">
        <v>75.2</v>
      </c>
      <c r="G210" s="445">
        <f>E210*F210</f>
        <v>1804.8000000000002</v>
      </c>
      <c r="H210" s="496">
        <f t="shared" si="9"/>
        <v>6.0776521317502247E-2</v>
      </c>
      <c r="I210" s="496">
        <f t="shared" si="11"/>
        <v>94.743483750843197</v>
      </c>
      <c r="J210" s="443" t="str">
        <f t="shared" si="10"/>
        <v>B</v>
      </c>
    </row>
    <row r="211" spans="1:10" s="220" customFormat="1" ht="14.25">
      <c r="A211" s="446" t="s">
        <v>3683</v>
      </c>
      <c r="B211" s="446" t="s">
        <v>158</v>
      </c>
      <c r="C211" s="447" t="s">
        <v>3753</v>
      </c>
      <c r="D211" s="446" t="s">
        <v>200</v>
      </c>
      <c r="E211" s="448">
        <v>170.17439999999999</v>
      </c>
      <c r="F211" s="448">
        <v>10.42</v>
      </c>
      <c r="G211" s="445">
        <f>E211*F211</f>
        <v>1773.2172479999999</v>
      </c>
      <c r="H211" s="496">
        <f t="shared" si="9"/>
        <v>5.9712974220763874E-2</v>
      </c>
      <c r="I211" s="496">
        <f t="shared" si="11"/>
        <v>94.803196725063955</v>
      </c>
      <c r="J211" s="443" t="str">
        <f t="shared" si="10"/>
        <v>B</v>
      </c>
    </row>
    <row r="212" spans="1:10" s="220" customFormat="1" ht="14.25">
      <c r="A212" s="446" t="s">
        <v>1440</v>
      </c>
      <c r="B212" s="446" t="s">
        <v>119</v>
      </c>
      <c r="C212" s="447" t="s">
        <v>1441</v>
      </c>
      <c r="D212" s="446" t="s">
        <v>107</v>
      </c>
      <c r="E212" s="448">
        <v>89.765264000000002</v>
      </c>
      <c r="F212" s="448">
        <v>19.61</v>
      </c>
      <c r="G212" s="445">
        <f>E212*F212</f>
        <v>1760.2968270399999</v>
      </c>
      <c r="H212" s="496">
        <f t="shared" si="9"/>
        <v>5.9277879894574524E-2</v>
      </c>
      <c r="I212" s="496">
        <f t="shared" si="11"/>
        <v>94.862474604958535</v>
      </c>
      <c r="J212" s="443" t="str">
        <f t="shared" si="10"/>
        <v>B</v>
      </c>
    </row>
    <row r="213" spans="1:10" s="220" customFormat="1" ht="14.25">
      <c r="A213" s="446" t="s">
        <v>708</v>
      </c>
      <c r="B213" s="446" t="s">
        <v>3006</v>
      </c>
      <c r="C213" s="447" t="s">
        <v>709</v>
      </c>
      <c r="D213" s="446" t="s">
        <v>144</v>
      </c>
      <c r="E213" s="448">
        <v>1</v>
      </c>
      <c r="F213" s="448">
        <v>1736.23</v>
      </c>
      <c r="G213" s="445">
        <f>E213*F213</f>
        <v>1736.23</v>
      </c>
      <c r="H213" s="496">
        <f t="shared" si="9"/>
        <v>5.846743107662173E-2</v>
      </c>
      <c r="I213" s="496">
        <f t="shared" si="11"/>
        <v>94.920942036035157</v>
      </c>
      <c r="J213" s="443" t="str">
        <f t="shared" si="10"/>
        <v>B</v>
      </c>
    </row>
    <row r="214" spans="1:10" s="220" customFormat="1" ht="14.25">
      <c r="A214" s="446" t="s">
        <v>2727</v>
      </c>
      <c r="B214" s="446" t="s">
        <v>158</v>
      </c>
      <c r="C214" s="447" t="s">
        <v>3082</v>
      </c>
      <c r="D214" s="446" t="s">
        <v>144</v>
      </c>
      <c r="E214" s="448">
        <v>1</v>
      </c>
      <c r="F214" s="448">
        <v>1732.74</v>
      </c>
      <c r="G214" s="445">
        <f>E214*F214</f>
        <v>1732.74</v>
      </c>
      <c r="H214" s="496">
        <f t="shared" si="9"/>
        <v>5.8349905556121906E-2</v>
      </c>
      <c r="I214" s="496">
        <f t="shared" si="11"/>
        <v>94.979291941591285</v>
      </c>
      <c r="J214" s="443" t="str">
        <f t="shared" si="10"/>
        <v>B</v>
      </c>
    </row>
    <row r="215" spans="1:10" s="220" customFormat="1" ht="28.5">
      <c r="A215" s="446" t="s">
        <v>1458</v>
      </c>
      <c r="B215" s="446" t="s">
        <v>119</v>
      </c>
      <c r="C215" s="447" t="s">
        <v>1459</v>
      </c>
      <c r="D215" s="446" t="s">
        <v>173</v>
      </c>
      <c r="E215" s="448">
        <v>432.35219999999998</v>
      </c>
      <c r="F215" s="448">
        <v>3.87</v>
      </c>
      <c r="G215" s="445">
        <f>E215*F215</f>
        <v>1673.2030139999999</v>
      </c>
      <c r="H215" s="496">
        <f t="shared" si="9"/>
        <v>5.6345001467686166E-2</v>
      </c>
      <c r="I215" s="496">
        <f t="shared" si="11"/>
        <v>95.035636943058975</v>
      </c>
      <c r="J215" s="443" t="str">
        <f t="shared" si="10"/>
        <v>C</v>
      </c>
    </row>
    <row r="216" spans="1:10" s="220" customFormat="1" ht="14.25">
      <c r="A216" s="446" t="s">
        <v>653</v>
      </c>
      <c r="B216" s="446" t="s">
        <v>119</v>
      </c>
      <c r="C216" s="447" t="s">
        <v>654</v>
      </c>
      <c r="D216" s="446" t="s">
        <v>655</v>
      </c>
      <c r="E216" s="448">
        <v>45.791719999999998</v>
      </c>
      <c r="F216" s="448">
        <v>35.729999999999997</v>
      </c>
      <c r="G216" s="445">
        <f>E216*F216</f>
        <v>1636.1381555999999</v>
      </c>
      <c r="H216" s="496">
        <f t="shared" si="9"/>
        <v>5.5096844798427629E-2</v>
      </c>
      <c r="I216" s="496">
        <f t="shared" si="11"/>
        <v>95.090733787857403</v>
      </c>
      <c r="J216" s="443" t="str">
        <f t="shared" si="10"/>
        <v>C</v>
      </c>
    </row>
    <row r="217" spans="1:10" s="220" customFormat="1" ht="14.25">
      <c r="A217" s="446" t="s">
        <v>2440</v>
      </c>
      <c r="B217" s="446" t="s">
        <v>119</v>
      </c>
      <c r="C217" s="447" t="s">
        <v>2441</v>
      </c>
      <c r="D217" s="446" t="s">
        <v>144</v>
      </c>
      <c r="E217" s="448">
        <v>13</v>
      </c>
      <c r="F217" s="448">
        <v>122.29</v>
      </c>
      <c r="G217" s="445">
        <f>E217*F217</f>
        <v>1589.77</v>
      </c>
      <c r="H217" s="496">
        <f t="shared" si="9"/>
        <v>5.353540020773799E-2</v>
      </c>
      <c r="I217" s="496">
        <f t="shared" si="11"/>
        <v>95.144269188065138</v>
      </c>
      <c r="J217" s="443" t="str">
        <f t="shared" si="10"/>
        <v>C</v>
      </c>
    </row>
    <row r="218" spans="1:10" s="220" customFormat="1" ht="14.25">
      <c r="A218" s="446" t="s">
        <v>2808</v>
      </c>
      <c r="B218" s="446" t="s">
        <v>119</v>
      </c>
      <c r="C218" s="447" t="s">
        <v>2809</v>
      </c>
      <c r="D218" s="446" t="s">
        <v>144</v>
      </c>
      <c r="E218" s="448">
        <v>2</v>
      </c>
      <c r="F218" s="448">
        <v>791.26</v>
      </c>
      <c r="G218" s="445">
        <f>E218*F218</f>
        <v>1582.52</v>
      </c>
      <c r="H218" s="496">
        <f t="shared" si="9"/>
        <v>5.3291256934493374E-2</v>
      </c>
      <c r="I218" s="496">
        <f t="shared" si="11"/>
        <v>95.197560444999638</v>
      </c>
      <c r="J218" s="443" t="str">
        <f t="shared" si="10"/>
        <v>C</v>
      </c>
    </row>
    <row r="219" spans="1:10" s="220" customFormat="1" ht="14.25">
      <c r="A219" s="446" t="s">
        <v>2646</v>
      </c>
      <c r="B219" s="446" t="s">
        <v>119</v>
      </c>
      <c r="C219" s="447" t="s">
        <v>2645</v>
      </c>
      <c r="D219" s="446" t="s">
        <v>173</v>
      </c>
      <c r="E219" s="448">
        <v>203.42500000000001</v>
      </c>
      <c r="F219" s="448">
        <v>7.56</v>
      </c>
      <c r="G219" s="445">
        <f>E219*F219</f>
        <v>1537.893</v>
      </c>
      <c r="H219" s="496">
        <f t="shared" si="9"/>
        <v>5.1788445644136448E-2</v>
      </c>
      <c r="I219" s="496">
        <f t="shared" si="11"/>
        <v>95.249348890643773</v>
      </c>
      <c r="J219" s="443" t="str">
        <f t="shared" si="10"/>
        <v>C</v>
      </c>
    </row>
    <row r="220" spans="1:10" s="220" customFormat="1" ht="28.5">
      <c r="A220" s="446" t="s">
        <v>3770</v>
      </c>
      <c r="B220" s="446" t="s">
        <v>3396</v>
      </c>
      <c r="C220" s="447" t="s">
        <v>3771</v>
      </c>
      <c r="D220" s="446" t="s">
        <v>144</v>
      </c>
      <c r="E220" s="448">
        <v>397.75008000000003</v>
      </c>
      <c r="F220" s="448">
        <v>3.86</v>
      </c>
      <c r="G220" s="445">
        <f>E220*F220</f>
        <v>1535.3153088000001</v>
      </c>
      <c r="H220" s="496">
        <f t="shared" si="9"/>
        <v>5.1701642062483781E-2</v>
      </c>
      <c r="I220" s="496">
        <f t="shared" si="11"/>
        <v>95.301050532706256</v>
      </c>
      <c r="J220" s="443" t="str">
        <f t="shared" si="10"/>
        <v>C</v>
      </c>
    </row>
    <row r="221" spans="1:10" s="220" customFormat="1" ht="28.5">
      <c r="A221" s="446" t="s">
        <v>1691</v>
      </c>
      <c r="B221" s="446" t="s">
        <v>119</v>
      </c>
      <c r="C221" s="447" t="s">
        <v>1692</v>
      </c>
      <c r="D221" s="446" t="s">
        <v>173</v>
      </c>
      <c r="E221" s="448">
        <v>167.43100000000001</v>
      </c>
      <c r="F221" s="448">
        <v>9.1</v>
      </c>
      <c r="G221" s="445">
        <f>E221*F221</f>
        <v>1523.6221</v>
      </c>
      <c r="H221" s="496">
        <f t="shared" si="9"/>
        <v>5.1307874025081732E-2</v>
      </c>
      <c r="I221" s="496">
        <f t="shared" si="11"/>
        <v>95.352358406731341</v>
      </c>
      <c r="J221" s="443" t="str">
        <f t="shared" si="10"/>
        <v>C</v>
      </c>
    </row>
    <row r="222" spans="1:10" s="220" customFormat="1" ht="14.25">
      <c r="A222" s="446" t="s">
        <v>777</v>
      </c>
      <c r="B222" s="446" t="s">
        <v>3006</v>
      </c>
      <c r="C222" s="447" t="s">
        <v>778</v>
      </c>
      <c r="D222" s="446" t="s">
        <v>144</v>
      </c>
      <c r="E222" s="448">
        <v>6</v>
      </c>
      <c r="F222" s="448">
        <v>252.38</v>
      </c>
      <c r="G222" s="445">
        <f>E222*F222</f>
        <v>1514.28</v>
      </c>
      <c r="H222" s="496">
        <f t="shared" si="9"/>
        <v>5.0993279421912278E-2</v>
      </c>
      <c r="I222" s="496">
        <f t="shared" si="11"/>
        <v>95.403351686153258</v>
      </c>
      <c r="J222" s="443" t="str">
        <f t="shared" si="10"/>
        <v>C</v>
      </c>
    </row>
    <row r="223" spans="1:10" s="220" customFormat="1" ht="28.5">
      <c r="A223" s="446" t="s">
        <v>602</v>
      </c>
      <c r="B223" s="446" t="s">
        <v>3006</v>
      </c>
      <c r="C223" s="447" t="s">
        <v>3083</v>
      </c>
      <c r="D223" s="446" t="s">
        <v>139</v>
      </c>
      <c r="E223" s="448">
        <v>9.7919999999999998</v>
      </c>
      <c r="F223" s="448">
        <v>150.36000000000001</v>
      </c>
      <c r="G223" s="445">
        <f>E223*F223</f>
        <v>1472.3251200000002</v>
      </c>
      <c r="H223" s="496">
        <f t="shared" si="9"/>
        <v>4.9580451596838458E-2</v>
      </c>
      <c r="I223" s="496">
        <f t="shared" si="11"/>
        <v>95.452932137750096</v>
      </c>
      <c r="J223" s="443" t="str">
        <f t="shared" si="10"/>
        <v>C</v>
      </c>
    </row>
    <row r="224" spans="1:10" s="220" customFormat="1" ht="14.25">
      <c r="A224" s="446" t="s">
        <v>1700</v>
      </c>
      <c r="B224" s="446" t="s">
        <v>119</v>
      </c>
      <c r="C224" s="447" t="s">
        <v>1701</v>
      </c>
      <c r="D224" s="446" t="s">
        <v>173</v>
      </c>
      <c r="E224" s="448">
        <v>450.88695000000001</v>
      </c>
      <c r="F224" s="448">
        <v>3.19</v>
      </c>
      <c r="G224" s="445">
        <f>E224*F224</f>
        <v>1438.3293705000001</v>
      </c>
      <c r="H224" s="496">
        <f t="shared" si="9"/>
        <v>4.8435646967964777E-2</v>
      </c>
      <c r="I224" s="496">
        <f t="shared" si="11"/>
        <v>95.501367784718056</v>
      </c>
      <c r="J224" s="443" t="str">
        <f t="shared" si="10"/>
        <v>C</v>
      </c>
    </row>
    <row r="225" spans="1:10" s="220" customFormat="1" ht="14.25">
      <c r="A225" s="446" t="s">
        <v>1663</v>
      </c>
      <c r="B225" s="446" t="s">
        <v>119</v>
      </c>
      <c r="C225" s="447" t="s">
        <v>1664</v>
      </c>
      <c r="D225" s="446" t="s">
        <v>173</v>
      </c>
      <c r="E225" s="448">
        <v>320.750024</v>
      </c>
      <c r="F225" s="448">
        <v>4.46</v>
      </c>
      <c r="G225" s="445">
        <f>E225*F225</f>
        <v>1430.5451070399999</v>
      </c>
      <c r="H225" s="496">
        <f t="shared" si="9"/>
        <v>4.8173512407837467E-2</v>
      </c>
      <c r="I225" s="496">
        <f t="shared" si="11"/>
        <v>95.549541297125899</v>
      </c>
      <c r="J225" s="443" t="str">
        <f t="shared" si="10"/>
        <v>C</v>
      </c>
    </row>
    <row r="226" spans="1:10" s="220" customFormat="1" ht="14.25">
      <c r="A226" s="446" t="s">
        <v>1558</v>
      </c>
      <c r="B226" s="446" t="s">
        <v>119</v>
      </c>
      <c r="C226" s="447" t="s">
        <v>1559</v>
      </c>
      <c r="D226" s="446" t="s">
        <v>144</v>
      </c>
      <c r="E226" s="448">
        <v>58.0032</v>
      </c>
      <c r="F226" s="448">
        <v>23.61</v>
      </c>
      <c r="G226" s="445">
        <f>E226*F226</f>
        <v>1369.4555519999999</v>
      </c>
      <c r="H226" s="496">
        <f t="shared" si="9"/>
        <v>4.6116325659075683E-2</v>
      </c>
      <c r="I226" s="496">
        <f t="shared" si="11"/>
        <v>95.595657622784969</v>
      </c>
      <c r="J226" s="443" t="str">
        <f t="shared" si="10"/>
        <v>C</v>
      </c>
    </row>
    <row r="227" spans="1:10" s="220" customFormat="1" ht="14.25">
      <c r="A227" s="446" t="s">
        <v>3084</v>
      </c>
      <c r="B227" s="446" t="s">
        <v>158</v>
      </c>
      <c r="C227" s="447" t="s">
        <v>3085</v>
      </c>
      <c r="D227" s="446" t="s">
        <v>144</v>
      </c>
      <c r="E227" s="448">
        <v>1</v>
      </c>
      <c r="F227" s="448">
        <v>1350</v>
      </c>
      <c r="G227" s="445">
        <f>E227*F227</f>
        <v>1350</v>
      </c>
      <c r="H227" s="496">
        <f t="shared" si="9"/>
        <v>4.546116122486038E-2</v>
      </c>
      <c r="I227" s="496">
        <f t="shared" si="11"/>
        <v>95.641118784009834</v>
      </c>
      <c r="J227" s="443" t="str">
        <f t="shared" si="10"/>
        <v>C</v>
      </c>
    </row>
    <row r="228" spans="1:10" s="220" customFormat="1" ht="42.75">
      <c r="A228" s="443" t="s">
        <v>2792</v>
      </c>
      <c r="B228" s="443" t="s">
        <v>119</v>
      </c>
      <c r="C228" s="444" t="s">
        <v>4196</v>
      </c>
      <c r="D228" s="443" t="s">
        <v>144</v>
      </c>
      <c r="E228" s="445">
        <v>1</v>
      </c>
      <c r="F228" s="445">
        <v>1340.35</v>
      </c>
      <c r="G228" s="445">
        <f>E228*F228</f>
        <v>1340.35</v>
      </c>
      <c r="H228" s="496">
        <f t="shared" si="9"/>
        <v>4.5136198109438232E-2</v>
      </c>
      <c r="I228" s="496">
        <f t="shared" si="11"/>
        <v>95.686254982119266</v>
      </c>
      <c r="J228" s="443" t="str">
        <f t="shared" si="10"/>
        <v>C</v>
      </c>
    </row>
    <row r="229" spans="1:10" s="220" customFormat="1" ht="14.25">
      <c r="A229" s="446" t="s">
        <v>1698</v>
      </c>
      <c r="B229" s="446" t="s">
        <v>119</v>
      </c>
      <c r="C229" s="447" t="s">
        <v>1699</v>
      </c>
      <c r="D229" s="446" t="s">
        <v>173</v>
      </c>
      <c r="E229" s="448">
        <v>239.96115</v>
      </c>
      <c r="F229" s="448">
        <v>5.47</v>
      </c>
      <c r="G229" s="445">
        <f>E229*F229</f>
        <v>1312.5874905000001</v>
      </c>
      <c r="H229" s="496">
        <f t="shared" si="9"/>
        <v>4.4201297427670663E-2</v>
      </c>
      <c r="I229" s="496">
        <f t="shared" si="11"/>
        <v>95.730456279546942</v>
      </c>
      <c r="J229" s="443" t="str">
        <f t="shared" si="10"/>
        <v>C</v>
      </c>
    </row>
    <row r="230" spans="1:10" s="220" customFormat="1" ht="14.25">
      <c r="A230" s="446" t="s">
        <v>1545</v>
      </c>
      <c r="B230" s="446" t="s">
        <v>119</v>
      </c>
      <c r="C230" s="447" t="s">
        <v>1546</v>
      </c>
      <c r="D230" s="446" t="s">
        <v>144</v>
      </c>
      <c r="E230" s="448">
        <v>9</v>
      </c>
      <c r="F230" s="448">
        <v>145.37</v>
      </c>
      <c r="G230" s="445">
        <f>E230*F230</f>
        <v>1308.33</v>
      </c>
      <c r="H230" s="496">
        <f t="shared" si="9"/>
        <v>4.4057926715053021E-2</v>
      </c>
      <c r="I230" s="496">
        <f t="shared" si="11"/>
        <v>95.774514206261998</v>
      </c>
      <c r="J230" s="443" t="str">
        <f t="shared" si="10"/>
        <v>C</v>
      </c>
    </row>
    <row r="231" spans="1:10" s="220" customFormat="1" ht="28.5">
      <c r="A231" s="446" t="s">
        <v>1146</v>
      </c>
      <c r="B231" s="446" t="s">
        <v>158</v>
      </c>
      <c r="C231" s="447" t="s">
        <v>3787</v>
      </c>
      <c r="D231" s="446" t="s">
        <v>144</v>
      </c>
      <c r="E231" s="448">
        <v>24</v>
      </c>
      <c r="F231" s="448">
        <v>54.21</v>
      </c>
      <c r="G231" s="445">
        <f>E231*F231</f>
        <v>1301.04</v>
      </c>
      <c r="H231" s="496">
        <f t="shared" si="9"/>
        <v>4.3812436444438781E-2</v>
      </c>
      <c r="I231" s="496">
        <f t="shared" si="11"/>
        <v>95.818326642706438</v>
      </c>
      <c r="J231" s="443" t="str">
        <f t="shared" si="10"/>
        <v>C</v>
      </c>
    </row>
    <row r="232" spans="1:10" s="220" customFormat="1" ht="14.25">
      <c r="A232" s="446" t="s">
        <v>1774</v>
      </c>
      <c r="B232" s="446" t="s">
        <v>119</v>
      </c>
      <c r="C232" s="447" t="s">
        <v>1775</v>
      </c>
      <c r="D232" s="446" t="s">
        <v>144</v>
      </c>
      <c r="E232" s="448">
        <v>1</v>
      </c>
      <c r="F232" s="448">
        <v>1294.48</v>
      </c>
      <c r="G232" s="445">
        <f>E232*F232</f>
        <v>1294.48</v>
      </c>
      <c r="H232" s="496">
        <f t="shared" si="9"/>
        <v>4.3591528875820199E-2</v>
      </c>
      <c r="I232" s="496">
        <f t="shared" si="11"/>
        <v>95.861918171582261</v>
      </c>
      <c r="J232" s="443" t="str">
        <f t="shared" si="10"/>
        <v>C</v>
      </c>
    </row>
    <row r="233" spans="1:10" s="220" customFormat="1" ht="14.25">
      <c r="A233" s="446" t="s">
        <v>3346</v>
      </c>
      <c r="B233" s="446" t="s">
        <v>3396</v>
      </c>
      <c r="C233" s="447" t="s">
        <v>3347</v>
      </c>
      <c r="D233" s="446" t="s">
        <v>144</v>
      </c>
      <c r="E233" s="448">
        <v>18</v>
      </c>
      <c r="F233" s="448">
        <v>71.77</v>
      </c>
      <c r="G233" s="445">
        <f>E233*F233</f>
        <v>1291.8599999999999</v>
      </c>
      <c r="H233" s="496">
        <f t="shared" si="9"/>
        <v>4.3503300548109719E-2</v>
      </c>
      <c r="I233" s="496">
        <f t="shared" si="11"/>
        <v>95.905421472130371</v>
      </c>
      <c r="J233" s="443" t="str">
        <f t="shared" si="10"/>
        <v>C</v>
      </c>
    </row>
    <row r="234" spans="1:10" s="220" customFormat="1" ht="14.25">
      <c r="A234" s="446" t="s">
        <v>3086</v>
      </c>
      <c r="B234" s="446" t="s">
        <v>119</v>
      </c>
      <c r="C234" s="447" t="s">
        <v>3087</v>
      </c>
      <c r="D234" s="446" t="s">
        <v>200</v>
      </c>
      <c r="E234" s="448">
        <v>139.121184</v>
      </c>
      <c r="F234" s="448">
        <v>9.25</v>
      </c>
      <c r="G234" s="445">
        <f>E234*F234</f>
        <v>1286.870952</v>
      </c>
      <c r="H234" s="496">
        <f t="shared" si="9"/>
        <v>4.3335294684786342E-2</v>
      </c>
      <c r="I234" s="496">
        <f t="shared" si="11"/>
        <v>95.948756766815151</v>
      </c>
      <c r="J234" s="443" t="str">
        <f t="shared" si="10"/>
        <v>C</v>
      </c>
    </row>
    <row r="235" spans="1:10" s="220" customFormat="1" ht="14.25">
      <c r="A235" s="446" t="s">
        <v>1601</v>
      </c>
      <c r="B235" s="446" t="s">
        <v>119</v>
      </c>
      <c r="C235" s="447" t="s">
        <v>1602</v>
      </c>
      <c r="D235" s="446" t="s">
        <v>107</v>
      </c>
      <c r="E235" s="448">
        <v>60.559310000000004</v>
      </c>
      <c r="F235" s="448">
        <v>21.06</v>
      </c>
      <c r="G235" s="445">
        <f>E235*F235</f>
        <v>1275.3790686</v>
      </c>
      <c r="H235" s="496">
        <f t="shared" si="9"/>
        <v>4.2948306266990276E-2</v>
      </c>
      <c r="I235" s="496">
        <f t="shared" si="11"/>
        <v>95.991705073082144</v>
      </c>
      <c r="J235" s="443" t="str">
        <f t="shared" si="10"/>
        <v>C</v>
      </c>
    </row>
    <row r="236" spans="1:10" s="220" customFormat="1" ht="14.25">
      <c r="A236" s="446" t="s">
        <v>3088</v>
      </c>
      <c r="B236" s="446" t="s">
        <v>119</v>
      </c>
      <c r="C236" s="447" t="s">
        <v>2565</v>
      </c>
      <c r="D236" s="446" t="s">
        <v>200</v>
      </c>
      <c r="E236" s="448">
        <v>1827.9224999999999</v>
      </c>
      <c r="F236" s="448">
        <v>0.68</v>
      </c>
      <c r="G236" s="445">
        <f>E236*F236</f>
        <v>1242.9873</v>
      </c>
      <c r="H236" s="496">
        <f t="shared" si="9"/>
        <v>4.1857515589447329E-2</v>
      </c>
      <c r="I236" s="496">
        <f t="shared" si="11"/>
        <v>96.033562588671586</v>
      </c>
      <c r="J236" s="443" t="str">
        <f t="shared" si="10"/>
        <v>C</v>
      </c>
    </row>
    <row r="237" spans="1:10" s="220" customFormat="1" ht="14.25">
      <c r="A237" s="446" t="s">
        <v>1432</v>
      </c>
      <c r="B237" s="446" t="s">
        <v>119</v>
      </c>
      <c r="C237" s="447" t="s">
        <v>1433</v>
      </c>
      <c r="D237" s="446" t="s">
        <v>107</v>
      </c>
      <c r="E237" s="448">
        <v>81.668999999999997</v>
      </c>
      <c r="F237" s="448">
        <v>14.97</v>
      </c>
      <c r="G237" s="445">
        <f>E237*F237</f>
        <v>1222.58493</v>
      </c>
      <c r="H237" s="496">
        <f t="shared" si="9"/>
        <v>4.117046712134418E-2</v>
      </c>
      <c r="I237" s="496">
        <f t="shared" si="11"/>
        <v>96.074733055792933</v>
      </c>
      <c r="J237" s="443" t="str">
        <f t="shared" si="10"/>
        <v>C</v>
      </c>
    </row>
    <row r="238" spans="1:10" s="220" customFormat="1" ht="14.25">
      <c r="A238" s="446" t="s">
        <v>1063</v>
      </c>
      <c r="B238" s="446" t="s">
        <v>119</v>
      </c>
      <c r="C238" s="447" t="s">
        <v>1064</v>
      </c>
      <c r="D238" s="446" t="s">
        <v>139</v>
      </c>
      <c r="E238" s="448">
        <v>180.28</v>
      </c>
      <c r="F238" s="448">
        <v>6.77</v>
      </c>
      <c r="G238" s="445">
        <f>E238*F238</f>
        <v>1220.4956</v>
      </c>
      <c r="H238" s="496">
        <f t="shared" si="9"/>
        <v>4.1100109070987191E-2</v>
      </c>
      <c r="I238" s="496">
        <f t="shared" si="11"/>
        <v>96.115833164863915</v>
      </c>
      <c r="J238" s="443" t="str">
        <f t="shared" si="10"/>
        <v>C</v>
      </c>
    </row>
    <row r="239" spans="1:10" s="220" customFormat="1" ht="14.25">
      <c r="A239" s="446" t="s">
        <v>1671</v>
      </c>
      <c r="B239" s="446" t="s">
        <v>119</v>
      </c>
      <c r="C239" s="447" t="s">
        <v>1672</v>
      </c>
      <c r="D239" s="446" t="s">
        <v>173</v>
      </c>
      <c r="E239" s="448">
        <v>73.482478999999998</v>
      </c>
      <c r="F239" s="448">
        <v>16.579999999999998</v>
      </c>
      <c r="G239" s="445">
        <f>E239*F239</f>
        <v>1218.3395018199999</v>
      </c>
      <c r="H239" s="496">
        <f t="shared" si="9"/>
        <v>4.1027502606559324E-2</v>
      </c>
      <c r="I239" s="496">
        <f t="shared" si="11"/>
        <v>96.156860667470468</v>
      </c>
      <c r="J239" s="443" t="str">
        <f t="shared" si="10"/>
        <v>C</v>
      </c>
    </row>
    <row r="240" spans="1:10" s="220" customFormat="1" ht="14.25">
      <c r="A240" s="446" t="s">
        <v>2735</v>
      </c>
      <c r="B240" s="446" t="s">
        <v>119</v>
      </c>
      <c r="C240" s="447" t="s">
        <v>2736</v>
      </c>
      <c r="D240" s="446" t="s">
        <v>144</v>
      </c>
      <c r="E240" s="448">
        <v>62</v>
      </c>
      <c r="F240" s="448">
        <v>19.62</v>
      </c>
      <c r="G240" s="445">
        <f>E240*F240</f>
        <v>1216.44</v>
      </c>
      <c r="H240" s="496">
        <f t="shared" si="9"/>
        <v>4.0963537007680864E-2</v>
      </c>
      <c r="I240" s="496">
        <f t="shared" si="11"/>
        <v>96.197824204478152</v>
      </c>
      <c r="J240" s="443" t="str">
        <f t="shared" si="10"/>
        <v>C</v>
      </c>
    </row>
    <row r="241" spans="1:10" s="220" customFormat="1" ht="14.25">
      <c r="A241" s="446" t="s">
        <v>1669</v>
      </c>
      <c r="B241" s="446" t="s">
        <v>119</v>
      </c>
      <c r="C241" s="447" t="s">
        <v>1670</v>
      </c>
      <c r="D241" s="446" t="s">
        <v>173</v>
      </c>
      <c r="E241" s="448">
        <v>103.285259</v>
      </c>
      <c r="F241" s="448">
        <v>11.43</v>
      </c>
      <c r="G241" s="445">
        <f>E241*F241</f>
        <v>1180.55051037</v>
      </c>
      <c r="H241" s="496">
        <f t="shared" si="9"/>
        <v>3.9754960804460573E-2</v>
      </c>
      <c r="I241" s="496">
        <f t="shared" si="11"/>
        <v>96.237579165282611</v>
      </c>
      <c r="J241" s="443" t="str">
        <f t="shared" si="10"/>
        <v>C</v>
      </c>
    </row>
    <row r="242" spans="1:10" s="220" customFormat="1" ht="28.5">
      <c r="A242" s="446" t="s">
        <v>1591</v>
      </c>
      <c r="B242" s="446" t="s">
        <v>119</v>
      </c>
      <c r="C242" s="447" t="s">
        <v>1592</v>
      </c>
      <c r="D242" s="446" t="s">
        <v>144</v>
      </c>
      <c r="E242" s="448">
        <v>63.86</v>
      </c>
      <c r="F242" s="448">
        <v>18.27</v>
      </c>
      <c r="G242" s="445">
        <f>E242*F242</f>
        <v>1166.7221999999999</v>
      </c>
      <c r="H242" s="496">
        <f t="shared" si="9"/>
        <v>3.92892933620917E-2</v>
      </c>
      <c r="I242" s="496">
        <f t="shared" si="11"/>
        <v>96.276868458644699</v>
      </c>
      <c r="J242" s="443" t="str">
        <f t="shared" si="10"/>
        <v>C</v>
      </c>
    </row>
    <row r="243" spans="1:10" s="220" customFormat="1" ht="14.25">
      <c r="A243" s="446" t="s">
        <v>1138</v>
      </c>
      <c r="B243" s="446" t="s">
        <v>158</v>
      </c>
      <c r="C243" s="447" t="s">
        <v>3091</v>
      </c>
      <c r="D243" s="446" t="s">
        <v>144</v>
      </c>
      <c r="E243" s="448">
        <v>4</v>
      </c>
      <c r="F243" s="448">
        <v>289.89</v>
      </c>
      <c r="G243" s="445">
        <f>E243*F243</f>
        <v>1159.56</v>
      </c>
      <c r="H243" s="496">
        <f t="shared" si="9"/>
        <v>3.9048106748073408E-2</v>
      </c>
      <c r="I243" s="496">
        <f t="shared" si="11"/>
        <v>96.315916565392769</v>
      </c>
      <c r="J243" s="443" t="str">
        <f t="shared" si="10"/>
        <v>C</v>
      </c>
    </row>
    <row r="244" spans="1:10" s="220" customFormat="1" ht="14.25">
      <c r="A244" s="446" t="s">
        <v>2408</v>
      </c>
      <c r="B244" s="446" t="s">
        <v>3832</v>
      </c>
      <c r="C244" s="447" t="s">
        <v>2676</v>
      </c>
      <c r="D244" s="446" t="s">
        <v>144</v>
      </c>
      <c r="E244" s="448">
        <v>2</v>
      </c>
      <c r="F244" s="448">
        <v>575.13</v>
      </c>
      <c r="G244" s="445">
        <f>E244*F244</f>
        <v>1150.26</v>
      </c>
      <c r="H244" s="496">
        <f t="shared" si="9"/>
        <v>3.8734929859635482E-2</v>
      </c>
      <c r="I244" s="496">
        <f t="shared" si="11"/>
        <v>96.354651495252398</v>
      </c>
      <c r="J244" s="443" t="str">
        <f t="shared" si="10"/>
        <v>C</v>
      </c>
    </row>
    <row r="245" spans="1:10" s="220" customFormat="1" ht="14.25">
      <c r="A245" s="446" t="s">
        <v>2140</v>
      </c>
      <c r="B245" s="446" t="s">
        <v>3832</v>
      </c>
      <c r="C245" s="447" t="s">
        <v>3948</v>
      </c>
      <c r="D245" s="446" t="s">
        <v>144</v>
      </c>
      <c r="E245" s="448">
        <v>1.5462818</v>
      </c>
      <c r="F245" s="448">
        <v>719.96</v>
      </c>
      <c r="G245" s="445">
        <f>E245*F245</f>
        <v>1113.2610447280001</v>
      </c>
      <c r="H245" s="496">
        <f t="shared" si="9"/>
        <v>3.7488992473878609E-2</v>
      </c>
      <c r="I245" s="496">
        <f t="shared" si="11"/>
        <v>96.39214048772628</v>
      </c>
      <c r="J245" s="443" t="str">
        <f t="shared" si="10"/>
        <v>C</v>
      </c>
    </row>
    <row r="246" spans="1:10" s="220" customFormat="1" ht="14.25">
      <c r="A246" s="446" t="s">
        <v>1724</v>
      </c>
      <c r="B246" s="446" t="s">
        <v>119</v>
      </c>
      <c r="C246" s="447" t="s">
        <v>1725</v>
      </c>
      <c r="D246" s="446" t="s">
        <v>144</v>
      </c>
      <c r="E246" s="448">
        <v>12</v>
      </c>
      <c r="F246" s="448">
        <v>91.64</v>
      </c>
      <c r="G246" s="445">
        <f>E246*F246</f>
        <v>1099.68</v>
      </c>
      <c r="H246" s="496">
        <f t="shared" si="9"/>
        <v>3.7031651685744051E-2</v>
      </c>
      <c r="I246" s="496">
        <f t="shared" si="11"/>
        <v>96.429172139412017</v>
      </c>
      <c r="J246" s="443" t="str">
        <f t="shared" si="10"/>
        <v>C</v>
      </c>
    </row>
    <row r="247" spans="1:10" s="220" customFormat="1" ht="28.5">
      <c r="A247" s="446" t="s">
        <v>1242</v>
      </c>
      <c r="B247" s="446" t="s">
        <v>119</v>
      </c>
      <c r="C247" s="447" t="s">
        <v>1243</v>
      </c>
      <c r="D247" s="446" t="s">
        <v>144</v>
      </c>
      <c r="E247" s="448">
        <v>765</v>
      </c>
      <c r="F247" s="448">
        <v>1.43</v>
      </c>
      <c r="G247" s="445">
        <f>E247*F247</f>
        <v>1093.95</v>
      </c>
      <c r="H247" s="496">
        <f t="shared" si="9"/>
        <v>3.6838694312545196E-2</v>
      </c>
      <c r="I247" s="496">
        <f t="shared" si="11"/>
        <v>96.466010833724567</v>
      </c>
      <c r="J247" s="443" t="str">
        <f t="shared" si="10"/>
        <v>C</v>
      </c>
    </row>
    <row r="248" spans="1:10" s="220" customFormat="1" ht="14.25">
      <c r="A248" s="446" t="s">
        <v>2099</v>
      </c>
      <c r="B248" s="446" t="s">
        <v>158</v>
      </c>
      <c r="C248" s="447" t="s">
        <v>3094</v>
      </c>
      <c r="D248" s="446" t="s">
        <v>144</v>
      </c>
      <c r="E248" s="448">
        <v>360</v>
      </c>
      <c r="F248" s="448">
        <v>3.03</v>
      </c>
      <c r="G248" s="445">
        <f>E248*F248</f>
        <v>1090.8</v>
      </c>
      <c r="H248" s="496">
        <f t="shared" si="9"/>
        <v>3.6732618269687191E-2</v>
      </c>
      <c r="I248" s="496">
        <f t="shared" si="11"/>
        <v>96.502743451994249</v>
      </c>
      <c r="J248" s="443" t="str">
        <f t="shared" si="10"/>
        <v>C</v>
      </c>
    </row>
    <row r="249" spans="1:10" s="220" customFormat="1" ht="14.25">
      <c r="A249" s="446" t="s">
        <v>3246</v>
      </c>
      <c r="B249" s="446" t="s">
        <v>158</v>
      </c>
      <c r="C249" s="447" t="s">
        <v>3394</v>
      </c>
      <c r="D249" s="446" t="s">
        <v>173</v>
      </c>
      <c r="E249" s="448">
        <v>16</v>
      </c>
      <c r="F249" s="448">
        <v>67.989999999999995</v>
      </c>
      <c r="G249" s="445">
        <f>E249*F249</f>
        <v>1087.8399999999999</v>
      </c>
      <c r="H249" s="496">
        <f t="shared" si="9"/>
        <v>3.66329404643349E-2</v>
      </c>
      <c r="I249" s="496">
        <f t="shared" si="11"/>
        <v>96.539376392458578</v>
      </c>
      <c r="J249" s="443" t="str">
        <f t="shared" si="10"/>
        <v>C</v>
      </c>
    </row>
    <row r="250" spans="1:10" s="220" customFormat="1" ht="14.25">
      <c r="A250" s="446" t="s">
        <v>1577</v>
      </c>
      <c r="B250" s="446" t="s">
        <v>119</v>
      </c>
      <c r="C250" s="447" t="s">
        <v>1578</v>
      </c>
      <c r="D250" s="446" t="s">
        <v>144</v>
      </c>
      <c r="E250" s="448">
        <v>9</v>
      </c>
      <c r="F250" s="448">
        <v>120.68</v>
      </c>
      <c r="G250" s="445">
        <f>E250*F250</f>
        <v>1086.1200000000001</v>
      </c>
      <c r="H250" s="496">
        <f t="shared" si="9"/>
        <v>3.6575019577441012E-2</v>
      </c>
      <c r="I250" s="496">
        <f t="shared" si="11"/>
        <v>96.575951412036019</v>
      </c>
      <c r="J250" s="443" t="str">
        <f t="shared" si="10"/>
        <v>C</v>
      </c>
    </row>
    <row r="251" spans="1:10" s="220" customFormat="1" ht="28.5">
      <c r="A251" s="446" t="s">
        <v>1335</v>
      </c>
      <c r="B251" s="446" t="s">
        <v>119</v>
      </c>
      <c r="C251" s="447" t="s">
        <v>1336</v>
      </c>
      <c r="D251" s="446" t="s">
        <v>173</v>
      </c>
      <c r="E251" s="448">
        <v>152.14840000000001</v>
      </c>
      <c r="F251" s="448">
        <v>7.07</v>
      </c>
      <c r="G251" s="445">
        <f>E251*F251</f>
        <v>1075.6891880000001</v>
      </c>
      <c r="H251" s="496">
        <f t="shared" si="9"/>
        <v>3.6223762669264553E-2</v>
      </c>
      <c r="I251" s="496">
        <f t="shared" si="11"/>
        <v>96.612175174705285</v>
      </c>
      <c r="J251" s="443" t="str">
        <f t="shared" si="10"/>
        <v>C</v>
      </c>
    </row>
    <row r="252" spans="1:10" s="220" customFormat="1" ht="14.25">
      <c r="A252" s="446" t="s">
        <v>3971</v>
      </c>
      <c r="B252" s="446" t="s">
        <v>119</v>
      </c>
      <c r="C252" s="447" t="s">
        <v>3969</v>
      </c>
      <c r="D252" s="446" t="s">
        <v>139</v>
      </c>
      <c r="E252" s="448">
        <v>4.625</v>
      </c>
      <c r="F252" s="448">
        <v>230.61</v>
      </c>
      <c r="G252" s="445">
        <f>E252*F252</f>
        <v>1066.57125</v>
      </c>
      <c r="H252" s="496">
        <f t="shared" si="9"/>
        <v>3.5916716706704349E-2</v>
      </c>
      <c r="I252" s="496">
        <f t="shared" si="11"/>
        <v>96.648091891411994</v>
      </c>
      <c r="J252" s="443" t="str">
        <f t="shared" si="10"/>
        <v>C</v>
      </c>
    </row>
    <row r="253" spans="1:10" s="220" customFormat="1" ht="14.25">
      <c r="A253" s="446" t="s">
        <v>3324</v>
      </c>
      <c r="B253" s="446" t="s">
        <v>119</v>
      </c>
      <c r="C253" s="447" t="s">
        <v>3325</v>
      </c>
      <c r="D253" s="446" t="s">
        <v>144</v>
      </c>
      <c r="E253" s="448">
        <v>49</v>
      </c>
      <c r="F253" s="448">
        <v>21.71</v>
      </c>
      <c r="G253" s="445">
        <f>E253*F253</f>
        <v>1063.79</v>
      </c>
      <c r="H253" s="496">
        <f t="shared" si="9"/>
        <v>3.5823058295847574E-2</v>
      </c>
      <c r="I253" s="496">
        <f t="shared" si="11"/>
        <v>96.683914949707841</v>
      </c>
      <c r="J253" s="443" t="str">
        <f t="shared" si="10"/>
        <v>C</v>
      </c>
    </row>
    <row r="254" spans="1:10" s="220" customFormat="1" ht="28.5">
      <c r="A254" s="446" t="s">
        <v>1373</v>
      </c>
      <c r="B254" s="446" t="s">
        <v>119</v>
      </c>
      <c r="C254" s="447" t="s">
        <v>1374</v>
      </c>
      <c r="D254" s="446" t="s">
        <v>144</v>
      </c>
      <c r="E254" s="448">
        <v>4794.7714917663998</v>
      </c>
      <c r="F254" s="448">
        <v>0.22</v>
      </c>
      <c r="G254" s="445">
        <f>E254*F254</f>
        <v>1054.849728188608</v>
      </c>
      <c r="H254" s="496">
        <f t="shared" si="9"/>
        <v>3.5521995230505525E-2</v>
      </c>
      <c r="I254" s="496">
        <f t="shared" si="11"/>
        <v>96.719436944938352</v>
      </c>
      <c r="J254" s="443" t="str">
        <f t="shared" si="10"/>
        <v>C</v>
      </c>
    </row>
    <row r="255" spans="1:10" s="220" customFormat="1" ht="28.5">
      <c r="A255" s="446" t="s">
        <v>1802</v>
      </c>
      <c r="B255" s="446" t="s">
        <v>119</v>
      </c>
      <c r="C255" s="447" t="s">
        <v>1803</v>
      </c>
      <c r="D255" s="446" t="s">
        <v>173</v>
      </c>
      <c r="E255" s="448">
        <v>104.274732</v>
      </c>
      <c r="F255" s="448">
        <v>10.09</v>
      </c>
      <c r="G255" s="445">
        <f>E255*F255</f>
        <v>1052.1320458800001</v>
      </c>
      <c r="H255" s="496">
        <f t="shared" si="9"/>
        <v>3.5430477457476212E-2</v>
      </c>
      <c r="I255" s="496">
        <f t="shared" si="11"/>
        <v>96.754867422395833</v>
      </c>
      <c r="J255" s="443" t="str">
        <f t="shared" si="10"/>
        <v>C</v>
      </c>
    </row>
    <row r="256" spans="1:10" s="220" customFormat="1" ht="28.5">
      <c r="A256" s="446" t="s">
        <v>1537</v>
      </c>
      <c r="B256" s="446" t="s">
        <v>119</v>
      </c>
      <c r="C256" s="447" t="s">
        <v>1538</v>
      </c>
      <c r="D256" s="446" t="s">
        <v>173</v>
      </c>
      <c r="E256" s="448">
        <v>225.90843000000001</v>
      </c>
      <c r="F256" s="448">
        <v>4.57</v>
      </c>
      <c r="G256" s="445">
        <f>E256*F256</f>
        <v>1032.4015251000001</v>
      </c>
      <c r="H256" s="496">
        <f t="shared" si="9"/>
        <v>3.4766053467676181E-2</v>
      </c>
      <c r="I256" s="496">
        <f t="shared" si="11"/>
        <v>96.789633475863511</v>
      </c>
      <c r="J256" s="443" t="str">
        <f t="shared" si="10"/>
        <v>C</v>
      </c>
    </row>
    <row r="257" spans="1:10" s="220" customFormat="1" ht="14.25">
      <c r="A257" s="446" t="s">
        <v>1018</v>
      </c>
      <c r="B257" s="446" t="s">
        <v>119</v>
      </c>
      <c r="C257" s="447" t="s">
        <v>1019</v>
      </c>
      <c r="D257" s="446" t="s">
        <v>139</v>
      </c>
      <c r="E257" s="448">
        <v>22.18</v>
      </c>
      <c r="F257" s="448">
        <v>45.86</v>
      </c>
      <c r="G257" s="445">
        <f>E257*F257</f>
        <v>1017.1748</v>
      </c>
      <c r="H257" s="496">
        <f t="shared" si="9"/>
        <v>3.4253294501233413E-2</v>
      </c>
      <c r="I257" s="496">
        <f t="shared" si="11"/>
        <v>96.823886770364737</v>
      </c>
      <c r="J257" s="443" t="str">
        <f t="shared" si="10"/>
        <v>C</v>
      </c>
    </row>
    <row r="258" spans="1:10" s="220" customFormat="1" ht="14.25">
      <c r="A258" s="446" t="s">
        <v>1233</v>
      </c>
      <c r="B258" s="446" t="s">
        <v>158</v>
      </c>
      <c r="C258" s="447" t="s">
        <v>3095</v>
      </c>
      <c r="D258" s="446" t="s">
        <v>144</v>
      </c>
      <c r="E258" s="448">
        <v>4</v>
      </c>
      <c r="F258" s="448">
        <v>254.19</v>
      </c>
      <c r="G258" s="445">
        <f>E258*F258</f>
        <v>1016.76</v>
      </c>
      <c r="H258" s="496">
        <f t="shared" si="9"/>
        <v>3.4239326138510398E-2</v>
      </c>
      <c r="I258" s="496">
        <f t="shared" si="11"/>
        <v>96.858126096503241</v>
      </c>
      <c r="J258" s="443" t="str">
        <f t="shared" si="10"/>
        <v>C</v>
      </c>
    </row>
    <row r="259" spans="1:10" s="220" customFormat="1" ht="14.25">
      <c r="A259" s="446" t="s">
        <v>2807</v>
      </c>
      <c r="B259" s="446" t="s">
        <v>119</v>
      </c>
      <c r="C259" s="447" t="s">
        <v>1539</v>
      </c>
      <c r="D259" s="446" t="s">
        <v>144</v>
      </c>
      <c r="E259" s="448">
        <v>2</v>
      </c>
      <c r="F259" s="448">
        <v>501.41</v>
      </c>
      <c r="G259" s="445">
        <f>E259*F259</f>
        <v>1002.82</v>
      </c>
      <c r="H259" s="496">
        <f t="shared" si="9"/>
        <v>3.3769897555195917E-2</v>
      </c>
      <c r="I259" s="496">
        <f t="shared" si="11"/>
        <v>96.891895994058444</v>
      </c>
      <c r="J259" s="443" t="str">
        <f t="shared" si="10"/>
        <v>C</v>
      </c>
    </row>
    <row r="260" spans="1:10" s="220" customFormat="1" ht="14.25">
      <c r="A260" s="446" t="s">
        <v>1147</v>
      </c>
      <c r="B260" s="446" t="s">
        <v>158</v>
      </c>
      <c r="C260" s="447" t="s">
        <v>3096</v>
      </c>
      <c r="D260" s="446" t="s">
        <v>144</v>
      </c>
      <c r="E260" s="448">
        <v>10</v>
      </c>
      <c r="F260" s="448">
        <v>99.9</v>
      </c>
      <c r="G260" s="445">
        <f>E260*F260</f>
        <v>999</v>
      </c>
      <c r="H260" s="496">
        <f t="shared" si="9"/>
        <v>3.3641259306396679E-2</v>
      </c>
      <c r="I260" s="496">
        <f t="shared" si="11"/>
        <v>96.925537253364837</v>
      </c>
      <c r="J260" s="443" t="str">
        <f t="shared" si="10"/>
        <v>C</v>
      </c>
    </row>
    <row r="261" spans="1:10" s="220" customFormat="1" ht="28.5">
      <c r="A261" s="446" t="s">
        <v>1770</v>
      </c>
      <c r="B261" s="446" t="s">
        <v>119</v>
      </c>
      <c r="C261" s="447" t="s">
        <v>1771</v>
      </c>
      <c r="D261" s="446" t="s">
        <v>144</v>
      </c>
      <c r="E261" s="448">
        <v>16</v>
      </c>
      <c r="F261" s="448">
        <v>60.22</v>
      </c>
      <c r="G261" s="445">
        <f>E261*F261</f>
        <v>963.52</v>
      </c>
      <c r="H261" s="496">
        <f t="shared" si="9"/>
        <v>3.244647263953887E-2</v>
      </c>
      <c r="I261" s="496">
        <f t="shared" si="11"/>
        <v>96.957983726004372</v>
      </c>
      <c r="J261" s="443" t="str">
        <f t="shared" si="10"/>
        <v>C</v>
      </c>
    </row>
    <row r="262" spans="1:10" s="220" customFormat="1" ht="28.5">
      <c r="A262" s="446" t="s">
        <v>1675</v>
      </c>
      <c r="B262" s="446" t="s">
        <v>119</v>
      </c>
      <c r="C262" s="447" t="s">
        <v>1676</v>
      </c>
      <c r="D262" s="446" t="s">
        <v>144</v>
      </c>
      <c r="E262" s="448">
        <v>2</v>
      </c>
      <c r="F262" s="448">
        <v>481.21</v>
      </c>
      <c r="G262" s="445">
        <f>E262*F262</f>
        <v>962.42</v>
      </c>
      <c r="H262" s="496">
        <f t="shared" si="9"/>
        <v>3.2409430211874167E-2</v>
      </c>
      <c r="I262" s="496">
        <f t="shared" si="11"/>
        <v>96.990393156216243</v>
      </c>
      <c r="J262" s="443" t="str">
        <f t="shared" si="10"/>
        <v>C</v>
      </c>
    </row>
    <row r="263" spans="1:10" s="220" customFormat="1" ht="14.25">
      <c r="A263" s="446" t="s">
        <v>1325</v>
      </c>
      <c r="B263" s="446" t="s">
        <v>119</v>
      </c>
      <c r="C263" s="447" t="s">
        <v>1326</v>
      </c>
      <c r="D263" s="446" t="s">
        <v>173</v>
      </c>
      <c r="E263" s="448">
        <v>243.87209999999999</v>
      </c>
      <c r="F263" s="448">
        <v>3.94</v>
      </c>
      <c r="G263" s="445">
        <f>E263*F263</f>
        <v>960.85607399999992</v>
      </c>
      <c r="H263" s="496">
        <f t="shared" si="9"/>
        <v>3.2356765106666942E-2</v>
      </c>
      <c r="I263" s="496">
        <f t="shared" si="11"/>
        <v>97.022749921322912</v>
      </c>
      <c r="J263" s="443" t="str">
        <f t="shared" si="10"/>
        <v>C</v>
      </c>
    </row>
    <row r="264" spans="1:10" s="220" customFormat="1" ht="14.25">
      <c r="A264" s="446" t="s">
        <v>630</v>
      </c>
      <c r="B264" s="446" t="s">
        <v>119</v>
      </c>
      <c r="C264" s="447" t="s">
        <v>631</v>
      </c>
      <c r="D264" s="446" t="s">
        <v>173</v>
      </c>
      <c r="E264" s="448">
        <v>108.87844</v>
      </c>
      <c r="F264" s="448">
        <v>8.7899999999999991</v>
      </c>
      <c r="G264" s="445">
        <f>E264*F264</f>
        <v>957.04148759999987</v>
      </c>
      <c r="H264" s="496">
        <f t="shared" si="9"/>
        <v>3.2228309160491714E-2</v>
      </c>
      <c r="I264" s="496">
        <f t="shared" si="11"/>
        <v>97.0549782304834</v>
      </c>
      <c r="J264" s="443" t="str">
        <f t="shared" si="10"/>
        <v>C</v>
      </c>
    </row>
    <row r="265" spans="1:10" s="220" customFormat="1" ht="28.5">
      <c r="A265" s="446" t="s">
        <v>1764</v>
      </c>
      <c r="B265" s="446" t="s">
        <v>119</v>
      </c>
      <c r="C265" s="447" t="s">
        <v>1765</v>
      </c>
      <c r="D265" s="446" t="s">
        <v>173</v>
      </c>
      <c r="E265" s="448">
        <v>31.39395</v>
      </c>
      <c r="F265" s="448">
        <v>30.4</v>
      </c>
      <c r="G265" s="445">
        <f>E265*F265</f>
        <v>954.37608</v>
      </c>
      <c r="H265" s="496">
        <f t="shared" ref="H265:H328" si="12">(G265*100)/SUM($G$8:$G$628)</f>
        <v>3.2138551734837227E-2</v>
      </c>
      <c r="I265" s="496">
        <f t="shared" si="11"/>
        <v>97.087116782218231</v>
      </c>
      <c r="J265" s="443" t="str">
        <f t="shared" ref="J265:J328" si="13">IF(I265&lt;80,"A",IF(I265&lt;95,"B","C"))</f>
        <v>C</v>
      </c>
    </row>
    <row r="266" spans="1:10" s="220" customFormat="1" ht="14.25">
      <c r="A266" s="446" t="s">
        <v>1399</v>
      </c>
      <c r="B266" s="446" t="s">
        <v>119</v>
      </c>
      <c r="C266" s="447" t="s">
        <v>1400</v>
      </c>
      <c r="D266" s="446" t="s">
        <v>173</v>
      </c>
      <c r="E266" s="448">
        <v>73.98</v>
      </c>
      <c r="F266" s="448">
        <v>12.9</v>
      </c>
      <c r="G266" s="445">
        <f>E266*F266</f>
        <v>954.3420000000001</v>
      </c>
      <c r="H266" s="496">
        <f t="shared" si="12"/>
        <v>3.2137404093078303E-2</v>
      </c>
      <c r="I266" s="496">
        <f t="shared" ref="I266:I329" si="14">H266+I265</f>
        <v>97.119254186311309</v>
      </c>
      <c r="J266" s="443" t="str">
        <f t="shared" si="13"/>
        <v>C</v>
      </c>
    </row>
    <row r="267" spans="1:10" s="220" customFormat="1" ht="14.25">
      <c r="A267" s="446" t="s">
        <v>1333</v>
      </c>
      <c r="B267" s="446" t="s">
        <v>119</v>
      </c>
      <c r="C267" s="447" t="s">
        <v>1334</v>
      </c>
      <c r="D267" s="446" t="s">
        <v>200</v>
      </c>
      <c r="E267" s="448">
        <v>50.246084000000003</v>
      </c>
      <c r="F267" s="448">
        <v>18.72</v>
      </c>
      <c r="G267" s="445">
        <f>E267*F267</f>
        <v>940.60669247999999</v>
      </c>
      <c r="H267" s="496">
        <f t="shared" si="12"/>
        <v>3.1674868515567368E-2</v>
      </c>
      <c r="I267" s="496">
        <f t="shared" si="14"/>
        <v>97.150929054826875</v>
      </c>
      <c r="J267" s="443" t="str">
        <f t="shared" si="13"/>
        <v>C</v>
      </c>
    </row>
    <row r="268" spans="1:10" s="220" customFormat="1" ht="14.25">
      <c r="A268" s="446" t="s">
        <v>2340</v>
      </c>
      <c r="B268" s="446" t="s">
        <v>119</v>
      </c>
      <c r="C268" s="447" t="s">
        <v>2341</v>
      </c>
      <c r="D268" s="446" t="s">
        <v>144</v>
      </c>
      <c r="E268" s="448">
        <v>4</v>
      </c>
      <c r="F268" s="448">
        <v>228.48</v>
      </c>
      <c r="G268" s="445">
        <f>E268*F268</f>
        <v>913.92</v>
      </c>
      <c r="H268" s="496">
        <f t="shared" si="12"/>
        <v>3.0776195901203261E-2</v>
      </c>
      <c r="I268" s="496">
        <f t="shared" si="14"/>
        <v>97.181705250728072</v>
      </c>
      <c r="J268" s="443" t="str">
        <f t="shared" si="13"/>
        <v>C</v>
      </c>
    </row>
    <row r="269" spans="1:10" s="220" customFormat="1" ht="28.5">
      <c r="A269" s="446" t="s">
        <v>1806</v>
      </c>
      <c r="B269" s="446" t="s">
        <v>119</v>
      </c>
      <c r="C269" s="447" t="s">
        <v>1807</v>
      </c>
      <c r="D269" s="446" t="s">
        <v>173</v>
      </c>
      <c r="E269" s="448">
        <v>74.989583999999994</v>
      </c>
      <c r="F269" s="448">
        <v>12.06</v>
      </c>
      <c r="G269" s="445">
        <f>E269*F269</f>
        <v>904.37438304</v>
      </c>
      <c r="H269" s="496">
        <f t="shared" si="12"/>
        <v>3.0454747877788946E-2</v>
      </c>
      <c r="I269" s="496">
        <f t="shared" si="14"/>
        <v>97.212159998605856</v>
      </c>
      <c r="J269" s="443" t="str">
        <f t="shared" si="13"/>
        <v>C</v>
      </c>
    </row>
    <row r="270" spans="1:10" s="220" customFormat="1" ht="14.25">
      <c r="A270" s="446" t="s">
        <v>3719</v>
      </c>
      <c r="B270" s="446" t="s">
        <v>119</v>
      </c>
      <c r="C270" s="447" t="s">
        <v>3025</v>
      </c>
      <c r="D270" s="446" t="s">
        <v>200</v>
      </c>
      <c r="E270" s="448">
        <v>20.326149999999998</v>
      </c>
      <c r="F270" s="448">
        <v>44</v>
      </c>
      <c r="G270" s="445">
        <f>E270*F270</f>
        <v>894.35059999999999</v>
      </c>
      <c r="H270" s="496">
        <f t="shared" si="12"/>
        <v>3.0117197643074529E-2</v>
      </c>
      <c r="I270" s="496">
        <f t="shared" si="14"/>
        <v>97.242277196248935</v>
      </c>
      <c r="J270" s="443" t="str">
        <f t="shared" si="13"/>
        <v>C</v>
      </c>
    </row>
    <row r="271" spans="1:10" s="220" customFormat="1" ht="14.25">
      <c r="A271" s="446" t="s">
        <v>2731</v>
      </c>
      <c r="B271" s="446" t="s">
        <v>119</v>
      </c>
      <c r="C271" s="447" t="s">
        <v>2732</v>
      </c>
      <c r="D271" s="446" t="s">
        <v>144</v>
      </c>
      <c r="E271" s="448">
        <v>56</v>
      </c>
      <c r="F271" s="448">
        <v>15.78</v>
      </c>
      <c r="G271" s="445">
        <f>E271*F271</f>
        <v>883.68</v>
      </c>
      <c r="H271" s="496">
        <f t="shared" si="12"/>
        <v>2.9757865889766387E-2</v>
      </c>
      <c r="I271" s="496">
        <f t="shared" si="14"/>
        <v>97.272035062138698</v>
      </c>
      <c r="J271" s="443" t="str">
        <f t="shared" si="13"/>
        <v>C</v>
      </c>
    </row>
    <row r="272" spans="1:10" s="220" customFormat="1" ht="14.25">
      <c r="A272" s="446" t="s">
        <v>1542</v>
      </c>
      <c r="B272" s="446" t="s">
        <v>119</v>
      </c>
      <c r="C272" s="447" t="s">
        <v>1543</v>
      </c>
      <c r="D272" s="446" t="s">
        <v>144</v>
      </c>
      <c r="E272" s="448">
        <v>10.6599</v>
      </c>
      <c r="F272" s="448">
        <v>82.55</v>
      </c>
      <c r="G272" s="445">
        <f>E272*F272</f>
        <v>879.97474499999998</v>
      </c>
      <c r="H272" s="496">
        <f t="shared" si="12"/>
        <v>2.9633091671296592E-2</v>
      </c>
      <c r="I272" s="496">
        <f t="shared" si="14"/>
        <v>97.301668153809999</v>
      </c>
      <c r="J272" s="443" t="str">
        <f t="shared" si="13"/>
        <v>C</v>
      </c>
    </row>
    <row r="273" spans="1:10" s="220" customFormat="1" ht="14.25">
      <c r="A273" s="446" t="s">
        <v>1205</v>
      </c>
      <c r="B273" s="446" t="s">
        <v>158</v>
      </c>
      <c r="C273" s="447" t="s">
        <v>3093</v>
      </c>
      <c r="D273" s="446" t="s">
        <v>173</v>
      </c>
      <c r="E273" s="448">
        <v>96.21</v>
      </c>
      <c r="F273" s="448">
        <v>9.09</v>
      </c>
      <c r="G273" s="445">
        <f>E273*F273</f>
        <v>874.54889999999989</v>
      </c>
      <c r="H273" s="496">
        <f t="shared" si="12"/>
        <v>2.9450376697721697E-2</v>
      </c>
      <c r="I273" s="496">
        <f t="shared" si="14"/>
        <v>97.331118530507723</v>
      </c>
      <c r="J273" s="443" t="str">
        <f t="shared" si="13"/>
        <v>C</v>
      </c>
    </row>
    <row r="274" spans="1:10" s="220" customFormat="1" ht="14.25">
      <c r="A274" s="446" t="s">
        <v>3286</v>
      </c>
      <c r="B274" s="446" t="s">
        <v>3832</v>
      </c>
      <c r="C274" s="447" t="s">
        <v>3395</v>
      </c>
      <c r="D274" s="446" t="s">
        <v>144</v>
      </c>
      <c r="E274" s="448">
        <v>30</v>
      </c>
      <c r="F274" s="448">
        <v>28.99</v>
      </c>
      <c r="G274" s="445">
        <f>E274*F274</f>
        <v>869.69999999999993</v>
      </c>
      <c r="H274" s="496">
        <f t="shared" si="12"/>
        <v>2.9287090309082275E-2</v>
      </c>
      <c r="I274" s="496">
        <f t="shared" si="14"/>
        <v>97.360405620816806</v>
      </c>
      <c r="J274" s="443" t="str">
        <f t="shared" si="13"/>
        <v>C</v>
      </c>
    </row>
    <row r="275" spans="1:10" s="220" customFormat="1" ht="14.25">
      <c r="A275" s="446" t="s">
        <v>3510</v>
      </c>
      <c r="B275" s="446" t="s">
        <v>3832</v>
      </c>
      <c r="C275" s="447" t="s">
        <v>3615</v>
      </c>
      <c r="D275" s="446" t="s">
        <v>144</v>
      </c>
      <c r="E275" s="448">
        <v>6</v>
      </c>
      <c r="F275" s="448">
        <v>142</v>
      </c>
      <c r="G275" s="445">
        <f>E275*F275</f>
        <v>852</v>
      </c>
      <c r="H275" s="496">
        <f t="shared" si="12"/>
        <v>2.8691043973022995E-2</v>
      </c>
      <c r="I275" s="496">
        <f t="shared" si="14"/>
        <v>97.389096664789832</v>
      </c>
      <c r="J275" s="443" t="str">
        <f t="shared" si="13"/>
        <v>C</v>
      </c>
    </row>
    <row r="276" spans="1:10" s="220" customFormat="1" ht="28.5">
      <c r="A276" s="446" t="s">
        <v>1494</v>
      </c>
      <c r="B276" s="446" t="s">
        <v>119</v>
      </c>
      <c r="C276" s="447" t="s">
        <v>1495</v>
      </c>
      <c r="D276" s="446" t="s">
        <v>173</v>
      </c>
      <c r="E276" s="448">
        <v>120.613956</v>
      </c>
      <c r="F276" s="448">
        <v>7.05</v>
      </c>
      <c r="G276" s="445">
        <f>E276*F276</f>
        <v>850.32838979999997</v>
      </c>
      <c r="H276" s="496">
        <f t="shared" si="12"/>
        <v>2.8634752609462018E-2</v>
      </c>
      <c r="I276" s="496">
        <f t="shared" si="14"/>
        <v>97.417731417399295</v>
      </c>
      <c r="J276" s="443" t="str">
        <f t="shared" si="13"/>
        <v>C</v>
      </c>
    </row>
    <row r="277" spans="1:10" s="220" customFormat="1" ht="14.25">
      <c r="A277" s="446" t="s">
        <v>1049</v>
      </c>
      <c r="B277" s="446" t="s">
        <v>3006</v>
      </c>
      <c r="C277" s="447" t="s">
        <v>1050</v>
      </c>
      <c r="D277" s="446" t="s">
        <v>144</v>
      </c>
      <c r="E277" s="448">
        <v>1348.36</v>
      </c>
      <c r="F277" s="448">
        <v>0.63</v>
      </c>
      <c r="G277" s="445">
        <f>E277*F277</f>
        <v>849.46679999999992</v>
      </c>
      <c r="H277" s="496">
        <f t="shared" si="12"/>
        <v>2.860573862960461E-2</v>
      </c>
      <c r="I277" s="496">
        <f t="shared" si="14"/>
        <v>97.446337156028903</v>
      </c>
      <c r="J277" s="443" t="str">
        <f t="shared" si="13"/>
        <v>C</v>
      </c>
    </row>
    <row r="278" spans="1:10" s="220" customFormat="1" ht="28.5">
      <c r="A278" s="446" t="s">
        <v>2722</v>
      </c>
      <c r="B278" s="446" t="s">
        <v>3006</v>
      </c>
      <c r="C278" s="447" t="s">
        <v>3099</v>
      </c>
      <c r="D278" s="446" t="s">
        <v>144</v>
      </c>
      <c r="E278" s="448">
        <v>1.1072</v>
      </c>
      <c r="F278" s="448">
        <v>760.6</v>
      </c>
      <c r="G278" s="445">
        <f>E278*F278</f>
        <v>842.13631999999996</v>
      </c>
      <c r="H278" s="496">
        <f t="shared" si="12"/>
        <v>2.8358885197652305E-2</v>
      </c>
      <c r="I278" s="496">
        <f t="shared" si="14"/>
        <v>97.474696041226551</v>
      </c>
      <c r="J278" s="443" t="str">
        <f t="shared" si="13"/>
        <v>C</v>
      </c>
    </row>
    <row r="279" spans="1:10" s="220" customFormat="1" ht="28.5">
      <c r="A279" s="446" t="s">
        <v>1482</v>
      </c>
      <c r="B279" s="446" t="s">
        <v>119</v>
      </c>
      <c r="C279" s="447" t="s">
        <v>1483</v>
      </c>
      <c r="D279" s="446" t="s">
        <v>173</v>
      </c>
      <c r="E279" s="448">
        <v>345.651185</v>
      </c>
      <c r="F279" s="448">
        <v>2.42</v>
      </c>
      <c r="G279" s="445">
        <f>E279*F279</f>
        <v>836.47586769999998</v>
      </c>
      <c r="H279" s="496">
        <f t="shared" si="12"/>
        <v>2.816826983867754E-2</v>
      </c>
      <c r="I279" s="496">
        <f t="shared" si="14"/>
        <v>97.502864311065224</v>
      </c>
      <c r="J279" s="443" t="str">
        <f t="shared" si="13"/>
        <v>C</v>
      </c>
    </row>
    <row r="280" spans="1:10" s="220" customFormat="1" ht="28.5">
      <c r="A280" s="446" t="s">
        <v>767</v>
      </c>
      <c r="B280" s="446" t="s">
        <v>3006</v>
      </c>
      <c r="C280" s="447" t="s">
        <v>3098</v>
      </c>
      <c r="D280" s="446" t="s">
        <v>200</v>
      </c>
      <c r="E280" s="448">
        <v>73.634500000000003</v>
      </c>
      <c r="F280" s="448">
        <v>11.35</v>
      </c>
      <c r="G280" s="445">
        <f>E280*F280</f>
        <v>835.751575</v>
      </c>
      <c r="H280" s="496">
        <f t="shared" si="12"/>
        <v>2.814387932963407E-2</v>
      </c>
      <c r="I280" s="496">
        <f t="shared" si="14"/>
        <v>97.531008190394857</v>
      </c>
      <c r="J280" s="443" t="str">
        <f t="shared" si="13"/>
        <v>C</v>
      </c>
    </row>
    <row r="281" spans="1:10" s="220" customFormat="1" ht="28.5">
      <c r="A281" s="446" t="s">
        <v>2312</v>
      </c>
      <c r="B281" s="446" t="s">
        <v>119</v>
      </c>
      <c r="C281" s="447" t="s">
        <v>2313</v>
      </c>
      <c r="D281" s="446" t="s">
        <v>173</v>
      </c>
      <c r="E281" s="448">
        <v>30.4056</v>
      </c>
      <c r="F281" s="448">
        <v>26.81</v>
      </c>
      <c r="G281" s="445">
        <f>E281*F281</f>
        <v>815.17413599999998</v>
      </c>
      <c r="H281" s="496">
        <f t="shared" si="12"/>
        <v>2.7450935424468342E-2</v>
      </c>
      <c r="I281" s="496">
        <f t="shared" si="14"/>
        <v>97.558459125819326</v>
      </c>
      <c r="J281" s="443" t="str">
        <f t="shared" si="13"/>
        <v>C</v>
      </c>
    </row>
    <row r="282" spans="1:10" s="220" customFormat="1" ht="28.5">
      <c r="A282" s="446" t="s">
        <v>1629</v>
      </c>
      <c r="B282" s="446" t="s">
        <v>119</v>
      </c>
      <c r="C282" s="447" t="s">
        <v>1630</v>
      </c>
      <c r="D282" s="446" t="s">
        <v>144</v>
      </c>
      <c r="E282" s="448">
        <v>26.22634</v>
      </c>
      <c r="F282" s="448">
        <v>30.07</v>
      </c>
      <c r="G282" s="445">
        <f>E282*F282</f>
        <v>788.62604380000005</v>
      </c>
      <c r="H282" s="496">
        <f t="shared" si="12"/>
        <v>2.6556930165418966E-2</v>
      </c>
      <c r="I282" s="496">
        <f t="shared" si="14"/>
        <v>97.585016055984738</v>
      </c>
      <c r="J282" s="443" t="str">
        <f t="shared" si="13"/>
        <v>C</v>
      </c>
    </row>
    <row r="283" spans="1:10" s="220" customFormat="1" ht="28.5">
      <c r="A283" s="446" t="s">
        <v>775</v>
      </c>
      <c r="B283" s="446" t="s">
        <v>3006</v>
      </c>
      <c r="C283" s="447" t="s">
        <v>3097</v>
      </c>
      <c r="D283" s="446" t="s">
        <v>139</v>
      </c>
      <c r="E283" s="448">
        <v>3.34</v>
      </c>
      <c r="F283" s="448">
        <v>230.87</v>
      </c>
      <c r="G283" s="445">
        <f>E283*F283</f>
        <v>771.10579999999993</v>
      </c>
      <c r="H283" s="496">
        <f t="shared" si="12"/>
        <v>2.5966937107574029E-2</v>
      </c>
      <c r="I283" s="496">
        <f t="shared" si="14"/>
        <v>97.610982993092307</v>
      </c>
      <c r="J283" s="443" t="str">
        <f t="shared" si="13"/>
        <v>C</v>
      </c>
    </row>
    <row r="284" spans="1:10" s="220" customFormat="1" ht="14.25">
      <c r="A284" s="446" t="s">
        <v>1547</v>
      </c>
      <c r="B284" s="446" t="s">
        <v>119</v>
      </c>
      <c r="C284" s="447" t="s">
        <v>1548</v>
      </c>
      <c r="D284" s="446" t="s">
        <v>200</v>
      </c>
      <c r="E284" s="448">
        <v>94.975999999999999</v>
      </c>
      <c r="F284" s="448">
        <v>8.09</v>
      </c>
      <c r="G284" s="445">
        <f>E284*F284</f>
        <v>768.35583999999994</v>
      </c>
      <c r="H284" s="496">
        <f t="shared" si="12"/>
        <v>2.5874332385409645E-2</v>
      </c>
      <c r="I284" s="496">
        <f t="shared" si="14"/>
        <v>97.63685732547772</v>
      </c>
      <c r="J284" s="443" t="str">
        <f t="shared" si="13"/>
        <v>C</v>
      </c>
    </row>
    <row r="285" spans="1:10" s="220" customFormat="1" ht="14.25">
      <c r="A285" s="446" t="s">
        <v>3774</v>
      </c>
      <c r="B285" s="446" t="s">
        <v>3396</v>
      </c>
      <c r="C285" s="447" t="s">
        <v>3788</v>
      </c>
      <c r="D285" s="446" t="s">
        <v>173</v>
      </c>
      <c r="E285" s="448">
        <v>90.164479999999998</v>
      </c>
      <c r="F285" s="448">
        <v>8.2799999999999994</v>
      </c>
      <c r="G285" s="445">
        <f>E285*F285</f>
        <v>746.56189439999991</v>
      </c>
      <c r="H285" s="496">
        <f t="shared" si="12"/>
        <v>2.514042270048562E-2</v>
      </c>
      <c r="I285" s="496">
        <f t="shared" si="14"/>
        <v>97.661997748178209</v>
      </c>
      <c r="J285" s="443" t="str">
        <f t="shared" si="13"/>
        <v>C</v>
      </c>
    </row>
    <row r="286" spans="1:10" s="220" customFormat="1" ht="28.5">
      <c r="A286" s="446" t="s">
        <v>1798</v>
      </c>
      <c r="B286" s="446" t="s">
        <v>119</v>
      </c>
      <c r="C286" s="447" t="s">
        <v>1799</v>
      </c>
      <c r="D286" s="446" t="s">
        <v>173</v>
      </c>
      <c r="E286" s="448">
        <v>80.432046999999997</v>
      </c>
      <c r="F286" s="448">
        <v>9.18</v>
      </c>
      <c r="G286" s="445">
        <f>E286*F286</f>
        <v>738.36619145999998</v>
      </c>
      <c r="H286" s="496">
        <f t="shared" si="12"/>
        <v>2.4864432942925323E-2</v>
      </c>
      <c r="I286" s="496">
        <f t="shared" si="14"/>
        <v>97.686862181121128</v>
      </c>
      <c r="J286" s="443" t="str">
        <f t="shared" si="13"/>
        <v>C</v>
      </c>
    </row>
    <row r="287" spans="1:10" s="220" customFormat="1" ht="14.25">
      <c r="A287" s="446" t="s">
        <v>2779</v>
      </c>
      <c r="B287" s="446" t="s">
        <v>119</v>
      </c>
      <c r="C287" s="447" t="s">
        <v>2780</v>
      </c>
      <c r="D287" s="446" t="s">
        <v>144</v>
      </c>
      <c r="E287" s="448">
        <v>2</v>
      </c>
      <c r="F287" s="448">
        <v>355.6</v>
      </c>
      <c r="G287" s="445">
        <f>E287*F287</f>
        <v>711.2</v>
      </c>
      <c r="H287" s="496">
        <f t="shared" si="12"/>
        <v>2.3949613231941263E-2</v>
      </c>
      <c r="I287" s="496">
        <f t="shared" si="14"/>
        <v>97.710811794353063</v>
      </c>
      <c r="J287" s="443" t="str">
        <f t="shared" si="13"/>
        <v>C</v>
      </c>
    </row>
    <row r="288" spans="1:10" s="220" customFormat="1" ht="28.5">
      <c r="A288" s="446" t="s">
        <v>2217</v>
      </c>
      <c r="B288" s="446" t="s">
        <v>3006</v>
      </c>
      <c r="C288" s="447" t="s">
        <v>3103</v>
      </c>
      <c r="D288" s="446" t="s">
        <v>144</v>
      </c>
      <c r="E288" s="448">
        <v>10</v>
      </c>
      <c r="F288" s="448">
        <v>71.03</v>
      </c>
      <c r="G288" s="445">
        <f>E288*F288</f>
        <v>710.3</v>
      </c>
      <c r="H288" s="496">
        <f t="shared" si="12"/>
        <v>2.3919305791124688E-2</v>
      </c>
      <c r="I288" s="496">
        <f t="shared" si="14"/>
        <v>97.734731100144188</v>
      </c>
      <c r="J288" s="443" t="str">
        <f t="shared" si="13"/>
        <v>C</v>
      </c>
    </row>
    <row r="289" spans="1:10" s="220" customFormat="1" ht="14.25">
      <c r="A289" s="446" t="s">
        <v>3107</v>
      </c>
      <c r="B289" s="446" t="s">
        <v>119</v>
      </c>
      <c r="C289" s="447" t="s">
        <v>3108</v>
      </c>
      <c r="D289" s="446" t="s">
        <v>173</v>
      </c>
      <c r="E289" s="448">
        <v>54.5</v>
      </c>
      <c r="F289" s="448">
        <v>12.99</v>
      </c>
      <c r="G289" s="445">
        <f>E289*F289</f>
        <v>707.95500000000004</v>
      </c>
      <c r="H289" s="496">
        <f t="shared" si="12"/>
        <v>2.3840338070330393E-2</v>
      </c>
      <c r="I289" s="496">
        <f t="shared" si="14"/>
        <v>97.758571438214517</v>
      </c>
      <c r="J289" s="443" t="str">
        <f t="shared" si="13"/>
        <v>C</v>
      </c>
    </row>
    <row r="290" spans="1:10" s="220" customFormat="1" ht="42.75">
      <c r="A290" s="446" t="s">
        <v>771</v>
      </c>
      <c r="B290" s="446" t="s">
        <v>3006</v>
      </c>
      <c r="C290" s="447" t="s">
        <v>3104</v>
      </c>
      <c r="D290" s="446" t="s">
        <v>139</v>
      </c>
      <c r="E290" s="448">
        <v>0.33</v>
      </c>
      <c r="F290" s="448">
        <v>2141.7600000000002</v>
      </c>
      <c r="G290" s="445">
        <f>E290*F290</f>
        <v>706.78080000000011</v>
      </c>
      <c r="H290" s="496">
        <f t="shared" si="12"/>
        <v>2.3800796962545043E-2</v>
      </c>
      <c r="I290" s="496">
        <f t="shared" si="14"/>
        <v>97.782372235177064</v>
      </c>
      <c r="J290" s="443" t="str">
        <f t="shared" si="13"/>
        <v>C</v>
      </c>
    </row>
    <row r="291" spans="1:10" s="220" customFormat="1" ht="14.25">
      <c r="A291" s="446" t="s">
        <v>2598</v>
      </c>
      <c r="B291" s="446" t="s">
        <v>158</v>
      </c>
      <c r="C291" s="447" t="s">
        <v>3100</v>
      </c>
      <c r="D291" s="446" t="s">
        <v>173</v>
      </c>
      <c r="E291" s="448">
        <v>4.8151999999999999</v>
      </c>
      <c r="F291" s="448">
        <v>145.75</v>
      </c>
      <c r="G291" s="445">
        <f>E291*F291</f>
        <v>701.81539999999995</v>
      </c>
      <c r="H291" s="496">
        <f t="shared" si="12"/>
        <v>2.3633587444066573E-2</v>
      </c>
      <c r="I291" s="496">
        <f t="shared" si="14"/>
        <v>97.806005822621131</v>
      </c>
      <c r="J291" s="443" t="str">
        <f t="shared" si="13"/>
        <v>C</v>
      </c>
    </row>
    <row r="292" spans="1:10" s="220" customFormat="1" ht="14.25">
      <c r="A292" s="446" t="s">
        <v>2370</v>
      </c>
      <c r="B292" s="446" t="s">
        <v>158</v>
      </c>
      <c r="C292" s="447" t="s">
        <v>3102</v>
      </c>
      <c r="D292" s="446" t="s">
        <v>144</v>
      </c>
      <c r="E292" s="448">
        <v>1</v>
      </c>
      <c r="F292" s="448">
        <v>697.75</v>
      </c>
      <c r="G292" s="445">
        <f>E292*F292</f>
        <v>697.75</v>
      </c>
      <c r="H292" s="496">
        <f t="shared" si="12"/>
        <v>2.3496685366404691E-2</v>
      </c>
      <c r="I292" s="496">
        <f t="shared" si="14"/>
        <v>97.829502507987542</v>
      </c>
      <c r="J292" s="443" t="str">
        <f t="shared" si="13"/>
        <v>C</v>
      </c>
    </row>
    <row r="293" spans="1:10" s="220" customFormat="1" ht="14.25">
      <c r="A293" s="446" t="s">
        <v>3656</v>
      </c>
      <c r="B293" s="446" t="s">
        <v>3396</v>
      </c>
      <c r="C293" s="447" t="s">
        <v>3665</v>
      </c>
      <c r="D293" s="446" t="s">
        <v>173</v>
      </c>
      <c r="E293" s="448">
        <v>19.277999999999999</v>
      </c>
      <c r="F293" s="448">
        <v>36.07</v>
      </c>
      <c r="G293" s="445">
        <f>E293*F293</f>
        <v>695.35745999999995</v>
      </c>
      <c r="H293" s="496">
        <f t="shared" si="12"/>
        <v>2.3416116739236596E-2</v>
      </c>
      <c r="I293" s="496">
        <f t="shared" si="14"/>
        <v>97.852918624726783</v>
      </c>
      <c r="J293" s="443" t="str">
        <f t="shared" si="13"/>
        <v>C</v>
      </c>
    </row>
    <row r="294" spans="1:10" s="220" customFormat="1" ht="28.5">
      <c r="A294" s="446" t="s">
        <v>404</v>
      </c>
      <c r="B294" s="446" t="s">
        <v>119</v>
      </c>
      <c r="C294" s="447" t="s">
        <v>405</v>
      </c>
      <c r="D294" s="446" t="s">
        <v>144</v>
      </c>
      <c r="E294" s="448">
        <v>14</v>
      </c>
      <c r="F294" s="448">
        <v>49.21</v>
      </c>
      <c r="G294" s="445">
        <f>E294*F294</f>
        <v>688.94</v>
      </c>
      <c r="H294" s="496">
        <f t="shared" si="12"/>
        <v>2.3200009195744675E-2</v>
      </c>
      <c r="I294" s="496">
        <f t="shared" si="14"/>
        <v>97.87611863392253</v>
      </c>
      <c r="J294" s="443" t="str">
        <f t="shared" si="13"/>
        <v>C</v>
      </c>
    </row>
    <row r="295" spans="1:10" s="220" customFormat="1" ht="28.5">
      <c r="A295" s="446" t="s">
        <v>431</v>
      </c>
      <c r="B295" s="446" t="s">
        <v>3006</v>
      </c>
      <c r="C295" s="447" t="s">
        <v>1952</v>
      </c>
      <c r="D295" s="446" t="s">
        <v>144</v>
      </c>
      <c r="E295" s="448">
        <v>7</v>
      </c>
      <c r="F295" s="448">
        <v>96.61</v>
      </c>
      <c r="G295" s="445">
        <f>E295*F295</f>
        <v>676.27</v>
      </c>
      <c r="H295" s="496">
        <f t="shared" si="12"/>
        <v>2.2773347778915799E-2</v>
      </c>
      <c r="I295" s="496">
        <f t="shared" si="14"/>
        <v>97.898891981701439</v>
      </c>
      <c r="J295" s="443" t="str">
        <f t="shared" si="13"/>
        <v>C</v>
      </c>
    </row>
    <row r="296" spans="1:10" s="220" customFormat="1" ht="14.25">
      <c r="A296" s="446" t="s">
        <v>1593</v>
      </c>
      <c r="B296" s="446" t="s">
        <v>119</v>
      </c>
      <c r="C296" s="447" t="s">
        <v>1594</v>
      </c>
      <c r="D296" s="446" t="s">
        <v>200</v>
      </c>
      <c r="E296" s="448">
        <v>166.61805000000001</v>
      </c>
      <c r="F296" s="448">
        <v>3.99</v>
      </c>
      <c r="G296" s="445">
        <f>E296*F296</f>
        <v>664.80601950000005</v>
      </c>
      <c r="H296" s="496">
        <f t="shared" si="12"/>
        <v>2.2387298989442354E-2</v>
      </c>
      <c r="I296" s="496">
        <f t="shared" si="14"/>
        <v>97.921279280690882</v>
      </c>
      <c r="J296" s="443" t="str">
        <f t="shared" si="13"/>
        <v>C</v>
      </c>
    </row>
    <row r="297" spans="1:10" s="220" customFormat="1" ht="28.5">
      <c r="A297" s="446" t="s">
        <v>1154</v>
      </c>
      <c r="B297" s="446" t="s">
        <v>3006</v>
      </c>
      <c r="C297" s="447" t="s">
        <v>3101</v>
      </c>
      <c r="D297" s="446" t="s">
        <v>144</v>
      </c>
      <c r="E297" s="448">
        <v>10</v>
      </c>
      <c r="F297" s="448">
        <v>66.02</v>
      </c>
      <c r="G297" s="445">
        <f>E297*F297</f>
        <v>660.19999999999993</v>
      </c>
      <c r="H297" s="496">
        <f t="shared" si="12"/>
        <v>2.2232191585668758E-2</v>
      </c>
      <c r="I297" s="496">
        <f t="shared" si="14"/>
        <v>97.943511472276555</v>
      </c>
      <c r="J297" s="443" t="str">
        <f t="shared" si="13"/>
        <v>C</v>
      </c>
    </row>
    <row r="298" spans="1:10" s="220" customFormat="1" ht="14.25">
      <c r="A298" s="446" t="s">
        <v>3114</v>
      </c>
      <c r="B298" s="446" t="s">
        <v>119</v>
      </c>
      <c r="C298" s="447" t="s">
        <v>3115</v>
      </c>
      <c r="D298" s="446" t="s">
        <v>144</v>
      </c>
      <c r="E298" s="448">
        <v>360.40783099999999</v>
      </c>
      <c r="F298" s="448">
        <v>1.79</v>
      </c>
      <c r="G298" s="445">
        <f>E298*F298</f>
        <v>645.13001749</v>
      </c>
      <c r="H298" s="496">
        <f t="shared" si="12"/>
        <v>2.1724710915636953E-2</v>
      </c>
      <c r="I298" s="496">
        <f t="shared" si="14"/>
        <v>97.965236183192189</v>
      </c>
      <c r="J298" s="443" t="str">
        <f t="shared" si="13"/>
        <v>C</v>
      </c>
    </row>
    <row r="299" spans="1:10" s="220" customFormat="1" ht="14.25">
      <c r="A299" s="446" t="s">
        <v>3112</v>
      </c>
      <c r="B299" s="446" t="s">
        <v>119</v>
      </c>
      <c r="C299" s="447" t="s">
        <v>3113</v>
      </c>
      <c r="D299" s="446" t="s">
        <v>200</v>
      </c>
      <c r="E299" s="448">
        <v>74.099999999999994</v>
      </c>
      <c r="F299" s="448">
        <v>8.6999999999999993</v>
      </c>
      <c r="G299" s="445">
        <f>E299*F299</f>
        <v>644.66999999999985</v>
      </c>
      <c r="H299" s="496">
        <f t="shared" si="12"/>
        <v>2.1709219856911655E-2</v>
      </c>
      <c r="I299" s="496">
        <f t="shared" si="14"/>
        <v>97.986945403049106</v>
      </c>
      <c r="J299" s="443" t="str">
        <f t="shared" si="13"/>
        <v>C</v>
      </c>
    </row>
    <row r="300" spans="1:10" s="220" customFormat="1" ht="14.25">
      <c r="A300" s="446" t="s">
        <v>1553</v>
      </c>
      <c r="B300" s="446" t="s">
        <v>119</v>
      </c>
      <c r="C300" s="447" t="s">
        <v>1554</v>
      </c>
      <c r="D300" s="446" t="s">
        <v>144</v>
      </c>
      <c r="E300" s="448">
        <v>226.11071999999999</v>
      </c>
      <c r="F300" s="448">
        <v>2.76</v>
      </c>
      <c r="G300" s="445">
        <f>E300*F300</f>
        <v>624.06558719999987</v>
      </c>
      <c r="H300" s="496">
        <f t="shared" si="12"/>
        <v>2.1015367610804709E-2</v>
      </c>
      <c r="I300" s="496">
        <f t="shared" si="14"/>
        <v>98.007960770659906</v>
      </c>
      <c r="J300" s="443" t="str">
        <f t="shared" si="13"/>
        <v>C</v>
      </c>
    </row>
    <row r="301" spans="1:10" s="220" customFormat="1" ht="14.25">
      <c r="A301" s="446" t="s">
        <v>3105</v>
      </c>
      <c r="B301" s="446" t="s">
        <v>119</v>
      </c>
      <c r="C301" s="447" t="s">
        <v>3106</v>
      </c>
      <c r="D301" s="446" t="s">
        <v>144</v>
      </c>
      <c r="E301" s="448">
        <v>159</v>
      </c>
      <c r="F301" s="448">
        <v>3.92</v>
      </c>
      <c r="G301" s="445">
        <f>E301*F301</f>
        <v>623.28</v>
      </c>
      <c r="H301" s="496">
        <f t="shared" si="12"/>
        <v>2.0988913013504428E-2</v>
      </c>
      <c r="I301" s="496">
        <f t="shared" si="14"/>
        <v>98.028949683673417</v>
      </c>
      <c r="J301" s="443" t="str">
        <f t="shared" si="13"/>
        <v>C</v>
      </c>
    </row>
    <row r="302" spans="1:10" s="220" customFormat="1" ht="14.25">
      <c r="A302" s="446" t="s">
        <v>4131</v>
      </c>
      <c r="B302" s="446" t="s">
        <v>119</v>
      </c>
      <c r="C302" s="447" t="s">
        <v>4181</v>
      </c>
      <c r="D302" s="446" t="s">
        <v>144</v>
      </c>
      <c r="E302" s="448">
        <v>3</v>
      </c>
      <c r="F302" s="448">
        <v>207.67</v>
      </c>
      <c r="G302" s="445">
        <f>E302*F302</f>
        <v>623.01</v>
      </c>
      <c r="H302" s="496">
        <f t="shared" si="12"/>
        <v>2.0979820781259456E-2</v>
      </c>
      <c r="I302" s="496">
        <f t="shared" si="14"/>
        <v>98.049929504454681</v>
      </c>
      <c r="J302" s="443" t="str">
        <f t="shared" si="13"/>
        <v>C</v>
      </c>
    </row>
    <row r="303" spans="1:10" s="220" customFormat="1" ht="14.25">
      <c r="A303" s="446" t="s">
        <v>1137</v>
      </c>
      <c r="B303" s="446" t="s">
        <v>158</v>
      </c>
      <c r="C303" s="447" t="s">
        <v>3116</v>
      </c>
      <c r="D303" s="446" t="s">
        <v>144</v>
      </c>
      <c r="E303" s="448">
        <v>4</v>
      </c>
      <c r="F303" s="448">
        <v>152.28</v>
      </c>
      <c r="G303" s="445">
        <f>E303*F303</f>
        <v>609.12</v>
      </c>
      <c r="H303" s="496">
        <f t="shared" si="12"/>
        <v>2.0512075944657003E-2</v>
      </c>
      <c r="I303" s="496">
        <f t="shared" si="14"/>
        <v>98.070441580399333</v>
      </c>
      <c r="J303" s="443" t="str">
        <f t="shared" si="13"/>
        <v>C</v>
      </c>
    </row>
    <row r="304" spans="1:10" s="220" customFormat="1" ht="14.25">
      <c r="A304" s="446" t="s">
        <v>935</v>
      </c>
      <c r="B304" s="446" t="s">
        <v>3006</v>
      </c>
      <c r="C304" s="447" t="s">
        <v>3120</v>
      </c>
      <c r="D304" s="446" t="s">
        <v>144</v>
      </c>
      <c r="E304" s="448">
        <v>3</v>
      </c>
      <c r="F304" s="448">
        <v>201.79</v>
      </c>
      <c r="G304" s="445">
        <f>E304*F304</f>
        <v>605.37</v>
      </c>
      <c r="H304" s="496">
        <f t="shared" si="12"/>
        <v>2.0385794941254615E-2</v>
      </c>
      <c r="I304" s="496">
        <f t="shared" si="14"/>
        <v>98.090827375340581</v>
      </c>
      <c r="J304" s="443" t="str">
        <f t="shared" si="13"/>
        <v>C</v>
      </c>
    </row>
    <row r="305" spans="1:10" s="220" customFormat="1" ht="14.25">
      <c r="A305" s="446" t="s">
        <v>3342</v>
      </c>
      <c r="B305" s="446" t="s">
        <v>3396</v>
      </c>
      <c r="C305" s="447" t="s">
        <v>3343</v>
      </c>
      <c r="D305" s="446" t="s">
        <v>144</v>
      </c>
      <c r="E305" s="448">
        <v>4</v>
      </c>
      <c r="F305" s="448">
        <v>150</v>
      </c>
      <c r="G305" s="445">
        <f>E305*F305</f>
        <v>600</v>
      </c>
      <c r="H305" s="496">
        <f t="shared" si="12"/>
        <v>2.0204960544382391E-2</v>
      </c>
      <c r="I305" s="496">
        <f t="shared" si="14"/>
        <v>98.111032335884957</v>
      </c>
      <c r="J305" s="443" t="str">
        <f t="shared" si="13"/>
        <v>C</v>
      </c>
    </row>
    <row r="306" spans="1:10" s="220" customFormat="1" ht="28.5">
      <c r="A306" s="446" t="s">
        <v>3890</v>
      </c>
      <c r="B306" s="446" t="s">
        <v>119</v>
      </c>
      <c r="C306" s="447" t="s">
        <v>3912</v>
      </c>
      <c r="D306" s="446" t="s">
        <v>144</v>
      </c>
      <c r="E306" s="448">
        <v>8.4499999999999993</v>
      </c>
      <c r="F306" s="448">
        <v>70.45</v>
      </c>
      <c r="G306" s="445">
        <f>E306*F306</f>
        <v>595.30250000000001</v>
      </c>
      <c r="H306" s="496">
        <f t="shared" si="12"/>
        <v>2.0046772540786999E-2</v>
      </c>
      <c r="I306" s="496">
        <f t="shared" si="14"/>
        <v>98.131079108425737</v>
      </c>
      <c r="J306" s="443" t="str">
        <f t="shared" si="13"/>
        <v>C</v>
      </c>
    </row>
    <row r="307" spans="1:10" s="220" customFormat="1" ht="28.5">
      <c r="A307" s="446" t="s">
        <v>1153</v>
      </c>
      <c r="B307" s="446" t="s">
        <v>3006</v>
      </c>
      <c r="C307" s="447" t="s">
        <v>3119</v>
      </c>
      <c r="D307" s="446" t="s">
        <v>144</v>
      </c>
      <c r="E307" s="448">
        <v>10</v>
      </c>
      <c r="F307" s="448">
        <v>59.45</v>
      </c>
      <c r="G307" s="445">
        <f>E307*F307</f>
        <v>594.5</v>
      </c>
      <c r="H307" s="496">
        <f t="shared" si="12"/>
        <v>2.0019748406058885E-2</v>
      </c>
      <c r="I307" s="496">
        <f t="shared" si="14"/>
        <v>98.151098856831794</v>
      </c>
      <c r="J307" s="443" t="str">
        <f t="shared" si="13"/>
        <v>C</v>
      </c>
    </row>
    <row r="308" spans="1:10" s="220" customFormat="1" ht="28.5">
      <c r="A308" s="446" t="s">
        <v>1237</v>
      </c>
      <c r="B308" s="446" t="s">
        <v>3006</v>
      </c>
      <c r="C308" s="447" t="s">
        <v>3111</v>
      </c>
      <c r="D308" s="446" t="s">
        <v>200</v>
      </c>
      <c r="E308" s="448">
        <v>161.24</v>
      </c>
      <c r="F308" s="448">
        <v>3.67</v>
      </c>
      <c r="G308" s="445">
        <f>E308*F308</f>
        <v>591.75080000000003</v>
      </c>
      <c r="H308" s="496">
        <f t="shared" si="12"/>
        <v>1.9927169276844528E-2</v>
      </c>
      <c r="I308" s="496">
        <f t="shared" si="14"/>
        <v>98.171026026108635</v>
      </c>
      <c r="J308" s="443" t="str">
        <f t="shared" si="13"/>
        <v>C</v>
      </c>
    </row>
    <row r="309" spans="1:10" s="220" customFormat="1" ht="14.25">
      <c r="A309" s="446" t="s">
        <v>710</v>
      </c>
      <c r="B309" s="446" t="s">
        <v>3006</v>
      </c>
      <c r="C309" s="447" t="s">
        <v>711</v>
      </c>
      <c r="D309" s="446" t="s">
        <v>144</v>
      </c>
      <c r="E309" s="448">
        <v>1</v>
      </c>
      <c r="F309" s="448">
        <v>591.25</v>
      </c>
      <c r="G309" s="445">
        <f>E309*F309</f>
        <v>591.25</v>
      </c>
      <c r="H309" s="496">
        <f t="shared" si="12"/>
        <v>1.9910304869776817E-2</v>
      </c>
      <c r="I309" s="496">
        <f t="shared" si="14"/>
        <v>98.190936330978417</v>
      </c>
      <c r="J309" s="443" t="str">
        <f t="shared" si="13"/>
        <v>C</v>
      </c>
    </row>
    <row r="310" spans="1:10" s="220" customFormat="1" ht="14.25">
      <c r="A310" s="446" t="s">
        <v>3117</v>
      </c>
      <c r="B310" s="446" t="s">
        <v>158</v>
      </c>
      <c r="C310" s="447" t="s">
        <v>3118</v>
      </c>
      <c r="D310" s="446" t="s">
        <v>144</v>
      </c>
      <c r="E310" s="448">
        <v>51</v>
      </c>
      <c r="F310" s="448">
        <v>11.47</v>
      </c>
      <c r="G310" s="445">
        <f>E310*F310</f>
        <v>584.97</v>
      </c>
      <c r="H310" s="496">
        <f t="shared" si="12"/>
        <v>1.9698826282745614E-2</v>
      </c>
      <c r="I310" s="496">
        <f t="shared" si="14"/>
        <v>98.210635157261166</v>
      </c>
      <c r="J310" s="443" t="str">
        <f t="shared" si="13"/>
        <v>C</v>
      </c>
    </row>
    <row r="311" spans="1:10" s="220" customFormat="1" ht="14.25">
      <c r="A311" s="446" t="s">
        <v>3109</v>
      </c>
      <c r="B311" s="446" t="s">
        <v>119</v>
      </c>
      <c r="C311" s="447" t="s">
        <v>3110</v>
      </c>
      <c r="D311" s="446" t="s">
        <v>107</v>
      </c>
      <c r="E311" s="448">
        <v>97.560258261200005</v>
      </c>
      <c r="F311" s="448">
        <v>5.96</v>
      </c>
      <c r="G311" s="445">
        <f>E311*F311</f>
        <v>581.45913923675198</v>
      </c>
      <c r="H311" s="496">
        <f t="shared" si="12"/>
        <v>1.95805982774152E-2</v>
      </c>
      <c r="I311" s="496">
        <f t="shared" si="14"/>
        <v>98.23021575553858</v>
      </c>
      <c r="J311" s="443" t="str">
        <f t="shared" si="13"/>
        <v>C</v>
      </c>
    </row>
    <row r="312" spans="1:10" s="220" customFormat="1" ht="14.25">
      <c r="A312" s="446" t="s">
        <v>2814</v>
      </c>
      <c r="B312" s="446" t="s">
        <v>119</v>
      </c>
      <c r="C312" s="447" t="s">
        <v>2816</v>
      </c>
      <c r="D312" s="446" t="s">
        <v>144</v>
      </c>
      <c r="E312" s="448">
        <v>21.28</v>
      </c>
      <c r="F312" s="448">
        <v>27.15</v>
      </c>
      <c r="G312" s="445">
        <f>E312*F312</f>
        <v>577.75199999999995</v>
      </c>
      <c r="H312" s="496">
        <f t="shared" si="12"/>
        <v>1.9455760607396691E-2</v>
      </c>
      <c r="I312" s="496">
        <f t="shared" si="14"/>
        <v>98.24967151614598</v>
      </c>
      <c r="J312" s="443" t="str">
        <f t="shared" si="13"/>
        <v>C</v>
      </c>
    </row>
    <row r="313" spans="1:10" s="220" customFormat="1" ht="14.25">
      <c r="A313" s="446" t="s">
        <v>947</v>
      </c>
      <c r="B313" s="446" t="s">
        <v>3006</v>
      </c>
      <c r="C313" s="447" t="s">
        <v>948</v>
      </c>
      <c r="D313" s="446" t="s">
        <v>144</v>
      </c>
      <c r="E313" s="448">
        <v>2</v>
      </c>
      <c r="F313" s="448">
        <v>283.63</v>
      </c>
      <c r="G313" s="445">
        <f>E313*F313</f>
        <v>567.26</v>
      </c>
      <c r="H313" s="496">
        <f t="shared" si="12"/>
        <v>1.9102443197343926E-2</v>
      </c>
      <c r="I313" s="496">
        <f t="shared" si="14"/>
        <v>98.268773959343321</v>
      </c>
      <c r="J313" s="443" t="str">
        <f t="shared" si="13"/>
        <v>C</v>
      </c>
    </row>
    <row r="314" spans="1:10" s="220" customFormat="1" ht="28.5">
      <c r="A314" s="446" t="s">
        <v>1099</v>
      </c>
      <c r="B314" s="446" t="s">
        <v>3006</v>
      </c>
      <c r="C314" s="447" t="s">
        <v>3124</v>
      </c>
      <c r="D314" s="446" t="s">
        <v>144</v>
      </c>
      <c r="E314" s="448">
        <v>32</v>
      </c>
      <c r="F314" s="448">
        <v>17.59</v>
      </c>
      <c r="G314" s="445">
        <f>E314*F314</f>
        <v>562.88</v>
      </c>
      <c r="H314" s="496">
        <f t="shared" si="12"/>
        <v>1.8954946985369935E-2</v>
      </c>
      <c r="I314" s="496">
        <f t="shared" si="14"/>
        <v>98.287728906328695</v>
      </c>
      <c r="J314" s="443" t="str">
        <f t="shared" si="13"/>
        <v>C</v>
      </c>
    </row>
    <row r="315" spans="1:10" s="220" customFormat="1" ht="14.25">
      <c r="A315" s="446" t="s">
        <v>2725</v>
      </c>
      <c r="B315" s="446" t="s">
        <v>119</v>
      </c>
      <c r="C315" s="447" t="s">
        <v>2726</v>
      </c>
      <c r="D315" s="446" t="s">
        <v>144</v>
      </c>
      <c r="E315" s="448">
        <v>20.916</v>
      </c>
      <c r="F315" s="448">
        <v>26.91</v>
      </c>
      <c r="G315" s="445">
        <f>E315*F315</f>
        <v>562.84956</v>
      </c>
      <c r="H315" s="496">
        <f t="shared" si="12"/>
        <v>1.8953921920371649E-2</v>
      </c>
      <c r="I315" s="496">
        <f t="shared" si="14"/>
        <v>98.306682828249066</v>
      </c>
      <c r="J315" s="443" t="str">
        <f t="shared" si="13"/>
        <v>C</v>
      </c>
    </row>
    <row r="316" spans="1:10" s="220" customFormat="1" ht="14.25">
      <c r="A316" s="446" t="s">
        <v>1540</v>
      </c>
      <c r="B316" s="446" t="s">
        <v>119</v>
      </c>
      <c r="C316" s="447" t="s">
        <v>1541</v>
      </c>
      <c r="D316" s="446" t="s">
        <v>144</v>
      </c>
      <c r="E316" s="448">
        <v>7.6940999999999997</v>
      </c>
      <c r="F316" s="448">
        <v>72.86</v>
      </c>
      <c r="G316" s="445">
        <f>E316*F316</f>
        <v>560.59212600000001</v>
      </c>
      <c r="H316" s="496">
        <f t="shared" si="12"/>
        <v>1.8877902978869071E-2</v>
      </c>
      <c r="I316" s="496">
        <f t="shared" si="14"/>
        <v>98.325560731227938</v>
      </c>
      <c r="J316" s="443" t="str">
        <f t="shared" si="13"/>
        <v>C</v>
      </c>
    </row>
    <row r="317" spans="1:10" s="220" customFormat="1" ht="28.5">
      <c r="A317" s="446" t="s">
        <v>2999</v>
      </c>
      <c r="B317" s="446" t="s">
        <v>3006</v>
      </c>
      <c r="C317" s="447" t="s">
        <v>3137</v>
      </c>
      <c r="D317" s="446" t="s">
        <v>144</v>
      </c>
      <c r="E317" s="448">
        <v>2.1</v>
      </c>
      <c r="F317" s="448">
        <v>264.06</v>
      </c>
      <c r="G317" s="445">
        <f>E317*F317</f>
        <v>554.52600000000007</v>
      </c>
      <c r="H317" s="496">
        <f t="shared" si="12"/>
        <v>1.8673626584723654E-2</v>
      </c>
      <c r="I317" s="496">
        <f t="shared" si="14"/>
        <v>98.344234357812667</v>
      </c>
      <c r="J317" s="443" t="str">
        <f t="shared" si="13"/>
        <v>C</v>
      </c>
    </row>
    <row r="318" spans="1:10" s="220" customFormat="1" ht="28.5">
      <c r="A318" s="446" t="s">
        <v>1028</v>
      </c>
      <c r="B318" s="446" t="s">
        <v>119</v>
      </c>
      <c r="C318" s="447" t="s">
        <v>2797</v>
      </c>
      <c r="D318" s="446" t="s">
        <v>173</v>
      </c>
      <c r="E318" s="448">
        <v>19</v>
      </c>
      <c r="F318" s="448">
        <v>28.89</v>
      </c>
      <c r="G318" s="445">
        <f>E318*F318</f>
        <v>548.91</v>
      </c>
      <c r="H318" s="496">
        <f t="shared" si="12"/>
        <v>1.8484508154028231E-2</v>
      </c>
      <c r="I318" s="496">
        <f t="shared" si="14"/>
        <v>98.362718865966698</v>
      </c>
      <c r="J318" s="443" t="str">
        <f t="shared" si="13"/>
        <v>C</v>
      </c>
    </row>
    <row r="319" spans="1:10" s="220" customFormat="1" ht="14.25">
      <c r="A319" s="446" t="s">
        <v>1714</v>
      </c>
      <c r="B319" s="446" t="s">
        <v>119</v>
      </c>
      <c r="C319" s="447" t="s">
        <v>1715</v>
      </c>
      <c r="D319" s="446" t="s">
        <v>144</v>
      </c>
      <c r="E319" s="448">
        <v>41</v>
      </c>
      <c r="F319" s="448">
        <v>13.05</v>
      </c>
      <c r="G319" s="445">
        <f>E319*F319</f>
        <v>535.05000000000007</v>
      </c>
      <c r="H319" s="496">
        <f t="shared" si="12"/>
        <v>1.8017773565453001E-2</v>
      </c>
      <c r="I319" s="496">
        <f t="shared" si="14"/>
        <v>98.380736639532145</v>
      </c>
      <c r="J319" s="443" t="str">
        <f t="shared" si="13"/>
        <v>C</v>
      </c>
    </row>
    <row r="320" spans="1:10" s="220" customFormat="1" ht="28.5">
      <c r="A320" s="446" t="s">
        <v>2570</v>
      </c>
      <c r="B320" s="446" t="s">
        <v>119</v>
      </c>
      <c r="C320" s="447" t="s">
        <v>2569</v>
      </c>
      <c r="D320" s="446" t="s">
        <v>144</v>
      </c>
      <c r="E320" s="448">
        <v>20</v>
      </c>
      <c r="F320" s="448">
        <v>25.97</v>
      </c>
      <c r="G320" s="445">
        <f>E320*F320</f>
        <v>519.4</v>
      </c>
      <c r="H320" s="496">
        <f t="shared" si="12"/>
        <v>1.7490760844587023E-2</v>
      </c>
      <c r="I320" s="496">
        <f t="shared" si="14"/>
        <v>98.398227400376726</v>
      </c>
      <c r="J320" s="443" t="str">
        <f t="shared" si="13"/>
        <v>C</v>
      </c>
    </row>
    <row r="321" spans="1:10" s="220" customFormat="1" ht="14.25">
      <c r="A321" s="446" t="s">
        <v>4006</v>
      </c>
      <c r="B321" s="446" t="s">
        <v>158</v>
      </c>
      <c r="C321" s="447" t="s">
        <v>4007</v>
      </c>
      <c r="D321" s="446" t="s">
        <v>173</v>
      </c>
      <c r="E321" s="448">
        <v>18.545999999999999</v>
      </c>
      <c r="F321" s="448">
        <v>27.73</v>
      </c>
      <c r="G321" s="445">
        <f>E321*F321</f>
        <v>514.28057999999999</v>
      </c>
      <c r="H321" s="496">
        <f t="shared" si="12"/>
        <v>1.731836471273682E-2</v>
      </c>
      <c r="I321" s="496">
        <f t="shared" si="14"/>
        <v>98.415545765089462</v>
      </c>
      <c r="J321" s="443" t="str">
        <f t="shared" si="13"/>
        <v>C</v>
      </c>
    </row>
    <row r="322" spans="1:10" s="220" customFormat="1" ht="28.5">
      <c r="A322" s="446" t="s">
        <v>690</v>
      </c>
      <c r="B322" s="446" t="s">
        <v>3006</v>
      </c>
      <c r="C322" s="447" t="s">
        <v>3121</v>
      </c>
      <c r="D322" s="446" t="s">
        <v>144</v>
      </c>
      <c r="E322" s="448">
        <v>6.6555</v>
      </c>
      <c r="F322" s="448">
        <v>77.14</v>
      </c>
      <c r="G322" s="445">
        <f>E322*F322</f>
        <v>513.40526999999997</v>
      </c>
      <c r="H322" s="496">
        <f t="shared" si="12"/>
        <v>1.7288888706046647E-2</v>
      </c>
      <c r="I322" s="496">
        <f t="shared" si="14"/>
        <v>98.43283465379551</v>
      </c>
      <c r="J322" s="443" t="str">
        <f t="shared" si="13"/>
        <v>C</v>
      </c>
    </row>
    <row r="323" spans="1:10" s="220" customFormat="1" ht="28.5">
      <c r="A323" s="446" t="s">
        <v>2264</v>
      </c>
      <c r="B323" s="446" t="s">
        <v>3006</v>
      </c>
      <c r="C323" s="447" t="s">
        <v>3126</v>
      </c>
      <c r="D323" s="446" t="s">
        <v>167</v>
      </c>
      <c r="E323" s="448">
        <v>0.12</v>
      </c>
      <c r="F323" s="448">
        <v>4236.6499999999996</v>
      </c>
      <c r="G323" s="445">
        <f>E323*F323</f>
        <v>508.39799999999991</v>
      </c>
      <c r="H323" s="496">
        <f t="shared" si="12"/>
        <v>1.7120269218071527E-2</v>
      </c>
      <c r="I323" s="496">
        <f t="shared" si="14"/>
        <v>98.449954923013578</v>
      </c>
      <c r="J323" s="443" t="str">
        <f t="shared" si="13"/>
        <v>C</v>
      </c>
    </row>
    <row r="324" spans="1:10" s="220" customFormat="1" ht="14.25">
      <c r="A324" s="446" t="s">
        <v>3125</v>
      </c>
      <c r="B324" s="446" t="s">
        <v>158</v>
      </c>
      <c r="C324" s="447" t="s">
        <v>1955</v>
      </c>
      <c r="D324" s="446" t="s">
        <v>173</v>
      </c>
      <c r="E324" s="448">
        <v>85.76</v>
      </c>
      <c r="F324" s="448">
        <v>5.9</v>
      </c>
      <c r="G324" s="445">
        <f>E324*F324</f>
        <v>505.98400000000004</v>
      </c>
      <c r="H324" s="496">
        <f t="shared" si="12"/>
        <v>1.7038977926814632E-2</v>
      </c>
      <c r="I324" s="496">
        <f t="shared" si="14"/>
        <v>98.466993900940395</v>
      </c>
      <c r="J324" s="443" t="str">
        <f t="shared" si="13"/>
        <v>C</v>
      </c>
    </row>
    <row r="325" spans="1:10" s="220" customFormat="1" ht="14.25">
      <c r="A325" s="446" t="s">
        <v>1436</v>
      </c>
      <c r="B325" s="446" t="s">
        <v>119</v>
      </c>
      <c r="C325" s="447" t="s">
        <v>1437</v>
      </c>
      <c r="D325" s="446" t="s">
        <v>200</v>
      </c>
      <c r="E325" s="448">
        <v>64.966200000000001</v>
      </c>
      <c r="F325" s="448">
        <v>7.78</v>
      </c>
      <c r="G325" s="445">
        <f>E325*F325</f>
        <v>505.43703600000003</v>
      </c>
      <c r="H325" s="496">
        <f t="shared" si="12"/>
        <v>1.7020558950082639E-2</v>
      </c>
      <c r="I325" s="496">
        <f t="shared" si="14"/>
        <v>98.484014459890474</v>
      </c>
      <c r="J325" s="443" t="str">
        <f t="shared" si="13"/>
        <v>C</v>
      </c>
    </row>
    <row r="326" spans="1:10" s="220" customFormat="1" ht="14.25">
      <c r="A326" s="446" t="s">
        <v>1299</v>
      </c>
      <c r="B326" s="446" t="s">
        <v>119</v>
      </c>
      <c r="C326" s="447" t="s">
        <v>1300</v>
      </c>
      <c r="D326" s="446" t="s">
        <v>144</v>
      </c>
      <c r="E326" s="448">
        <v>1</v>
      </c>
      <c r="F326" s="448">
        <v>499</v>
      </c>
      <c r="G326" s="445">
        <f>E326*F326</f>
        <v>499</v>
      </c>
      <c r="H326" s="496">
        <f t="shared" si="12"/>
        <v>1.6803792186078022E-2</v>
      </c>
      <c r="I326" s="496">
        <f t="shared" si="14"/>
        <v>98.500818252076556</v>
      </c>
      <c r="J326" s="443" t="str">
        <f t="shared" si="13"/>
        <v>C</v>
      </c>
    </row>
    <row r="327" spans="1:10" s="220" customFormat="1" ht="14.25">
      <c r="A327" s="446" t="s">
        <v>1581</v>
      </c>
      <c r="B327" s="446" t="s">
        <v>119</v>
      </c>
      <c r="C327" s="447" t="s">
        <v>1582</v>
      </c>
      <c r="D327" s="446" t="s">
        <v>144</v>
      </c>
      <c r="E327" s="448">
        <v>10</v>
      </c>
      <c r="F327" s="448">
        <v>49.88</v>
      </c>
      <c r="G327" s="445">
        <f>E327*F327</f>
        <v>498.8</v>
      </c>
      <c r="H327" s="496">
        <f t="shared" si="12"/>
        <v>1.6797057199229894E-2</v>
      </c>
      <c r="I327" s="496">
        <f t="shared" si="14"/>
        <v>98.517615309275783</v>
      </c>
      <c r="J327" s="443" t="str">
        <f t="shared" si="13"/>
        <v>C</v>
      </c>
    </row>
    <row r="328" spans="1:10" s="220" customFormat="1" ht="14.25">
      <c r="A328" s="446" t="s">
        <v>3329</v>
      </c>
      <c r="B328" s="446" t="s">
        <v>119</v>
      </c>
      <c r="C328" s="447" t="s">
        <v>3330</v>
      </c>
      <c r="D328" s="446" t="s">
        <v>173</v>
      </c>
      <c r="E328" s="448">
        <v>19.794936</v>
      </c>
      <c r="F328" s="448">
        <v>24.71</v>
      </c>
      <c r="G328" s="445">
        <f>E328*F328</f>
        <v>489.13286856000002</v>
      </c>
      <c r="H328" s="496">
        <f t="shared" si="12"/>
        <v>1.6471517183692296E-2</v>
      </c>
      <c r="I328" s="496">
        <f t="shared" si="14"/>
        <v>98.534086826459472</v>
      </c>
      <c r="J328" s="443" t="str">
        <f t="shared" si="13"/>
        <v>C</v>
      </c>
    </row>
    <row r="329" spans="1:10" s="220" customFormat="1" ht="14.25">
      <c r="A329" s="446" t="s">
        <v>1726</v>
      </c>
      <c r="B329" s="446" t="s">
        <v>119</v>
      </c>
      <c r="C329" s="447" t="s">
        <v>1727</v>
      </c>
      <c r="D329" s="446" t="s">
        <v>144</v>
      </c>
      <c r="E329" s="448">
        <v>3</v>
      </c>
      <c r="F329" s="448">
        <v>159.84</v>
      </c>
      <c r="G329" s="445">
        <f>E329*F329</f>
        <v>479.52</v>
      </c>
      <c r="H329" s="496">
        <f t="shared" ref="H329:H392" si="15">(G329*100)/SUM($G$8:$G$628)</f>
        <v>1.6147804467070408E-2</v>
      </c>
      <c r="I329" s="496">
        <f t="shared" si="14"/>
        <v>98.550234630926539</v>
      </c>
      <c r="J329" s="443" t="str">
        <f t="shared" ref="J329:J392" si="16">IF(I329&lt;80,"A",IF(I329&lt;95,"B","C"))</f>
        <v>C</v>
      </c>
    </row>
    <row r="330" spans="1:10" s="220" customFormat="1" ht="14.25">
      <c r="A330" s="446" t="s">
        <v>3311</v>
      </c>
      <c r="B330" s="446" t="s">
        <v>119</v>
      </c>
      <c r="C330" s="447" t="s">
        <v>3312</v>
      </c>
      <c r="D330" s="446" t="s">
        <v>144</v>
      </c>
      <c r="E330" s="448">
        <v>137</v>
      </c>
      <c r="F330" s="448">
        <v>3.48</v>
      </c>
      <c r="G330" s="445">
        <f>E330*F330</f>
        <v>476.76</v>
      </c>
      <c r="H330" s="496">
        <f t="shared" si="15"/>
        <v>1.6054861648566249E-2</v>
      </c>
      <c r="I330" s="496">
        <f t="shared" ref="I330:I393" si="17">H330+I329</f>
        <v>98.566289492575109</v>
      </c>
      <c r="J330" s="443" t="str">
        <f t="shared" si="16"/>
        <v>C</v>
      </c>
    </row>
    <row r="331" spans="1:10" s="220" customFormat="1" ht="14.25">
      <c r="A331" s="446" t="s">
        <v>2295</v>
      </c>
      <c r="B331" s="446" t="s">
        <v>158</v>
      </c>
      <c r="C331" s="447" t="s">
        <v>3128</v>
      </c>
      <c r="D331" s="446" t="s">
        <v>144</v>
      </c>
      <c r="E331" s="448">
        <v>1</v>
      </c>
      <c r="F331" s="448">
        <v>474.9</v>
      </c>
      <c r="G331" s="445">
        <f>E331*F331</f>
        <v>474.9</v>
      </c>
      <c r="H331" s="496">
        <f t="shared" si="15"/>
        <v>1.5992226270878662E-2</v>
      </c>
      <c r="I331" s="496">
        <f t="shared" si="17"/>
        <v>98.582281718845991</v>
      </c>
      <c r="J331" s="443" t="str">
        <f t="shared" si="16"/>
        <v>C</v>
      </c>
    </row>
    <row r="332" spans="1:10" s="220" customFormat="1" ht="28.5">
      <c r="A332" s="446" t="s">
        <v>1455</v>
      </c>
      <c r="B332" s="446" t="s">
        <v>119</v>
      </c>
      <c r="C332" s="447" t="s">
        <v>1456</v>
      </c>
      <c r="D332" s="446" t="s">
        <v>1457</v>
      </c>
      <c r="E332" s="448">
        <v>10.5878</v>
      </c>
      <c r="F332" s="448">
        <v>44.78</v>
      </c>
      <c r="G332" s="445">
        <f>E332*F332</f>
        <v>474.12168400000002</v>
      </c>
      <c r="H332" s="496">
        <f t="shared" si="15"/>
        <v>1.5966016530760227E-2</v>
      </c>
      <c r="I332" s="496">
        <f t="shared" si="17"/>
        <v>98.598247735376745</v>
      </c>
      <c r="J332" s="443" t="str">
        <f t="shared" si="16"/>
        <v>C</v>
      </c>
    </row>
    <row r="333" spans="1:10" s="220" customFormat="1" ht="14.25">
      <c r="A333" s="446" t="s">
        <v>2970</v>
      </c>
      <c r="B333" s="446" t="s">
        <v>119</v>
      </c>
      <c r="C333" s="447" t="s">
        <v>2971</v>
      </c>
      <c r="D333" s="446" t="s">
        <v>173</v>
      </c>
      <c r="E333" s="448">
        <v>5.6174999999999997</v>
      </c>
      <c r="F333" s="448">
        <v>83.67</v>
      </c>
      <c r="G333" s="445">
        <f>E333*F333</f>
        <v>470.01622499999996</v>
      </c>
      <c r="H333" s="496">
        <f t="shared" si="15"/>
        <v>1.5827765468907594E-2</v>
      </c>
      <c r="I333" s="496">
        <f t="shared" si="17"/>
        <v>98.614075500845658</v>
      </c>
      <c r="J333" s="443" t="str">
        <f t="shared" si="16"/>
        <v>C</v>
      </c>
    </row>
    <row r="334" spans="1:10" s="220" customFormat="1" ht="14.25">
      <c r="A334" s="446" t="s">
        <v>686</v>
      </c>
      <c r="B334" s="446" t="s">
        <v>119</v>
      </c>
      <c r="C334" s="447" t="s">
        <v>687</v>
      </c>
      <c r="D334" s="446" t="s">
        <v>144</v>
      </c>
      <c r="E334" s="448">
        <v>167</v>
      </c>
      <c r="F334" s="448">
        <v>2.81</v>
      </c>
      <c r="G334" s="445">
        <f>E334*F334</f>
        <v>469.27</v>
      </c>
      <c r="H334" s="496">
        <f t="shared" si="15"/>
        <v>1.5802636391103873E-2</v>
      </c>
      <c r="I334" s="496">
        <f t="shared" si="17"/>
        <v>98.629878137236759</v>
      </c>
      <c r="J334" s="443" t="str">
        <f t="shared" si="16"/>
        <v>C</v>
      </c>
    </row>
    <row r="335" spans="1:10" s="220" customFormat="1" ht="14.25">
      <c r="A335" s="446" t="s">
        <v>1566</v>
      </c>
      <c r="B335" s="446" t="s">
        <v>119</v>
      </c>
      <c r="C335" s="447" t="s">
        <v>1567</v>
      </c>
      <c r="D335" s="446" t="s">
        <v>200</v>
      </c>
      <c r="E335" s="448">
        <v>153.69</v>
      </c>
      <c r="F335" s="448">
        <v>3.04</v>
      </c>
      <c r="G335" s="445">
        <f>E335*F335</f>
        <v>467.2176</v>
      </c>
      <c r="H335" s="496">
        <f t="shared" si="15"/>
        <v>1.5733521956068391E-2</v>
      </c>
      <c r="I335" s="496">
        <f t="shared" si="17"/>
        <v>98.645611659192824</v>
      </c>
      <c r="J335" s="443" t="str">
        <f t="shared" si="16"/>
        <v>C</v>
      </c>
    </row>
    <row r="336" spans="1:10" s="220" customFormat="1" ht="14.25">
      <c r="A336" s="446" t="s">
        <v>1737</v>
      </c>
      <c r="B336" s="446" t="s">
        <v>119</v>
      </c>
      <c r="C336" s="447" t="s">
        <v>1738</v>
      </c>
      <c r="D336" s="446" t="s">
        <v>144</v>
      </c>
      <c r="E336" s="448">
        <v>105.4837</v>
      </c>
      <c r="F336" s="448">
        <v>4.38</v>
      </c>
      <c r="G336" s="445">
        <f>E336*F336</f>
        <v>462.01860599999998</v>
      </c>
      <c r="H336" s="496">
        <f t="shared" si="15"/>
        <v>1.5558446175000924E-2</v>
      </c>
      <c r="I336" s="496">
        <f t="shared" si="17"/>
        <v>98.66117010536783</v>
      </c>
      <c r="J336" s="443" t="str">
        <f t="shared" si="16"/>
        <v>C</v>
      </c>
    </row>
    <row r="337" spans="1:10" s="220" customFormat="1" ht="14.25">
      <c r="A337" s="446" t="s">
        <v>675</v>
      </c>
      <c r="B337" s="446" t="s">
        <v>119</v>
      </c>
      <c r="C337" s="447" t="s">
        <v>1697</v>
      </c>
      <c r="D337" s="446" t="s">
        <v>173</v>
      </c>
      <c r="E337" s="448">
        <v>35.638869999999997</v>
      </c>
      <c r="F337" s="448">
        <v>12.64</v>
      </c>
      <c r="G337" s="445">
        <f>E337*F337</f>
        <v>450.47531679999997</v>
      </c>
      <c r="H337" s="496">
        <f t="shared" si="15"/>
        <v>1.5169726670270264E-2</v>
      </c>
      <c r="I337" s="496">
        <f t="shared" si="17"/>
        <v>98.676339832038096</v>
      </c>
      <c r="J337" s="443" t="str">
        <f t="shared" si="16"/>
        <v>C</v>
      </c>
    </row>
    <row r="338" spans="1:10" s="220" customFormat="1" ht="14.25">
      <c r="A338" s="446" t="s">
        <v>1631</v>
      </c>
      <c r="B338" s="446" t="s">
        <v>119</v>
      </c>
      <c r="C338" s="447" t="s">
        <v>1632</v>
      </c>
      <c r="D338" s="446" t="s">
        <v>144</v>
      </c>
      <c r="E338" s="448">
        <v>267</v>
      </c>
      <c r="F338" s="448">
        <v>1.68</v>
      </c>
      <c r="G338" s="445">
        <f>E338*F338</f>
        <v>448.56</v>
      </c>
      <c r="H338" s="496">
        <f t="shared" si="15"/>
        <v>1.5105228502980276E-2</v>
      </c>
      <c r="I338" s="496">
        <f t="shared" si="17"/>
        <v>98.691445060541071</v>
      </c>
      <c r="J338" s="443" t="str">
        <f t="shared" si="16"/>
        <v>C</v>
      </c>
    </row>
    <row r="339" spans="1:10" s="220" customFormat="1" ht="14.25">
      <c r="A339" s="446" t="s">
        <v>1778</v>
      </c>
      <c r="B339" s="446" t="s">
        <v>119</v>
      </c>
      <c r="C339" s="447" t="s">
        <v>1779</v>
      </c>
      <c r="D339" s="446" t="s">
        <v>144</v>
      </c>
      <c r="E339" s="448">
        <v>316.21980000000002</v>
      </c>
      <c r="F339" s="448">
        <v>1.39</v>
      </c>
      <c r="G339" s="445">
        <f>E339*F339</f>
        <v>439.54552200000001</v>
      </c>
      <c r="H339" s="496">
        <f t="shared" si="15"/>
        <v>1.4801666549116604E-2</v>
      </c>
      <c r="I339" s="496">
        <f t="shared" si="17"/>
        <v>98.706246727090189</v>
      </c>
      <c r="J339" s="443" t="str">
        <f t="shared" si="16"/>
        <v>C</v>
      </c>
    </row>
    <row r="340" spans="1:10" s="220" customFormat="1" ht="28.5">
      <c r="A340" s="446" t="s">
        <v>726</v>
      </c>
      <c r="B340" s="446" t="s">
        <v>3006</v>
      </c>
      <c r="C340" s="447" t="s">
        <v>3127</v>
      </c>
      <c r="D340" s="446" t="s">
        <v>144</v>
      </c>
      <c r="E340" s="448">
        <v>1</v>
      </c>
      <c r="F340" s="448">
        <v>436.35</v>
      </c>
      <c r="G340" s="445">
        <f>E340*F340</f>
        <v>436.35</v>
      </c>
      <c r="H340" s="496">
        <f t="shared" si="15"/>
        <v>1.4694057555902095E-2</v>
      </c>
      <c r="I340" s="496">
        <f t="shared" si="17"/>
        <v>98.720940784646089</v>
      </c>
      <c r="J340" s="443" t="str">
        <f t="shared" si="16"/>
        <v>C</v>
      </c>
    </row>
    <row r="341" spans="1:10" s="220" customFormat="1" ht="28.5">
      <c r="A341" s="446" t="s">
        <v>3129</v>
      </c>
      <c r="B341" s="446" t="s">
        <v>3006</v>
      </c>
      <c r="C341" s="447" t="s">
        <v>3130</v>
      </c>
      <c r="D341" s="446" t="s">
        <v>144</v>
      </c>
      <c r="E341" s="448">
        <v>51</v>
      </c>
      <c r="F341" s="448">
        <v>8.4600000000000009</v>
      </c>
      <c r="G341" s="445">
        <f>E341*F341</f>
        <v>431.46000000000004</v>
      </c>
      <c r="H341" s="496">
        <f t="shared" si="15"/>
        <v>1.4529387127465378E-2</v>
      </c>
      <c r="I341" s="496">
        <f t="shared" si="17"/>
        <v>98.735470171773557</v>
      </c>
      <c r="J341" s="443" t="str">
        <f t="shared" si="16"/>
        <v>C</v>
      </c>
    </row>
    <row r="342" spans="1:10" s="220" customFormat="1" ht="28.5">
      <c r="A342" s="446" t="s">
        <v>1180</v>
      </c>
      <c r="B342" s="446" t="s">
        <v>158</v>
      </c>
      <c r="C342" s="447" t="s">
        <v>3131</v>
      </c>
      <c r="D342" s="446" t="s">
        <v>144</v>
      </c>
      <c r="E342" s="448">
        <v>1</v>
      </c>
      <c r="F342" s="448">
        <v>425</v>
      </c>
      <c r="G342" s="445">
        <f>E342*F342</f>
        <v>425</v>
      </c>
      <c r="H342" s="496">
        <f t="shared" si="15"/>
        <v>1.431184705227086E-2</v>
      </c>
      <c r="I342" s="496">
        <f t="shared" si="17"/>
        <v>98.749782018825826</v>
      </c>
      <c r="J342" s="443" t="str">
        <f t="shared" si="16"/>
        <v>C</v>
      </c>
    </row>
    <row r="343" spans="1:10" s="220" customFormat="1" ht="28.5">
      <c r="A343" s="446" t="s">
        <v>2141</v>
      </c>
      <c r="B343" s="446" t="s">
        <v>3006</v>
      </c>
      <c r="C343" s="447" t="s">
        <v>3092</v>
      </c>
      <c r="D343" s="446" t="s">
        <v>144</v>
      </c>
      <c r="E343" s="448">
        <v>18.605650000000001</v>
      </c>
      <c r="F343" s="448">
        <v>22.72</v>
      </c>
      <c r="G343" s="445">
        <f>E343*F343</f>
        <v>422.72036800000001</v>
      </c>
      <c r="H343" s="496">
        <f t="shared" si="15"/>
        <v>1.4235080594578009E-2</v>
      </c>
      <c r="I343" s="496">
        <f t="shared" si="17"/>
        <v>98.7640170994204</v>
      </c>
      <c r="J343" s="443" t="str">
        <f t="shared" si="16"/>
        <v>C</v>
      </c>
    </row>
    <row r="344" spans="1:10" s="220" customFormat="1" ht="14.25">
      <c r="A344" s="446" t="s">
        <v>3264</v>
      </c>
      <c r="B344" s="446" t="s">
        <v>158</v>
      </c>
      <c r="C344" s="447" t="s">
        <v>3397</v>
      </c>
      <c r="D344" s="446" t="s">
        <v>144</v>
      </c>
      <c r="E344" s="448">
        <v>6</v>
      </c>
      <c r="F344" s="448">
        <v>70.45</v>
      </c>
      <c r="G344" s="445">
        <f>E344*F344</f>
        <v>422.70000000000005</v>
      </c>
      <c r="H344" s="496">
        <f t="shared" si="15"/>
        <v>1.4234394703517398E-2</v>
      </c>
      <c r="I344" s="496">
        <f t="shared" si="17"/>
        <v>98.778251494123921</v>
      </c>
      <c r="J344" s="443" t="str">
        <f t="shared" si="16"/>
        <v>C</v>
      </c>
    </row>
    <row r="345" spans="1:10" s="220" customFormat="1" ht="14.25">
      <c r="A345" s="446" t="s">
        <v>3132</v>
      </c>
      <c r="B345" s="446" t="s">
        <v>119</v>
      </c>
      <c r="C345" s="447" t="s">
        <v>3133</v>
      </c>
      <c r="D345" s="446" t="s">
        <v>173</v>
      </c>
      <c r="E345" s="448">
        <v>9</v>
      </c>
      <c r="F345" s="448">
        <v>46.89</v>
      </c>
      <c r="G345" s="445">
        <f>E345*F345</f>
        <v>422.01</v>
      </c>
      <c r="H345" s="496">
        <f t="shared" si="15"/>
        <v>1.4211158998891355E-2</v>
      </c>
      <c r="I345" s="496">
        <f t="shared" si="17"/>
        <v>98.792462653122811</v>
      </c>
      <c r="J345" s="443" t="str">
        <f t="shared" si="16"/>
        <v>C</v>
      </c>
    </row>
    <row r="346" spans="1:10" s="220" customFormat="1" ht="14.25">
      <c r="A346" s="446" t="s">
        <v>3313</v>
      </c>
      <c r="B346" s="446" t="s">
        <v>119</v>
      </c>
      <c r="C346" s="447" t="s">
        <v>3314</v>
      </c>
      <c r="D346" s="446" t="s">
        <v>144</v>
      </c>
      <c r="E346" s="448">
        <v>29</v>
      </c>
      <c r="F346" s="448">
        <v>14.43</v>
      </c>
      <c r="G346" s="445">
        <f>E346*F346</f>
        <v>418.46999999999997</v>
      </c>
      <c r="H346" s="496">
        <f t="shared" si="15"/>
        <v>1.4091949731679499E-2</v>
      </c>
      <c r="I346" s="496">
        <f t="shared" si="17"/>
        <v>98.80655460285449</v>
      </c>
      <c r="J346" s="443" t="str">
        <f t="shared" si="16"/>
        <v>C</v>
      </c>
    </row>
    <row r="347" spans="1:10" s="220" customFormat="1" ht="28.5">
      <c r="A347" s="446" t="s">
        <v>4082</v>
      </c>
      <c r="B347" s="446" t="s">
        <v>3006</v>
      </c>
      <c r="C347" s="447" t="s">
        <v>4138</v>
      </c>
      <c r="D347" s="446" t="s">
        <v>144</v>
      </c>
      <c r="E347" s="448">
        <v>7</v>
      </c>
      <c r="F347" s="448">
        <v>59.63</v>
      </c>
      <c r="G347" s="445">
        <f>E347*F347</f>
        <v>417.41</v>
      </c>
      <c r="H347" s="496">
        <f t="shared" si="15"/>
        <v>1.4056254301384423E-2</v>
      </c>
      <c r="I347" s="496">
        <f t="shared" si="17"/>
        <v>98.82061085715587</v>
      </c>
      <c r="J347" s="443" t="str">
        <f t="shared" si="16"/>
        <v>C</v>
      </c>
    </row>
    <row r="348" spans="1:10" s="220" customFormat="1" ht="14.25">
      <c r="A348" s="446" t="s">
        <v>2345</v>
      </c>
      <c r="B348" s="446" t="s">
        <v>119</v>
      </c>
      <c r="C348" s="447" t="s">
        <v>2346</v>
      </c>
      <c r="D348" s="446" t="s">
        <v>144</v>
      </c>
      <c r="E348" s="448">
        <v>4</v>
      </c>
      <c r="F348" s="448">
        <v>102.64</v>
      </c>
      <c r="G348" s="445">
        <f>E348*F348</f>
        <v>410.56</v>
      </c>
      <c r="H348" s="496">
        <f t="shared" si="15"/>
        <v>1.3825581001836057E-2</v>
      </c>
      <c r="I348" s="496">
        <f t="shared" si="17"/>
        <v>98.834436438157709</v>
      </c>
      <c r="J348" s="443" t="str">
        <f t="shared" si="16"/>
        <v>C</v>
      </c>
    </row>
    <row r="349" spans="1:10" s="220" customFormat="1" ht="14.25">
      <c r="A349" s="446" t="s">
        <v>1627</v>
      </c>
      <c r="B349" s="446" t="s">
        <v>119</v>
      </c>
      <c r="C349" s="447" t="s">
        <v>1628</v>
      </c>
      <c r="D349" s="446" t="s">
        <v>144</v>
      </c>
      <c r="E349" s="448">
        <v>138</v>
      </c>
      <c r="F349" s="448">
        <v>2.97</v>
      </c>
      <c r="G349" s="445">
        <f>E349*F349</f>
        <v>409.86</v>
      </c>
      <c r="H349" s="496">
        <f t="shared" si="15"/>
        <v>1.3802008547867612E-2</v>
      </c>
      <c r="I349" s="496">
        <f t="shared" si="17"/>
        <v>98.848238446705579</v>
      </c>
      <c r="J349" s="443" t="str">
        <f t="shared" si="16"/>
        <v>C</v>
      </c>
    </row>
    <row r="350" spans="1:10" s="220" customFormat="1" ht="28.5">
      <c r="A350" s="446" t="s">
        <v>1794</v>
      </c>
      <c r="B350" s="446" t="s">
        <v>119</v>
      </c>
      <c r="C350" s="447" t="s">
        <v>1795</v>
      </c>
      <c r="D350" s="446" t="s">
        <v>173</v>
      </c>
      <c r="E350" s="448">
        <v>109.339388</v>
      </c>
      <c r="F350" s="448">
        <v>3.65</v>
      </c>
      <c r="G350" s="445">
        <f>E350*F350</f>
        <v>399.08876620000001</v>
      </c>
      <c r="H350" s="496">
        <f t="shared" si="15"/>
        <v>1.3439287957962082E-2</v>
      </c>
      <c r="I350" s="496">
        <f t="shared" si="17"/>
        <v>98.861677734663544</v>
      </c>
      <c r="J350" s="443" t="str">
        <f t="shared" si="16"/>
        <v>C</v>
      </c>
    </row>
    <row r="351" spans="1:10" s="220" customFormat="1" ht="14.25">
      <c r="A351" s="446" t="s">
        <v>3970</v>
      </c>
      <c r="B351" s="446" t="s">
        <v>119</v>
      </c>
      <c r="C351" s="447" t="s">
        <v>3856</v>
      </c>
      <c r="D351" s="446" t="s">
        <v>200</v>
      </c>
      <c r="E351" s="448">
        <v>7.4</v>
      </c>
      <c r="F351" s="448">
        <v>53.64</v>
      </c>
      <c r="G351" s="445">
        <f>E351*F351</f>
        <v>396.93600000000004</v>
      </c>
      <c r="H351" s="496">
        <f t="shared" si="15"/>
        <v>1.3366793697741616E-2</v>
      </c>
      <c r="I351" s="496">
        <f t="shared" si="17"/>
        <v>98.875044528361286</v>
      </c>
      <c r="J351" s="443" t="str">
        <f t="shared" si="16"/>
        <v>C</v>
      </c>
    </row>
    <row r="352" spans="1:10" s="220" customFormat="1" ht="14.25">
      <c r="A352" s="446" t="s">
        <v>1244</v>
      </c>
      <c r="B352" s="446" t="s">
        <v>119</v>
      </c>
      <c r="C352" s="447" t="s">
        <v>1245</v>
      </c>
      <c r="D352" s="446" t="s">
        <v>144</v>
      </c>
      <c r="E352" s="448">
        <v>7</v>
      </c>
      <c r="F352" s="448">
        <v>55.42</v>
      </c>
      <c r="G352" s="445">
        <f>E352*F352</f>
        <v>387.94</v>
      </c>
      <c r="H352" s="496">
        <f t="shared" si="15"/>
        <v>1.3063853989312842E-2</v>
      </c>
      <c r="I352" s="496">
        <f t="shared" si="17"/>
        <v>98.888108382350595</v>
      </c>
      <c r="J352" s="443" t="str">
        <f t="shared" si="16"/>
        <v>C</v>
      </c>
    </row>
    <row r="353" spans="1:10" s="220" customFormat="1" ht="14.25">
      <c r="A353" s="446" t="s">
        <v>3152</v>
      </c>
      <c r="B353" s="446" t="s">
        <v>119</v>
      </c>
      <c r="C353" s="447" t="s">
        <v>3153</v>
      </c>
      <c r="D353" s="446" t="s">
        <v>167</v>
      </c>
      <c r="E353" s="448">
        <v>0.59769192000000004</v>
      </c>
      <c r="F353" s="448">
        <v>648.87</v>
      </c>
      <c r="G353" s="445">
        <f>E353*F353</f>
        <v>387.82435613040002</v>
      </c>
      <c r="H353" s="496">
        <f t="shared" si="15"/>
        <v>1.3059959689608731E-2</v>
      </c>
      <c r="I353" s="496">
        <f t="shared" si="17"/>
        <v>98.901168342040208</v>
      </c>
      <c r="J353" s="443" t="str">
        <f t="shared" si="16"/>
        <v>C</v>
      </c>
    </row>
    <row r="354" spans="1:10" s="220" customFormat="1" ht="28.5">
      <c r="A354" s="446" t="s">
        <v>651</v>
      </c>
      <c r="B354" s="446" t="s">
        <v>119</v>
      </c>
      <c r="C354" s="447" t="s">
        <v>652</v>
      </c>
      <c r="D354" s="446" t="s">
        <v>144</v>
      </c>
      <c r="E354" s="448">
        <v>327.68004000000002</v>
      </c>
      <c r="F354" s="448">
        <v>1.1599999999999999</v>
      </c>
      <c r="G354" s="445">
        <f>E354*F354</f>
        <v>380.1088464</v>
      </c>
      <c r="H354" s="496">
        <f t="shared" si="15"/>
        <v>1.2800140406804513E-2</v>
      </c>
      <c r="I354" s="496">
        <f t="shared" si="17"/>
        <v>98.913968482447018</v>
      </c>
      <c r="J354" s="443" t="str">
        <f t="shared" si="16"/>
        <v>C</v>
      </c>
    </row>
    <row r="355" spans="1:10" s="220" customFormat="1" ht="28.5">
      <c r="A355" s="446" t="s">
        <v>769</v>
      </c>
      <c r="B355" s="446" t="s">
        <v>3006</v>
      </c>
      <c r="C355" s="447" t="s">
        <v>3134</v>
      </c>
      <c r="D355" s="446" t="s">
        <v>173</v>
      </c>
      <c r="E355" s="448">
        <v>43.162623000000004</v>
      </c>
      <c r="F355" s="448">
        <v>8.67</v>
      </c>
      <c r="G355" s="445">
        <f>E355*F355</f>
        <v>374.21994141000005</v>
      </c>
      <c r="H355" s="496">
        <f t="shared" si="15"/>
        <v>1.2601831918516902E-2</v>
      </c>
      <c r="I355" s="496">
        <f t="shared" si="17"/>
        <v>98.926570314365534</v>
      </c>
      <c r="J355" s="443" t="str">
        <f t="shared" si="16"/>
        <v>C</v>
      </c>
    </row>
    <row r="356" spans="1:10" s="220" customFormat="1" ht="14.25">
      <c r="A356" s="446" t="s">
        <v>760</v>
      </c>
      <c r="B356" s="446" t="s">
        <v>119</v>
      </c>
      <c r="C356" s="447" t="s">
        <v>761</v>
      </c>
      <c r="D356" s="446" t="s">
        <v>144</v>
      </c>
      <c r="E356" s="448">
        <v>8</v>
      </c>
      <c r="F356" s="448">
        <v>46.61</v>
      </c>
      <c r="G356" s="445">
        <f>E356*F356</f>
        <v>372.88</v>
      </c>
      <c r="H356" s="496">
        <f t="shared" si="15"/>
        <v>1.2556709479648844E-2</v>
      </c>
      <c r="I356" s="496">
        <f t="shared" si="17"/>
        <v>98.939127023845188</v>
      </c>
      <c r="J356" s="443" t="str">
        <f t="shared" si="16"/>
        <v>C</v>
      </c>
    </row>
    <row r="357" spans="1:10" s="220" customFormat="1" ht="14.25">
      <c r="A357" s="446" t="s">
        <v>1254</v>
      </c>
      <c r="B357" s="446" t="s">
        <v>119</v>
      </c>
      <c r="C357" s="447" t="s">
        <v>1255</v>
      </c>
      <c r="D357" s="446" t="s">
        <v>173</v>
      </c>
      <c r="E357" s="448">
        <v>127.6763</v>
      </c>
      <c r="F357" s="448">
        <v>2.9</v>
      </c>
      <c r="G357" s="445">
        <f>E357*F357</f>
        <v>370.26126999999997</v>
      </c>
      <c r="H357" s="496">
        <f t="shared" si="15"/>
        <v>1.2468523919104857E-2</v>
      </c>
      <c r="I357" s="496">
        <f t="shared" si="17"/>
        <v>98.951595547764299</v>
      </c>
      <c r="J357" s="443" t="str">
        <f t="shared" si="16"/>
        <v>C</v>
      </c>
    </row>
    <row r="358" spans="1:10" s="220" customFormat="1" ht="28.5">
      <c r="A358" s="446" t="s">
        <v>2960</v>
      </c>
      <c r="B358" s="446" t="s">
        <v>119</v>
      </c>
      <c r="C358" s="447" t="s">
        <v>2961</v>
      </c>
      <c r="D358" s="446" t="s">
        <v>139</v>
      </c>
      <c r="E358" s="448">
        <v>3.38</v>
      </c>
      <c r="F358" s="448">
        <v>108.38</v>
      </c>
      <c r="G358" s="445">
        <f>E358*F358</f>
        <v>366.32439999999997</v>
      </c>
      <c r="H358" s="496">
        <f t="shared" si="15"/>
        <v>1.2335950080740919E-2</v>
      </c>
      <c r="I358" s="496">
        <f t="shared" si="17"/>
        <v>98.963931497845039</v>
      </c>
      <c r="J358" s="443" t="str">
        <f t="shared" si="16"/>
        <v>C</v>
      </c>
    </row>
    <row r="359" spans="1:10" s="220" customFormat="1" ht="14.25">
      <c r="A359" s="446" t="s">
        <v>4044</v>
      </c>
      <c r="B359" s="446" t="s">
        <v>119</v>
      </c>
      <c r="C359" s="447" t="s">
        <v>4045</v>
      </c>
      <c r="D359" s="446" t="s">
        <v>144</v>
      </c>
      <c r="E359" s="448">
        <v>10</v>
      </c>
      <c r="F359" s="448">
        <v>36.49</v>
      </c>
      <c r="G359" s="445">
        <f>E359*F359</f>
        <v>364.90000000000003</v>
      </c>
      <c r="H359" s="496">
        <f t="shared" si="15"/>
        <v>1.2287983504408557E-2</v>
      </c>
      <c r="I359" s="496">
        <f t="shared" si="17"/>
        <v>98.976219481349446</v>
      </c>
      <c r="J359" s="443" t="str">
        <f t="shared" si="16"/>
        <v>C</v>
      </c>
    </row>
    <row r="360" spans="1:10" s="220" customFormat="1" ht="14.25">
      <c r="A360" s="446" t="s">
        <v>1780</v>
      </c>
      <c r="B360" s="446" t="s">
        <v>119</v>
      </c>
      <c r="C360" s="447" t="s">
        <v>1781</v>
      </c>
      <c r="D360" s="446" t="s">
        <v>144</v>
      </c>
      <c r="E360" s="448">
        <v>18</v>
      </c>
      <c r="F360" s="448">
        <v>20.27</v>
      </c>
      <c r="G360" s="445">
        <f>E360*F360</f>
        <v>364.86</v>
      </c>
      <c r="H360" s="496">
        <f t="shared" si="15"/>
        <v>1.2286636507038932E-2</v>
      </c>
      <c r="I360" s="496">
        <f t="shared" si="17"/>
        <v>98.988506117856488</v>
      </c>
      <c r="J360" s="443" t="str">
        <f t="shared" si="16"/>
        <v>C</v>
      </c>
    </row>
    <row r="361" spans="1:10" s="220" customFormat="1" ht="14.25">
      <c r="A361" s="446" t="s">
        <v>1651</v>
      </c>
      <c r="B361" s="446" t="s">
        <v>119</v>
      </c>
      <c r="C361" s="447" t="s">
        <v>1652</v>
      </c>
      <c r="D361" s="446" t="s">
        <v>144</v>
      </c>
      <c r="E361" s="448">
        <v>37</v>
      </c>
      <c r="F361" s="448">
        <v>9.7200000000000006</v>
      </c>
      <c r="G361" s="445">
        <f>E361*F361</f>
        <v>359.64000000000004</v>
      </c>
      <c r="H361" s="496">
        <f t="shared" si="15"/>
        <v>1.2110853350302807E-2</v>
      </c>
      <c r="I361" s="496">
        <f t="shared" si="17"/>
        <v>99.000616971206796</v>
      </c>
      <c r="J361" s="443" t="str">
        <f t="shared" si="16"/>
        <v>C</v>
      </c>
    </row>
    <row r="362" spans="1:10" s="220" customFormat="1" ht="14.25">
      <c r="A362" s="446" t="s">
        <v>2349</v>
      </c>
      <c r="B362" s="446" t="s">
        <v>119</v>
      </c>
      <c r="C362" s="447" t="s">
        <v>2350</v>
      </c>
      <c r="D362" s="446" t="s">
        <v>144</v>
      </c>
      <c r="E362" s="448">
        <v>4.0999999999999996</v>
      </c>
      <c r="F362" s="448">
        <v>87.52</v>
      </c>
      <c r="G362" s="445">
        <f>E362*F362</f>
        <v>358.83199999999994</v>
      </c>
      <c r="H362" s="496">
        <f t="shared" si="15"/>
        <v>1.208364400343637E-2</v>
      </c>
      <c r="I362" s="496">
        <f t="shared" si="17"/>
        <v>99.012700615210235</v>
      </c>
      <c r="J362" s="443" t="str">
        <f t="shared" si="16"/>
        <v>C</v>
      </c>
    </row>
    <row r="363" spans="1:10" s="220" customFormat="1" ht="28.5">
      <c r="A363" s="446" t="s">
        <v>702</v>
      </c>
      <c r="B363" s="446" t="s">
        <v>3006</v>
      </c>
      <c r="C363" s="447" t="s">
        <v>3138</v>
      </c>
      <c r="D363" s="446" t="s">
        <v>144</v>
      </c>
      <c r="E363" s="448">
        <v>35</v>
      </c>
      <c r="F363" s="448">
        <v>10.14</v>
      </c>
      <c r="G363" s="445">
        <f>E363*F363</f>
        <v>354.90000000000003</v>
      </c>
      <c r="H363" s="496">
        <f t="shared" si="15"/>
        <v>1.1951234162002184E-2</v>
      </c>
      <c r="I363" s="496">
        <f t="shared" si="17"/>
        <v>99.024651849372233</v>
      </c>
      <c r="J363" s="443" t="str">
        <f t="shared" si="16"/>
        <v>C</v>
      </c>
    </row>
    <row r="364" spans="1:10" s="220" customFormat="1" ht="14.25">
      <c r="A364" s="446" t="s">
        <v>3135</v>
      </c>
      <c r="B364" s="446" t="s">
        <v>119</v>
      </c>
      <c r="C364" s="447" t="s">
        <v>3136</v>
      </c>
      <c r="D364" s="446" t="s">
        <v>144</v>
      </c>
      <c r="E364" s="448">
        <v>29</v>
      </c>
      <c r="F364" s="448">
        <v>12.04</v>
      </c>
      <c r="G364" s="445">
        <f>E364*F364</f>
        <v>349.15999999999997</v>
      </c>
      <c r="H364" s="496">
        <f t="shared" si="15"/>
        <v>1.1757940039460926E-2</v>
      </c>
      <c r="I364" s="496">
        <f t="shared" si="17"/>
        <v>99.036409789411692</v>
      </c>
      <c r="J364" s="443" t="str">
        <f t="shared" si="16"/>
        <v>C</v>
      </c>
    </row>
    <row r="365" spans="1:10" s="220" customFormat="1" ht="28.5">
      <c r="A365" s="446" t="s">
        <v>2365</v>
      </c>
      <c r="B365" s="446" t="s">
        <v>119</v>
      </c>
      <c r="C365" s="447" t="s">
        <v>2366</v>
      </c>
      <c r="D365" s="446" t="s">
        <v>173</v>
      </c>
      <c r="E365" s="448">
        <v>3</v>
      </c>
      <c r="F365" s="448">
        <v>114.57</v>
      </c>
      <c r="G365" s="445">
        <f>E365*F365</f>
        <v>343.71</v>
      </c>
      <c r="H365" s="496">
        <f t="shared" si="15"/>
        <v>1.1574411647849453E-2</v>
      </c>
      <c r="I365" s="496">
        <f t="shared" si="17"/>
        <v>99.047984201059535</v>
      </c>
      <c r="J365" s="443" t="str">
        <f t="shared" si="16"/>
        <v>C</v>
      </c>
    </row>
    <row r="366" spans="1:10" s="220" customFormat="1" ht="14.25">
      <c r="A366" s="446" t="s">
        <v>3767</v>
      </c>
      <c r="B366" s="446" t="s">
        <v>3396</v>
      </c>
      <c r="C366" s="447" t="s">
        <v>3768</v>
      </c>
      <c r="D366" s="446" t="s">
        <v>200</v>
      </c>
      <c r="E366" s="448">
        <v>526.52800000000002</v>
      </c>
      <c r="F366" s="448">
        <v>0.65</v>
      </c>
      <c r="G366" s="445">
        <f>E366*F366</f>
        <v>342.2432</v>
      </c>
      <c r="H366" s="496">
        <f t="shared" si="15"/>
        <v>1.1525017254305285E-2</v>
      </c>
      <c r="I366" s="496">
        <f t="shared" si="17"/>
        <v>99.059509218313835</v>
      </c>
      <c r="J366" s="443" t="str">
        <f t="shared" si="16"/>
        <v>C</v>
      </c>
    </row>
    <row r="367" spans="1:10" s="220" customFormat="1" ht="28.5">
      <c r="A367" s="446" t="s">
        <v>3141</v>
      </c>
      <c r="B367" s="446" t="s">
        <v>119</v>
      </c>
      <c r="C367" s="447" t="s">
        <v>3142</v>
      </c>
      <c r="D367" s="446" t="s">
        <v>173</v>
      </c>
      <c r="E367" s="448">
        <v>27.603480000000001</v>
      </c>
      <c r="F367" s="448">
        <v>12.31</v>
      </c>
      <c r="G367" s="445">
        <f>E367*F367</f>
        <v>339.79883880000006</v>
      </c>
      <c r="H367" s="496">
        <f t="shared" si="15"/>
        <v>1.1442703551634924E-2</v>
      </c>
      <c r="I367" s="496">
        <f t="shared" si="17"/>
        <v>99.070951921865472</v>
      </c>
      <c r="J367" s="443" t="str">
        <f t="shared" si="16"/>
        <v>C</v>
      </c>
    </row>
    <row r="368" spans="1:10" s="220" customFormat="1" ht="14.25">
      <c r="A368" s="446" t="s">
        <v>1689</v>
      </c>
      <c r="B368" s="446" t="s">
        <v>119</v>
      </c>
      <c r="C368" s="447" t="s">
        <v>1690</v>
      </c>
      <c r="D368" s="446" t="s">
        <v>144</v>
      </c>
      <c r="E368" s="448">
        <v>6</v>
      </c>
      <c r="F368" s="448">
        <v>56.36</v>
      </c>
      <c r="G368" s="445">
        <f>E368*F368</f>
        <v>338.15999999999997</v>
      </c>
      <c r="H368" s="496">
        <f t="shared" si="15"/>
        <v>1.1387515762813915E-2</v>
      </c>
      <c r="I368" s="496">
        <f t="shared" si="17"/>
        <v>99.082339437628292</v>
      </c>
      <c r="J368" s="443" t="str">
        <f t="shared" si="16"/>
        <v>C</v>
      </c>
    </row>
    <row r="369" spans="1:10" s="220" customFormat="1" ht="14.25">
      <c r="A369" s="446" t="s">
        <v>2310</v>
      </c>
      <c r="B369" s="446" t="s">
        <v>119</v>
      </c>
      <c r="C369" s="447" t="s">
        <v>2311</v>
      </c>
      <c r="D369" s="446" t="s">
        <v>173</v>
      </c>
      <c r="E369" s="448">
        <v>100.98</v>
      </c>
      <c r="F369" s="448">
        <v>3.31</v>
      </c>
      <c r="G369" s="445">
        <f>E369*F369</f>
        <v>334.24380000000002</v>
      </c>
      <c r="H369" s="496">
        <f t="shared" si="15"/>
        <v>1.1255637985340733E-2</v>
      </c>
      <c r="I369" s="496">
        <f t="shared" si="17"/>
        <v>99.093595075613635</v>
      </c>
      <c r="J369" s="443" t="str">
        <f t="shared" si="16"/>
        <v>C</v>
      </c>
    </row>
    <row r="370" spans="1:10" s="220" customFormat="1" ht="14.25">
      <c r="A370" s="446" t="s">
        <v>3931</v>
      </c>
      <c r="B370" s="446" t="s">
        <v>119</v>
      </c>
      <c r="C370" s="447" t="s">
        <v>3932</v>
      </c>
      <c r="D370" s="446" t="s">
        <v>144</v>
      </c>
      <c r="E370" s="448">
        <v>2</v>
      </c>
      <c r="F370" s="448">
        <v>166.98</v>
      </c>
      <c r="G370" s="445">
        <f>E370*F370</f>
        <v>333.96</v>
      </c>
      <c r="H370" s="496">
        <f t="shared" si="15"/>
        <v>1.124608103900324E-2</v>
      </c>
      <c r="I370" s="496">
        <f t="shared" si="17"/>
        <v>99.10484115665264</v>
      </c>
      <c r="J370" s="443" t="str">
        <f t="shared" si="16"/>
        <v>C</v>
      </c>
    </row>
    <row r="371" spans="1:10" s="220" customFormat="1" ht="14.25">
      <c r="A371" s="446" t="s">
        <v>2330</v>
      </c>
      <c r="B371" s="446" t="s">
        <v>119</v>
      </c>
      <c r="C371" s="447" t="s">
        <v>2331</v>
      </c>
      <c r="D371" s="446" t="s">
        <v>144</v>
      </c>
      <c r="E371" s="448">
        <v>10</v>
      </c>
      <c r="F371" s="448">
        <v>33.33</v>
      </c>
      <c r="G371" s="445">
        <f>E371*F371</f>
        <v>333.29999999999995</v>
      </c>
      <c r="H371" s="496">
        <f t="shared" si="15"/>
        <v>1.1223855582404416E-2</v>
      </c>
      <c r="I371" s="496">
        <f t="shared" si="17"/>
        <v>99.11606501223504</v>
      </c>
      <c r="J371" s="443" t="str">
        <f t="shared" si="16"/>
        <v>C</v>
      </c>
    </row>
    <row r="372" spans="1:10" s="220" customFormat="1" ht="28.5">
      <c r="A372" s="446" t="s">
        <v>1429</v>
      </c>
      <c r="B372" s="446" t="s">
        <v>119</v>
      </c>
      <c r="C372" s="447" t="s">
        <v>1430</v>
      </c>
      <c r="D372" s="446" t="s">
        <v>173</v>
      </c>
      <c r="E372" s="448">
        <v>17.664000000000001</v>
      </c>
      <c r="F372" s="448">
        <v>18.37</v>
      </c>
      <c r="G372" s="445">
        <f>E372*F372</f>
        <v>324.48768000000007</v>
      </c>
      <c r="H372" s="496">
        <f t="shared" si="15"/>
        <v>1.0927101285896967E-2</v>
      </c>
      <c r="I372" s="496">
        <f t="shared" si="17"/>
        <v>99.126992113520942</v>
      </c>
      <c r="J372" s="443" t="str">
        <f t="shared" si="16"/>
        <v>C</v>
      </c>
    </row>
    <row r="373" spans="1:10" s="220" customFormat="1" ht="28.5">
      <c r="A373" s="446" t="s">
        <v>3139</v>
      </c>
      <c r="B373" s="446" t="s">
        <v>119</v>
      </c>
      <c r="C373" s="447" t="s">
        <v>3140</v>
      </c>
      <c r="D373" s="446" t="s">
        <v>144</v>
      </c>
      <c r="E373" s="448">
        <v>159</v>
      </c>
      <c r="F373" s="448">
        <v>2.0299999999999998</v>
      </c>
      <c r="G373" s="445">
        <f>E373*F373</f>
        <v>322.77</v>
      </c>
      <c r="H373" s="496">
        <f t="shared" si="15"/>
        <v>1.0869258524850508E-2</v>
      </c>
      <c r="I373" s="496">
        <f t="shared" si="17"/>
        <v>99.137861372045791</v>
      </c>
      <c r="J373" s="443" t="str">
        <f t="shared" si="16"/>
        <v>C</v>
      </c>
    </row>
    <row r="374" spans="1:10" s="220" customFormat="1" ht="28.5">
      <c r="A374" s="446" t="s">
        <v>1693</v>
      </c>
      <c r="B374" s="446" t="s">
        <v>119</v>
      </c>
      <c r="C374" s="447" t="s">
        <v>1694</v>
      </c>
      <c r="D374" s="446" t="s">
        <v>173</v>
      </c>
      <c r="E374" s="448">
        <v>71.247</v>
      </c>
      <c r="F374" s="448">
        <v>4.5199999999999996</v>
      </c>
      <c r="G374" s="445">
        <f>E374*F374</f>
        <v>322.03643999999997</v>
      </c>
      <c r="H374" s="496">
        <f t="shared" si="15"/>
        <v>1.0844555940088945E-2</v>
      </c>
      <c r="I374" s="496">
        <f t="shared" si="17"/>
        <v>99.148705927985873</v>
      </c>
      <c r="J374" s="443" t="str">
        <f t="shared" si="16"/>
        <v>C</v>
      </c>
    </row>
    <row r="375" spans="1:10" s="220" customFormat="1" ht="14.25">
      <c r="A375" s="446" t="s">
        <v>1637</v>
      </c>
      <c r="B375" s="446" t="s">
        <v>119</v>
      </c>
      <c r="C375" s="447" t="s">
        <v>1638</v>
      </c>
      <c r="D375" s="446" t="s">
        <v>144</v>
      </c>
      <c r="E375" s="448">
        <v>46</v>
      </c>
      <c r="F375" s="448">
        <v>6.97</v>
      </c>
      <c r="G375" s="445">
        <f>E375*F375</f>
        <v>320.62</v>
      </c>
      <c r="H375" s="496">
        <f t="shared" si="15"/>
        <v>1.0796857416233136E-2</v>
      </c>
      <c r="I375" s="496">
        <f t="shared" si="17"/>
        <v>99.159502785402111</v>
      </c>
      <c r="J375" s="443" t="str">
        <f t="shared" si="16"/>
        <v>C</v>
      </c>
    </row>
    <row r="376" spans="1:10" s="220" customFormat="1" ht="14.25">
      <c r="A376" s="446" t="s">
        <v>1442</v>
      </c>
      <c r="B376" s="446" t="s">
        <v>119</v>
      </c>
      <c r="C376" s="447" t="s">
        <v>1443</v>
      </c>
      <c r="D376" s="446" t="s">
        <v>139</v>
      </c>
      <c r="E376" s="448">
        <v>158.98480000000001</v>
      </c>
      <c r="F376" s="448">
        <v>2</v>
      </c>
      <c r="G376" s="445">
        <f>E376*F376</f>
        <v>317.96960000000001</v>
      </c>
      <c r="H376" s="496">
        <f t="shared" si="15"/>
        <v>1.0707605370521752E-2</v>
      </c>
      <c r="I376" s="496">
        <f t="shared" si="17"/>
        <v>99.170210390772638</v>
      </c>
      <c r="J376" s="443" t="str">
        <f t="shared" si="16"/>
        <v>C</v>
      </c>
    </row>
    <row r="377" spans="1:10" s="220" customFormat="1" ht="14.25">
      <c r="A377" s="446" t="s">
        <v>2314</v>
      </c>
      <c r="B377" s="446" t="s">
        <v>119</v>
      </c>
      <c r="C377" s="447" t="s">
        <v>2315</v>
      </c>
      <c r="D377" s="446" t="s">
        <v>139</v>
      </c>
      <c r="E377" s="448">
        <v>13.7088</v>
      </c>
      <c r="F377" s="448">
        <v>23.01</v>
      </c>
      <c r="G377" s="445">
        <f>E377*F377</f>
        <v>315.43948800000004</v>
      </c>
      <c r="H377" s="496">
        <f t="shared" si="15"/>
        <v>1.0622404015300306E-2</v>
      </c>
      <c r="I377" s="496">
        <f t="shared" si="17"/>
        <v>99.180832794787932</v>
      </c>
      <c r="J377" s="443" t="str">
        <f t="shared" si="16"/>
        <v>C</v>
      </c>
    </row>
    <row r="378" spans="1:10" s="220" customFormat="1" ht="14.25">
      <c r="A378" s="446" t="s">
        <v>1641</v>
      </c>
      <c r="B378" s="446" t="s">
        <v>119</v>
      </c>
      <c r="C378" s="447" t="s">
        <v>1642</v>
      </c>
      <c r="D378" s="446" t="s">
        <v>144</v>
      </c>
      <c r="E378" s="448">
        <v>12</v>
      </c>
      <c r="F378" s="448">
        <v>25.53</v>
      </c>
      <c r="G378" s="445">
        <f>E378*F378</f>
        <v>306.36</v>
      </c>
      <c r="H378" s="496">
        <f t="shared" si="15"/>
        <v>1.0316652853961649E-2</v>
      </c>
      <c r="I378" s="496">
        <f t="shared" si="17"/>
        <v>99.191149447641891</v>
      </c>
      <c r="J378" s="443" t="str">
        <f t="shared" si="16"/>
        <v>C</v>
      </c>
    </row>
    <row r="379" spans="1:10" s="220" customFormat="1" ht="14.25">
      <c r="A379" s="446" t="s">
        <v>1615</v>
      </c>
      <c r="B379" s="446" t="s">
        <v>119</v>
      </c>
      <c r="C379" s="447" t="s">
        <v>1616</v>
      </c>
      <c r="D379" s="446" t="s">
        <v>144</v>
      </c>
      <c r="E379" s="448">
        <v>57</v>
      </c>
      <c r="F379" s="448">
        <v>5.36</v>
      </c>
      <c r="G379" s="445">
        <f>E379*F379</f>
        <v>305.52000000000004</v>
      </c>
      <c r="H379" s="496">
        <f t="shared" si="15"/>
        <v>1.0288365909199515E-2</v>
      </c>
      <c r="I379" s="496">
        <f t="shared" si="17"/>
        <v>99.201437813551095</v>
      </c>
      <c r="J379" s="443" t="str">
        <f t="shared" si="16"/>
        <v>C</v>
      </c>
    </row>
    <row r="380" spans="1:10" s="220" customFormat="1" ht="14.25">
      <c r="A380" s="446" t="s">
        <v>1639</v>
      </c>
      <c r="B380" s="446" t="s">
        <v>119</v>
      </c>
      <c r="C380" s="447" t="s">
        <v>1640</v>
      </c>
      <c r="D380" s="446" t="s">
        <v>144</v>
      </c>
      <c r="E380" s="448">
        <v>87</v>
      </c>
      <c r="F380" s="448">
        <v>3.51</v>
      </c>
      <c r="G380" s="445">
        <f>E380*F380</f>
        <v>305.37</v>
      </c>
      <c r="H380" s="496">
        <f t="shared" si="15"/>
        <v>1.0283314669063418E-2</v>
      </c>
      <c r="I380" s="496">
        <f t="shared" si="17"/>
        <v>99.211721128220162</v>
      </c>
      <c r="J380" s="443" t="str">
        <f t="shared" si="16"/>
        <v>C</v>
      </c>
    </row>
    <row r="381" spans="1:10" s="220" customFormat="1" ht="14.25">
      <c r="A381" s="446" t="s">
        <v>2941</v>
      </c>
      <c r="B381" s="446" t="s">
        <v>158</v>
      </c>
      <c r="C381" s="447" t="s">
        <v>1550</v>
      </c>
      <c r="D381" s="446" t="s">
        <v>200</v>
      </c>
      <c r="E381" s="448">
        <v>5.952</v>
      </c>
      <c r="F381" s="448">
        <v>49.78</v>
      </c>
      <c r="G381" s="445">
        <f>E381*F381</f>
        <v>296.29056000000003</v>
      </c>
      <c r="H381" s="496">
        <f t="shared" si="15"/>
        <v>9.9775651241216078E-3</v>
      </c>
      <c r="I381" s="496">
        <f t="shared" si="17"/>
        <v>99.22169869334428</v>
      </c>
      <c r="J381" s="443" t="str">
        <f t="shared" si="16"/>
        <v>C</v>
      </c>
    </row>
    <row r="382" spans="1:10" s="220" customFormat="1" ht="28.5">
      <c r="A382" s="446" t="s">
        <v>3122</v>
      </c>
      <c r="B382" s="446" t="s">
        <v>119</v>
      </c>
      <c r="C382" s="447" t="s">
        <v>3123</v>
      </c>
      <c r="D382" s="446" t="s">
        <v>107</v>
      </c>
      <c r="E382" s="448">
        <v>39.297960000000003</v>
      </c>
      <c r="F382" s="448">
        <v>7.45</v>
      </c>
      <c r="G382" s="445">
        <f>E382*F382</f>
        <v>292.76980200000003</v>
      </c>
      <c r="H382" s="496">
        <f t="shared" si="15"/>
        <v>9.8590038299944081E-3</v>
      </c>
      <c r="I382" s="496">
        <f t="shared" si="17"/>
        <v>99.231557697174267</v>
      </c>
      <c r="J382" s="443" t="str">
        <f t="shared" si="16"/>
        <v>C</v>
      </c>
    </row>
    <row r="383" spans="1:10" s="220" customFormat="1" ht="14.25">
      <c r="A383" s="446" t="s">
        <v>1492</v>
      </c>
      <c r="B383" s="446" t="s">
        <v>119</v>
      </c>
      <c r="C383" s="447" t="s">
        <v>1493</v>
      </c>
      <c r="D383" s="446" t="s">
        <v>173</v>
      </c>
      <c r="E383" s="448">
        <v>45.965096000000003</v>
      </c>
      <c r="F383" s="448">
        <v>6.21</v>
      </c>
      <c r="G383" s="445">
        <f>E383*F383</f>
        <v>285.44324616</v>
      </c>
      <c r="H383" s="496">
        <f t="shared" si="15"/>
        <v>9.6122825438720513E-3</v>
      </c>
      <c r="I383" s="496">
        <f t="shared" si="17"/>
        <v>99.241169979718137</v>
      </c>
      <c r="J383" s="443" t="str">
        <f t="shared" si="16"/>
        <v>C</v>
      </c>
    </row>
    <row r="384" spans="1:10" s="220" customFormat="1" ht="14.25">
      <c r="A384" s="446" t="s">
        <v>3610</v>
      </c>
      <c r="B384" s="446" t="s">
        <v>158</v>
      </c>
      <c r="C384" s="447" t="s">
        <v>3616</v>
      </c>
      <c r="D384" s="446" t="s">
        <v>144</v>
      </c>
      <c r="E384" s="448">
        <v>18</v>
      </c>
      <c r="F384" s="448">
        <v>15.77</v>
      </c>
      <c r="G384" s="445">
        <f>E384*F384</f>
        <v>283.86</v>
      </c>
      <c r="H384" s="496">
        <f t="shared" si="15"/>
        <v>9.5589668335473096E-3</v>
      </c>
      <c r="I384" s="496">
        <f t="shared" si="17"/>
        <v>99.250728946551689</v>
      </c>
      <c r="J384" s="443" t="str">
        <f t="shared" si="16"/>
        <v>C</v>
      </c>
    </row>
    <row r="385" spans="1:10" s="220" customFormat="1" ht="14.25">
      <c r="A385" s="446" t="s">
        <v>1252</v>
      </c>
      <c r="B385" s="446" t="s">
        <v>119</v>
      </c>
      <c r="C385" s="447" t="s">
        <v>1253</v>
      </c>
      <c r="D385" s="446" t="s">
        <v>144</v>
      </c>
      <c r="E385" s="448">
        <v>805</v>
      </c>
      <c r="F385" s="448">
        <v>0.35</v>
      </c>
      <c r="G385" s="445">
        <f>E385*F385</f>
        <v>281.75</v>
      </c>
      <c r="H385" s="496">
        <f t="shared" si="15"/>
        <v>9.487912722299565E-3</v>
      </c>
      <c r="I385" s="496">
        <f t="shared" si="17"/>
        <v>99.260216859273996</v>
      </c>
      <c r="J385" s="443" t="str">
        <f t="shared" si="16"/>
        <v>C</v>
      </c>
    </row>
    <row r="386" spans="1:10" s="220" customFormat="1" ht="14.25">
      <c r="A386" s="446" t="s">
        <v>1613</v>
      </c>
      <c r="B386" s="446" t="s">
        <v>119</v>
      </c>
      <c r="C386" s="447" t="s">
        <v>1614</v>
      </c>
      <c r="D386" s="446" t="s">
        <v>144</v>
      </c>
      <c r="E386" s="448">
        <v>49</v>
      </c>
      <c r="F386" s="448">
        <v>5.75</v>
      </c>
      <c r="G386" s="445">
        <f>E386*F386</f>
        <v>281.75</v>
      </c>
      <c r="H386" s="496">
        <f t="shared" si="15"/>
        <v>9.487912722299565E-3</v>
      </c>
      <c r="I386" s="496">
        <f t="shared" si="17"/>
        <v>99.269704771996302</v>
      </c>
      <c r="J386" s="443" t="str">
        <f t="shared" si="16"/>
        <v>C</v>
      </c>
    </row>
    <row r="387" spans="1:10" s="220" customFormat="1" ht="28.5">
      <c r="A387" s="446" t="s">
        <v>2456</v>
      </c>
      <c r="B387" s="446" t="s">
        <v>119</v>
      </c>
      <c r="C387" s="447" t="s">
        <v>2457</v>
      </c>
      <c r="D387" s="446" t="s">
        <v>144</v>
      </c>
      <c r="E387" s="448">
        <v>5</v>
      </c>
      <c r="F387" s="448">
        <v>55.85</v>
      </c>
      <c r="G387" s="445">
        <f>E387*F387</f>
        <v>279.25</v>
      </c>
      <c r="H387" s="496">
        <f t="shared" si="15"/>
        <v>9.4037253866979722E-3</v>
      </c>
      <c r="I387" s="496">
        <f t="shared" si="17"/>
        <v>99.279108497383007</v>
      </c>
      <c r="J387" s="443" t="str">
        <f t="shared" si="16"/>
        <v>C</v>
      </c>
    </row>
    <row r="388" spans="1:10" s="220" customFormat="1" ht="14.25">
      <c r="A388" s="446" t="s">
        <v>3761</v>
      </c>
      <c r="B388" s="446" t="s">
        <v>3396</v>
      </c>
      <c r="C388" s="447" t="s">
        <v>3762</v>
      </c>
      <c r="D388" s="446" t="s">
        <v>167</v>
      </c>
      <c r="E388" s="448">
        <v>1.7214400000000001</v>
      </c>
      <c r="F388" s="448">
        <v>158.57</v>
      </c>
      <c r="G388" s="445">
        <f>E388*F388</f>
        <v>272.96874079999998</v>
      </c>
      <c r="H388" s="496">
        <f t="shared" si="15"/>
        <v>9.1922043961895732E-3</v>
      </c>
      <c r="I388" s="496">
        <f t="shared" si="17"/>
        <v>99.288300701779193</v>
      </c>
      <c r="J388" s="443" t="str">
        <f t="shared" si="16"/>
        <v>C</v>
      </c>
    </row>
    <row r="389" spans="1:10" s="220" customFormat="1" ht="28.5">
      <c r="A389" s="446" t="s">
        <v>3987</v>
      </c>
      <c r="B389" s="446" t="s">
        <v>3006</v>
      </c>
      <c r="C389" s="447" t="s">
        <v>3993</v>
      </c>
      <c r="D389" s="446" t="s">
        <v>139</v>
      </c>
      <c r="E389" s="448">
        <v>43.26</v>
      </c>
      <c r="F389" s="448">
        <v>6.3</v>
      </c>
      <c r="G389" s="445">
        <f>E389*F389</f>
        <v>272.53799999999995</v>
      </c>
      <c r="H389" s="496">
        <f t="shared" si="15"/>
        <v>9.1776992280748117E-3</v>
      </c>
      <c r="I389" s="496">
        <f t="shared" si="17"/>
        <v>99.297478401007268</v>
      </c>
      <c r="J389" s="443" t="str">
        <f t="shared" si="16"/>
        <v>C</v>
      </c>
    </row>
    <row r="390" spans="1:10" s="220" customFormat="1" ht="14.25">
      <c r="A390" s="446" t="s">
        <v>3854</v>
      </c>
      <c r="B390" s="446" t="s">
        <v>158</v>
      </c>
      <c r="C390" s="447" t="s">
        <v>3855</v>
      </c>
      <c r="D390" s="446" t="s">
        <v>144</v>
      </c>
      <c r="E390" s="448">
        <v>36</v>
      </c>
      <c r="F390" s="448">
        <v>7.34</v>
      </c>
      <c r="G390" s="445">
        <f>E390*F390</f>
        <v>264.24</v>
      </c>
      <c r="H390" s="496">
        <f t="shared" si="15"/>
        <v>8.8982646237460057E-3</v>
      </c>
      <c r="I390" s="496">
        <f t="shared" si="17"/>
        <v>99.306376665631021</v>
      </c>
      <c r="J390" s="443" t="str">
        <f t="shared" si="16"/>
        <v>C</v>
      </c>
    </row>
    <row r="391" spans="1:10" s="220" customFormat="1" ht="14.25">
      <c r="A391" s="446" t="s">
        <v>1871</v>
      </c>
      <c r="B391" s="446" t="s">
        <v>3832</v>
      </c>
      <c r="C391" s="447" t="s">
        <v>1840</v>
      </c>
      <c r="D391" s="446" t="s">
        <v>144</v>
      </c>
      <c r="E391" s="448">
        <v>1</v>
      </c>
      <c r="F391" s="448">
        <v>262.55</v>
      </c>
      <c r="G391" s="445">
        <f>E391*F391</f>
        <v>262.55</v>
      </c>
      <c r="H391" s="496">
        <f t="shared" si="15"/>
        <v>8.8413539848793288E-3</v>
      </c>
      <c r="I391" s="496">
        <f t="shared" si="17"/>
        <v>99.315218019615898</v>
      </c>
      <c r="J391" s="443" t="str">
        <f t="shared" si="16"/>
        <v>C</v>
      </c>
    </row>
    <row r="392" spans="1:10" s="220" customFormat="1" ht="14.25">
      <c r="A392" s="446" t="s">
        <v>622</v>
      </c>
      <c r="B392" s="446" t="s">
        <v>158</v>
      </c>
      <c r="C392" s="447" t="s">
        <v>3143</v>
      </c>
      <c r="D392" s="446" t="s">
        <v>144</v>
      </c>
      <c r="E392" s="448">
        <v>1</v>
      </c>
      <c r="F392" s="448">
        <v>261.72000000000003</v>
      </c>
      <c r="G392" s="445">
        <f>E392*F392</f>
        <v>261.72000000000003</v>
      </c>
      <c r="H392" s="496">
        <f t="shared" si="15"/>
        <v>8.813403789459601E-3</v>
      </c>
      <c r="I392" s="496">
        <f t="shared" si="17"/>
        <v>99.324031423405359</v>
      </c>
      <c r="J392" s="443" t="str">
        <f t="shared" si="16"/>
        <v>C</v>
      </c>
    </row>
    <row r="393" spans="1:10" s="220" customFormat="1" ht="14.25">
      <c r="A393" s="446" t="s">
        <v>4117</v>
      </c>
      <c r="B393" s="446" t="s">
        <v>158</v>
      </c>
      <c r="C393" s="447" t="s">
        <v>4132</v>
      </c>
      <c r="D393" s="446" t="s">
        <v>107</v>
      </c>
      <c r="E393" s="448">
        <v>5.5427999999999997</v>
      </c>
      <c r="F393" s="448">
        <v>45.69</v>
      </c>
      <c r="G393" s="445">
        <f>E393*F393</f>
        <v>253.25053199999996</v>
      </c>
      <c r="H393" s="496">
        <f t="shared" ref="H393:H456" si="18">(G393*100)/SUM($G$8:$G$628)</f>
        <v>8.5281950115064162E-3</v>
      </c>
      <c r="I393" s="496">
        <f t="shared" si="17"/>
        <v>99.332559618416866</v>
      </c>
      <c r="J393" s="443" t="str">
        <f t="shared" ref="J393:J456" si="19">IF(I393&lt;80,"A",IF(I393&lt;95,"B","C"))</f>
        <v>C</v>
      </c>
    </row>
    <row r="394" spans="1:10" s="220" customFormat="1" ht="28.5">
      <c r="A394" s="446" t="s">
        <v>2465</v>
      </c>
      <c r="B394" s="446" t="s">
        <v>119</v>
      </c>
      <c r="C394" s="447" t="s">
        <v>2466</v>
      </c>
      <c r="D394" s="446" t="s">
        <v>144</v>
      </c>
      <c r="E394" s="448">
        <v>45</v>
      </c>
      <c r="F394" s="448">
        <v>5.62</v>
      </c>
      <c r="G394" s="445">
        <f>E394*F394</f>
        <v>252.9</v>
      </c>
      <c r="H394" s="496">
        <f t="shared" si="18"/>
        <v>8.5163908694571785E-3</v>
      </c>
      <c r="I394" s="496">
        <f t="shared" ref="I394:I457" si="20">H394+I393</f>
        <v>99.341076009286326</v>
      </c>
      <c r="J394" s="443" t="str">
        <f t="shared" si="19"/>
        <v>C</v>
      </c>
    </row>
    <row r="395" spans="1:10" s="220" customFormat="1" ht="14.25">
      <c r="A395" s="446" t="s">
        <v>2333</v>
      </c>
      <c r="B395" s="446" t="s">
        <v>119</v>
      </c>
      <c r="C395" s="447" t="s">
        <v>2334</v>
      </c>
      <c r="D395" s="446" t="s">
        <v>144</v>
      </c>
      <c r="E395" s="448">
        <v>5</v>
      </c>
      <c r="F395" s="448">
        <v>49.64</v>
      </c>
      <c r="G395" s="445">
        <f>E395*F395</f>
        <v>248.2</v>
      </c>
      <c r="H395" s="496">
        <f t="shared" si="18"/>
        <v>8.3581186785261826E-3</v>
      </c>
      <c r="I395" s="496">
        <f t="shared" si="20"/>
        <v>99.349434127964855</v>
      </c>
      <c r="J395" s="443" t="str">
        <f t="shared" si="19"/>
        <v>C</v>
      </c>
    </row>
    <row r="396" spans="1:10" s="220" customFormat="1" ht="14.25">
      <c r="A396" s="446" t="s">
        <v>1687</v>
      </c>
      <c r="B396" s="446" t="s">
        <v>119</v>
      </c>
      <c r="C396" s="447" t="s">
        <v>1688</v>
      </c>
      <c r="D396" s="446" t="s">
        <v>144</v>
      </c>
      <c r="E396" s="448">
        <v>6</v>
      </c>
      <c r="F396" s="448">
        <v>40.799999999999997</v>
      </c>
      <c r="G396" s="445">
        <f>E396*F396</f>
        <v>244.79999999999998</v>
      </c>
      <c r="H396" s="496">
        <f t="shared" si="18"/>
        <v>8.2436239021080153E-3</v>
      </c>
      <c r="I396" s="496">
        <f t="shared" si="20"/>
        <v>99.357677751866959</v>
      </c>
      <c r="J396" s="443" t="str">
        <f t="shared" si="19"/>
        <v>C</v>
      </c>
    </row>
    <row r="397" spans="1:10" s="220" customFormat="1" ht="28.5">
      <c r="A397" s="446" t="s">
        <v>3001</v>
      </c>
      <c r="B397" s="446" t="s">
        <v>3006</v>
      </c>
      <c r="C397" s="447" t="s">
        <v>3155</v>
      </c>
      <c r="D397" s="446" t="s">
        <v>107</v>
      </c>
      <c r="E397" s="448">
        <v>8.6999999999999993</v>
      </c>
      <c r="F397" s="448">
        <v>27.85</v>
      </c>
      <c r="G397" s="445">
        <f>E397*F397</f>
        <v>242.29499999999999</v>
      </c>
      <c r="H397" s="496">
        <f t="shared" si="18"/>
        <v>8.1592681918352186E-3</v>
      </c>
      <c r="I397" s="496">
        <f t="shared" si="20"/>
        <v>99.365837020058791</v>
      </c>
      <c r="J397" s="443" t="str">
        <f t="shared" si="19"/>
        <v>C</v>
      </c>
    </row>
    <row r="398" spans="1:10" s="220" customFormat="1" ht="14.25">
      <c r="A398" s="446" t="s">
        <v>1579</v>
      </c>
      <c r="B398" s="446" t="s">
        <v>119</v>
      </c>
      <c r="C398" s="447" t="s">
        <v>1580</v>
      </c>
      <c r="D398" s="446" t="s">
        <v>144</v>
      </c>
      <c r="E398" s="448">
        <v>4</v>
      </c>
      <c r="F398" s="448">
        <v>59.54</v>
      </c>
      <c r="G398" s="445">
        <f>E398*F398</f>
        <v>238.16</v>
      </c>
      <c r="H398" s="496">
        <f t="shared" si="18"/>
        <v>8.0200223387501841E-3</v>
      </c>
      <c r="I398" s="496">
        <f t="shared" si="20"/>
        <v>99.373857042397546</v>
      </c>
      <c r="J398" s="443" t="str">
        <f t="shared" si="19"/>
        <v>C</v>
      </c>
    </row>
    <row r="399" spans="1:10" s="220" customFormat="1" ht="14.25">
      <c r="A399" s="446" t="s">
        <v>1139</v>
      </c>
      <c r="B399" s="446" t="s">
        <v>158</v>
      </c>
      <c r="C399" s="447" t="s">
        <v>3146</v>
      </c>
      <c r="D399" s="446" t="s">
        <v>144</v>
      </c>
      <c r="E399" s="448">
        <v>5</v>
      </c>
      <c r="F399" s="448">
        <v>47.18</v>
      </c>
      <c r="G399" s="445">
        <f>E399*F399</f>
        <v>235.9</v>
      </c>
      <c r="H399" s="496">
        <f t="shared" si="18"/>
        <v>7.9439169873663437E-3</v>
      </c>
      <c r="I399" s="496">
        <f t="shared" si="20"/>
        <v>99.381800959384918</v>
      </c>
      <c r="J399" s="443" t="str">
        <f t="shared" si="19"/>
        <v>C</v>
      </c>
    </row>
    <row r="400" spans="1:10" s="220" customFormat="1" ht="28.5">
      <c r="A400" s="446" t="s">
        <v>1484</v>
      </c>
      <c r="B400" s="446" t="s">
        <v>119</v>
      </c>
      <c r="C400" s="447" t="s">
        <v>1485</v>
      </c>
      <c r="D400" s="446" t="s">
        <v>200</v>
      </c>
      <c r="E400" s="448">
        <v>77.204875000000001</v>
      </c>
      <c r="F400" s="448">
        <v>3.03</v>
      </c>
      <c r="G400" s="445">
        <f>E400*F400</f>
        <v>233.93077124999999</v>
      </c>
      <c r="H400" s="496">
        <f t="shared" si="18"/>
        <v>7.8776033387053211E-3</v>
      </c>
      <c r="I400" s="496">
        <f t="shared" si="20"/>
        <v>99.389678562723617</v>
      </c>
      <c r="J400" s="443" t="str">
        <f t="shared" si="19"/>
        <v>C</v>
      </c>
    </row>
    <row r="401" spans="1:10" s="220" customFormat="1" ht="14.25">
      <c r="A401" s="446" t="s">
        <v>2733</v>
      </c>
      <c r="B401" s="446" t="s">
        <v>119</v>
      </c>
      <c r="C401" s="447" t="s">
        <v>2734</v>
      </c>
      <c r="D401" s="446" t="s">
        <v>144</v>
      </c>
      <c r="E401" s="448">
        <v>14</v>
      </c>
      <c r="F401" s="448">
        <v>16.600000000000001</v>
      </c>
      <c r="G401" s="445">
        <f>E401*F401</f>
        <v>232.40000000000003</v>
      </c>
      <c r="H401" s="496">
        <f t="shared" si="18"/>
        <v>7.8260547175241137E-3</v>
      </c>
      <c r="I401" s="496">
        <f t="shared" si="20"/>
        <v>99.397504617441143</v>
      </c>
      <c r="J401" s="443" t="str">
        <f t="shared" si="19"/>
        <v>C</v>
      </c>
    </row>
    <row r="402" spans="1:10" s="220" customFormat="1" ht="14.25">
      <c r="A402" s="446" t="s">
        <v>4127</v>
      </c>
      <c r="B402" s="446" t="s">
        <v>158</v>
      </c>
      <c r="C402" s="447" t="s">
        <v>4133</v>
      </c>
      <c r="D402" s="446" t="s">
        <v>144</v>
      </c>
      <c r="E402" s="448">
        <v>23.72</v>
      </c>
      <c r="F402" s="448">
        <v>9.75</v>
      </c>
      <c r="G402" s="445">
        <f>E402*F402</f>
        <v>231.26999999999998</v>
      </c>
      <c r="H402" s="496">
        <f t="shared" si="18"/>
        <v>7.7880020418321927E-3</v>
      </c>
      <c r="I402" s="496">
        <f t="shared" si="20"/>
        <v>99.405292619482978</v>
      </c>
      <c r="J402" s="443" t="str">
        <f t="shared" si="19"/>
        <v>C</v>
      </c>
    </row>
    <row r="403" spans="1:10" s="220" customFormat="1" ht="14.25">
      <c r="A403" s="446" t="s">
        <v>1395</v>
      </c>
      <c r="B403" s="446" t="s">
        <v>119</v>
      </c>
      <c r="C403" s="447" t="s">
        <v>1396</v>
      </c>
      <c r="D403" s="446" t="s">
        <v>200</v>
      </c>
      <c r="E403" s="448">
        <v>9.9789999999999992</v>
      </c>
      <c r="F403" s="448">
        <v>23.1</v>
      </c>
      <c r="G403" s="445">
        <f>E403*F403</f>
        <v>230.51489999999998</v>
      </c>
      <c r="H403" s="496">
        <f t="shared" si="18"/>
        <v>7.7625740989870871E-3</v>
      </c>
      <c r="I403" s="496">
        <f t="shared" si="20"/>
        <v>99.413055193581968</v>
      </c>
      <c r="J403" s="443" t="str">
        <f t="shared" si="19"/>
        <v>C</v>
      </c>
    </row>
    <row r="404" spans="1:10" s="220" customFormat="1" ht="28.5">
      <c r="A404" s="446" t="s">
        <v>1246</v>
      </c>
      <c r="B404" s="446" t="s">
        <v>119</v>
      </c>
      <c r="C404" s="447" t="s">
        <v>1247</v>
      </c>
      <c r="D404" s="446" t="s">
        <v>144</v>
      </c>
      <c r="E404" s="448">
        <v>1</v>
      </c>
      <c r="F404" s="448">
        <v>226.96</v>
      </c>
      <c r="G404" s="445">
        <f>E404*F404</f>
        <v>226.96</v>
      </c>
      <c r="H404" s="496">
        <f t="shared" si="18"/>
        <v>7.6428630752550459E-3</v>
      </c>
      <c r="I404" s="496">
        <f t="shared" si="20"/>
        <v>99.42069805665723</v>
      </c>
      <c r="J404" s="443" t="str">
        <f t="shared" si="19"/>
        <v>C</v>
      </c>
    </row>
    <row r="405" spans="1:10" s="220" customFormat="1" ht="28.5">
      <c r="A405" s="446" t="s">
        <v>3657</v>
      </c>
      <c r="B405" s="446" t="s">
        <v>119</v>
      </c>
      <c r="C405" s="447" t="s">
        <v>3666</v>
      </c>
      <c r="D405" s="446" t="s">
        <v>315</v>
      </c>
      <c r="E405" s="448">
        <v>113.526</v>
      </c>
      <c r="F405" s="448">
        <v>1.99</v>
      </c>
      <c r="G405" s="445">
        <f>E405*F405</f>
        <v>225.91674</v>
      </c>
      <c r="H405" s="496">
        <f t="shared" si="18"/>
        <v>7.6077313633591583E-3</v>
      </c>
      <c r="I405" s="496">
        <f t="shared" si="20"/>
        <v>99.428305788020594</v>
      </c>
      <c r="J405" s="443" t="str">
        <f t="shared" si="19"/>
        <v>C</v>
      </c>
    </row>
    <row r="406" spans="1:10" s="220" customFormat="1" ht="14.25">
      <c r="A406" s="446" t="s">
        <v>2448</v>
      </c>
      <c r="B406" s="446" t="s">
        <v>119</v>
      </c>
      <c r="C406" s="447" t="s">
        <v>2449</v>
      </c>
      <c r="D406" s="446" t="s">
        <v>144</v>
      </c>
      <c r="E406" s="448">
        <v>8</v>
      </c>
      <c r="F406" s="448">
        <v>28.16</v>
      </c>
      <c r="G406" s="445">
        <f>E406*F406</f>
        <v>225.28</v>
      </c>
      <c r="H406" s="496">
        <f t="shared" si="18"/>
        <v>7.5862891857307749E-3</v>
      </c>
      <c r="I406" s="496">
        <f t="shared" si="20"/>
        <v>99.435892077206319</v>
      </c>
      <c r="J406" s="443" t="str">
        <f t="shared" si="19"/>
        <v>C</v>
      </c>
    </row>
    <row r="407" spans="1:10" s="220" customFormat="1" ht="14.25">
      <c r="A407" s="446" t="s">
        <v>3326</v>
      </c>
      <c r="B407" s="446" t="s">
        <v>119</v>
      </c>
      <c r="C407" s="447" t="s">
        <v>3327</v>
      </c>
      <c r="D407" s="446" t="s">
        <v>144</v>
      </c>
      <c r="E407" s="448">
        <v>12</v>
      </c>
      <c r="F407" s="448">
        <v>18.38</v>
      </c>
      <c r="G407" s="445">
        <f>E407*F407</f>
        <v>220.56</v>
      </c>
      <c r="H407" s="496">
        <f t="shared" si="18"/>
        <v>7.4273434961149671E-3</v>
      </c>
      <c r="I407" s="496">
        <f t="shared" si="20"/>
        <v>99.443319420702437</v>
      </c>
      <c r="J407" s="443" t="str">
        <f t="shared" si="19"/>
        <v>C</v>
      </c>
    </row>
    <row r="408" spans="1:10" s="220" customFormat="1" ht="28.5">
      <c r="A408" s="446" t="s">
        <v>3147</v>
      </c>
      <c r="B408" s="446" t="s">
        <v>149</v>
      </c>
      <c r="C408" s="447" t="s">
        <v>3148</v>
      </c>
      <c r="D408" s="446" t="s">
        <v>173</v>
      </c>
      <c r="E408" s="448">
        <v>6.51</v>
      </c>
      <c r="F408" s="448">
        <v>33.770000000000003</v>
      </c>
      <c r="G408" s="445">
        <f>E408*F408</f>
        <v>219.84270000000001</v>
      </c>
      <c r="H408" s="496">
        <f t="shared" si="18"/>
        <v>7.4031884657841584E-3</v>
      </c>
      <c r="I408" s="496">
        <f t="shared" si="20"/>
        <v>99.450722609168224</v>
      </c>
      <c r="J408" s="443" t="str">
        <f t="shared" si="19"/>
        <v>C</v>
      </c>
    </row>
    <row r="409" spans="1:10" s="220" customFormat="1" ht="14.25">
      <c r="A409" s="446" t="s">
        <v>1007</v>
      </c>
      <c r="B409" s="446" t="s">
        <v>119</v>
      </c>
      <c r="C409" s="447" t="s">
        <v>1008</v>
      </c>
      <c r="D409" s="446" t="s">
        <v>144</v>
      </c>
      <c r="E409" s="448">
        <v>170.40354300000001</v>
      </c>
      <c r="F409" s="448">
        <v>1.29</v>
      </c>
      <c r="G409" s="445">
        <f>E409*F409</f>
        <v>219.82057047000004</v>
      </c>
      <c r="H409" s="496">
        <f t="shared" si="18"/>
        <v>7.4024432553166323E-3</v>
      </c>
      <c r="I409" s="496">
        <f t="shared" si="20"/>
        <v>99.45812505242354</v>
      </c>
      <c r="J409" s="443" t="str">
        <f t="shared" si="19"/>
        <v>C</v>
      </c>
    </row>
    <row r="410" spans="1:10" s="220" customFormat="1" ht="14.25">
      <c r="A410" s="446" t="s">
        <v>3635</v>
      </c>
      <c r="B410" s="446" t="s">
        <v>119</v>
      </c>
      <c r="C410" s="447" t="s">
        <v>3634</v>
      </c>
      <c r="D410" s="446" t="s">
        <v>173</v>
      </c>
      <c r="E410" s="448">
        <v>2.4540000000000002</v>
      </c>
      <c r="F410" s="448">
        <v>89.5</v>
      </c>
      <c r="G410" s="445">
        <f>E410*F410</f>
        <v>219.63300000000001</v>
      </c>
      <c r="H410" s="496">
        <f t="shared" si="18"/>
        <v>7.3961268320738962E-3</v>
      </c>
      <c r="I410" s="496">
        <f t="shared" si="20"/>
        <v>99.465521179255617</v>
      </c>
      <c r="J410" s="443" t="str">
        <f t="shared" si="19"/>
        <v>C</v>
      </c>
    </row>
    <row r="411" spans="1:10" s="220" customFormat="1" ht="14.25">
      <c r="A411" s="446" t="s">
        <v>2450</v>
      </c>
      <c r="B411" s="446" t="s">
        <v>119</v>
      </c>
      <c r="C411" s="447" t="s">
        <v>2451</v>
      </c>
      <c r="D411" s="446" t="s">
        <v>144</v>
      </c>
      <c r="E411" s="448">
        <v>11</v>
      </c>
      <c r="F411" s="448">
        <v>19.899999999999999</v>
      </c>
      <c r="G411" s="445">
        <f>E411*F411</f>
        <v>218.89999999999998</v>
      </c>
      <c r="H411" s="496">
        <f t="shared" si="18"/>
        <v>7.371443105275508E-3</v>
      </c>
      <c r="I411" s="496">
        <f t="shared" si="20"/>
        <v>99.472892622360888</v>
      </c>
      <c r="J411" s="443" t="str">
        <f t="shared" si="19"/>
        <v>C</v>
      </c>
    </row>
    <row r="412" spans="1:10" s="220" customFormat="1" ht="14.25">
      <c r="A412" s="446" t="s">
        <v>1653</v>
      </c>
      <c r="B412" s="446" t="s">
        <v>119</v>
      </c>
      <c r="C412" s="447" t="s">
        <v>1654</v>
      </c>
      <c r="D412" s="446" t="s">
        <v>144</v>
      </c>
      <c r="E412" s="448">
        <v>51</v>
      </c>
      <c r="F412" s="448">
        <v>4.03</v>
      </c>
      <c r="G412" s="445">
        <f>E412*F412</f>
        <v>205.53</v>
      </c>
      <c r="H412" s="496">
        <f t="shared" si="18"/>
        <v>6.9212092344781879E-3</v>
      </c>
      <c r="I412" s="496">
        <f t="shared" si="20"/>
        <v>99.479813831595365</v>
      </c>
      <c r="J412" s="443" t="str">
        <f t="shared" si="19"/>
        <v>C</v>
      </c>
    </row>
    <row r="413" spans="1:10" s="220" customFormat="1" ht="14.25">
      <c r="A413" s="446" t="s">
        <v>3778</v>
      </c>
      <c r="B413" s="446" t="s">
        <v>3396</v>
      </c>
      <c r="C413" s="447" t="s">
        <v>3779</v>
      </c>
      <c r="D413" s="446" t="s">
        <v>144</v>
      </c>
      <c r="E413" s="448">
        <v>66.291679999999999</v>
      </c>
      <c r="F413" s="448">
        <v>3.09</v>
      </c>
      <c r="G413" s="445">
        <f>E413*F413</f>
        <v>204.8412912</v>
      </c>
      <c r="H413" s="496">
        <f t="shared" si="18"/>
        <v>6.8980170109272402E-3</v>
      </c>
      <c r="I413" s="496">
        <f t="shared" si="20"/>
        <v>99.486711848606291</v>
      </c>
      <c r="J413" s="443" t="str">
        <f t="shared" si="19"/>
        <v>C</v>
      </c>
    </row>
    <row r="414" spans="1:10" s="220" customFormat="1" ht="14.25">
      <c r="A414" s="446" t="s">
        <v>2702</v>
      </c>
      <c r="B414" s="446" t="s">
        <v>158</v>
      </c>
      <c r="C414" s="447" t="s">
        <v>3149</v>
      </c>
      <c r="D414" s="446" t="s">
        <v>144</v>
      </c>
      <c r="E414" s="448">
        <v>1</v>
      </c>
      <c r="F414" s="448">
        <v>198.75</v>
      </c>
      <c r="G414" s="445">
        <f>E414*F414</f>
        <v>198.75</v>
      </c>
      <c r="H414" s="496">
        <f t="shared" si="18"/>
        <v>6.6928931803266669E-3</v>
      </c>
      <c r="I414" s="496">
        <f t="shared" si="20"/>
        <v>99.49340474178662</v>
      </c>
      <c r="J414" s="443" t="str">
        <f t="shared" si="19"/>
        <v>C</v>
      </c>
    </row>
    <row r="415" spans="1:10" s="220" customFormat="1" ht="14.25">
      <c r="A415" s="446" t="s">
        <v>1607</v>
      </c>
      <c r="B415" s="446" t="s">
        <v>119</v>
      </c>
      <c r="C415" s="447" t="s">
        <v>1608</v>
      </c>
      <c r="D415" s="446" t="s">
        <v>144</v>
      </c>
      <c r="E415" s="448">
        <v>19</v>
      </c>
      <c r="F415" s="448">
        <v>10.36</v>
      </c>
      <c r="G415" s="445">
        <f>E415*F415</f>
        <v>196.83999999999997</v>
      </c>
      <c r="H415" s="496">
        <f t="shared" si="18"/>
        <v>6.6285740559270485E-3</v>
      </c>
      <c r="I415" s="496">
        <f t="shared" si="20"/>
        <v>99.500033315842543</v>
      </c>
      <c r="J415" s="443" t="str">
        <f t="shared" si="19"/>
        <v>C</v>
      </c>
    </row>
    <row r="416" spans="1:10" s="220" customFormat="1" ht="28.5">
      <c r="A416" s="446" t="s">
        <v>1551</v>
      </c>
      <c r="B416" s="446" t="s">
        <v>119</v>
      </c>
      <c r="C416" s="447" t="s">
        <v>1552</v>
      </c>
      <c r="D416" s="446" t="s">
        <v>144</v>
      </c>
      <c r="E416" s="448">
        <v>375.2</v>
      </c>
      <c r="F416" s="448">
        <v>0.52</v>
      </c>
      <c r="G416" s="445">
        <f>E416*F416</f>
        <v>195.10400000000001</v>
      </c>
      <c r="H416" s="496">
        <f t="shared" si="18"/>
        <v>6.5701143700853037E-3</v>
      </c>
      <c r="I416" s="496">
        <f t="shared" si="20"/>
        <v>99.506603430212635</v>
      </c>
      <c r="J416" s="443" t="str">
        <f t="shared" si="19"/>
        <v>C</v>
      </c>
    </row>
    <row r="417" spans="1:10" s="220" customFormat="1" ht="14.25">
      <c r="A417" s="446" t="s">
        <v>3144</v>
      </c>
      <c r="B417" s="446" t="s">
        <v>158</v>
      </c>
      <c r="C417" s="447" t="s">
        <v>3145</v>
      </c>
      <c r="D417" s="446" t="s">
        <v>144</v>
      </c>
      <c r="E417" s="448">
        <v>23.659649999999999</v>
      </c>
      <c r="F417" s="448">
        <v>8.1</v>
      </c>
      <c r="G417" s="445">
        <f>E417*F417</f>
        <v>191.64316499999998</v>
      </c>
      <c r="H417" s="496">
        <f t="shared" si="18"/>
        <v>6.4535709790426062E-3</v>
      </c>
      <c r="I417" s="496">
        <f t="shared" si="20"/>
        <v>99.513057001191683</v>
      </c>
      <c r="J417" s="443" t="str">
        <f t="shared" si="19"/>
        <v>C</v>
      </c>
    </row>
    <row r="418" spans="1:10" s="220" customFormat="1" ht="14.25">
      <c r="A418" s="446" t="s">
        <v>2890</v>
      </c>
      <c r="B418" s="446" t="s">
        <v>3832</v>
      </c>
      <c r="C418" s="447" t="s">
        <v>3151</v>
      </c>
      <c r="D418" s="446" t="s">
        <v>144</v>
      </c>
      <c r="E418" s="448">
        <v>1</v>
      </c>
      <c r="F418" s="448">
        <v>186.9</v>
      </c>
      <c r="G418" s="445">
        <f>E418*F418</f>
        <v>186.9</v>
      </c>
      <c r="H418" s="496">
        <f t="shared" si="18"/>
        <v>6.2938452095751152E-3</v>
      </c>
      <c r="I418" s="496">
        <f t="shared" si="20"/>
        <v>99.519350846401252</v>
      </c>
      <c r="J418" s="443" t="str">
        <f t="shared" si="19"/>
        <v>C</v>
      </c>
    </row>
    <row r="419" spans="1:10" s="220" customFormat="1" ht="14.25">
      <c r="A419" s="446" t="s">
        <v>1647</v>
      </c>
      <c r="B419" s="446" t="s">
        <v>119</v>
      </c>
      <c r="C419" s="447" t="s">
        <v>1648</v>
      </c>
      <c r="D419" s="446" t="s">
        <v>144</v>
      </c>
      <c r="E419" s="448">
        <v>57</v>
      </c>
      <c r="F419" s="448">
        <v>3.25</v>
      </c>
      <c r="G419" s="445">
        <f>E419*F419</f>
        <v>185.25</v>
      </c>
      <c r="H419" s="496">
        <f t="shared" si="18"/>
        <v>6.2382815680780638E-3</v>
      </c>
      <c r="I419" s="496">
        <f t="shared" si="20"/>
        <v>99.525589127969326</v>
      </c>
      <c r="J419" s="443" t="str">
        <f t="shared" si="19"/>
        <v>C</v>
      </c>
    </row>
    <row r="420" spans="1:10" s="220" customFormat="1" ht="28.5">
      <c r="A420" s="446" t="s">
        <v>1034</v>
      </c>
      <c r="B420" s="446" t="s">
        <v>119</v>
      </c>
      <c r="C420" s="447" t="s">
        <v>1035</v>
      </c>
      <c r="D420" s="446" t="s">
        <v>144</v>
      </c>
      <c r="E420" s="448">
        <v>3</v>
      </c>
      <c r="F420" s="448">
        <v>61.39</v>
      </c>
      <c r="G420" s="445">
        <f>E420*F420</f>
        <v>184.17000000000002</v>
      </c>
      <c r="H420" s="496">
        <f t="shared" si="18"/>
        <v>6.201912639098175E-3</v>
      </c>
      <c r="I420" s="496">
        <f t="shared" si="20"/>
        <v>99.531791040608425</v>
      </c>
      <c r="J420" s="443" t="str">
        <f t="shared" si="19"/>
        <v>C</v>
      </c>
    </row>
    <row r="421" spans="1:10" s="220" customFormat="1" ht="28.5">
      <c r="A421" s="446" t="s">
        <v>2219</v>
      </c>
      <c r="B421" s="446" t="s">
        <v>3006</v>
      </c>
      <c r="C421" s="447" t="s">
        <v>3150</v>
      </c>
      <c r="D421" s="446" t="s">
        <v>144</v>
      </c>
      <c r="E421" s="448">
        <v>6</v>
      </c>
      <c r="F421" s="448">
        <v>30.5</v>
      </c>
      <c r="G421" s="445">
        <f>E421*F421</f>
        <v>183</v>
      </c>
      <c r="H421" s="496">
        <f t="shared" si="18"/>
        <v>6.1625129660366294E-3</v>
      </c>
      <c r="I421" s="496">
        <f t="shared" si="20"/>
        <v>99.537953553574468</v>
      </c>
      <c r="J421" s="443" t="str">
        <f t="shared" si="19"/>
        <v>C</v>
      </c>
    </row>
    <row r="422" spans="1:10" s="220" customFormat="1" ht="14.25">
      <c r="A422" s="446" t="s">
        <v>3765</v>
      </c>
      <c r="B422" s="446" t="s">
        <v>3396</v>
      </c>
      <c r="C422" s="447" t="s">
        <v>3766</v>
      </c>
      <c r="D422" s="446" t="s">
        <v>167</v>
      </c>
      <c r="E422" s="448">
        <v>1.1692800000000001</v>
      </c>
      <c r="F422" s="448">
        <v>150.80000000000001</v>
      </c>
      <c r="G422" s="445">
        <f>E422*F422</f>
        <v>176.32742400000004</v>
      </c>
      <c r="H422" s="496">
        <f t="shared" si="18"/>
        <v>5.937814408020976E-3</v>
      </c>
      <c r="I422" s="496">
        <f t="shared" si="20"/>
        <v>99.543891367982482</v>
      </c>
      <c r="J422" s="443" t="str">
        <f t="shared" si="19"/>
        <v>C</v>
      </c>
    </row>
    <row r="423" spans="1:10" s="220" customFormat="1" ht="14.25">
      <c r="A423" s="446" t="s">
        <v>1661</v>
      </c>
      <c r="B423" s="446" t="s">
        <v>119</v>
      </c>
      <c r="C423" s="447" t="s">
        <v>1662</v>
      </c>
      <c r="D423" s="446" t="s">
        <v>144</v>
      </c>
      <c r="E423" s="448">
        <v>67</v>
      </c>
      <c r="F423" s="448">
        <v>2.6</v>
      </c>
      <c r="G423" s="445">
        <f>E423*F423</f>
        <v>174.20000000000002</v>
      </c>
      <c r="H423" s="496">
        <f t="shared" si="18"/>
        <v>5.8661735447190213E-3</v>
      </c>
      <c r="I423" s="496">
        <f t="shared" si="20"/>
        <v>99.5497575415272</v>
      </c>
      <c r="J423" s="443" t="str">
        <f t="shared" si="19"/>
        <v>C</v>
      </c>
    </row>
    <row r="424" spans="1:10" s="220" customFormat="1" ht="28.5">
      <c r="A424" s="446" t="s">
        <v>1091</v>
      </c>
      <c r="B424" s="446" t="s">
        <v>3006</v>
      </c>
      <c r="C424" s="447" t="s">
        <v>3157</v>
      </c>
      <c r="D424" s="446" t="s">
        <v>144</v>
      </c>
      <c r="E424" s="448">
        <v>526.70182499999999</v>
      </c>
      <c r="F424" s="448">
        <v>0.33</v>
      </c>
      <c r="G424" s="445">
        <f>E424*F424</f>
        <v>173.81160224999999</v>
      </c>
      <c r="H424" s="496">
        <f t="shared" si="18"/>
        <v>5.853094276028559E-3</v>
      </c>
      <c r="I424" s="496">
        <f t="shared" si="20"/>
        <v>99.555610635803234</v>
      </c>
      <c r="J424" s="443" t="str">
        <f t="shared" si="19"/>
        <v>C</v>
      </c>
    </row>
    <row r="425" spans="1:10" s="220" customFormat="1" ht="14.25">
      <c r="A425" s="446" t="s">
        <v>762</v>
      </c>
      <c r="B425" s="446" t="s">
        <v>119</v>
      </c>
      <c r="C425" s="447" t="s">
        <v>763</v>
      </c>
      <c r="D425" s="446" t="s">
        <v>144</v>
      </c>
      <c r="E425" s="448">
        <v>6</v>
      </c>
      <c r="F425" s="448">
        <v>28.91</v>
      </c>
      <c r="G425" s="445">
        <f>E425*F425</f>
        <v>173.46</v>
      </c>
      <c r="H425" s="496">
        <f t="shared" si="18"/>
        <v>5.8412540933809494E-3</v>
      </c>
      <c r="I425" s="496">
        <f t="shared" si="20"/>
        <v>99.561451889896617</v>
      </c>
      <c r="J425" s="443" t="str">
        <f t="shared" si="19"/>
        <v>C</v>
      </c>
    </row>
    <row r="426" spans="1:10" s="220" customFormat="1" ht="28.5">
      <c r="A426" s="446" t="s">
        <v>722</v>
      </c>
      <c r="B426" s="446" t="s">
        <v>3006</v>
      </c>
      <c r="C426" s="447" t="s">
        <v>3154</v>
      </c>
      <c r="D426" s="446" t="s">
        <v>144</v>
      </c>
      <c r="E426" s="448">
        <v>21</v>
      </c>
      <c r="F426" s="448">
        <v>8.15</v>
      </c>
      <c r="G426" s="445">
        <f>E426*F426</f>
        <v>171.15</v>
      </c>
      <c r="H426" s="496">
        <f t="shared" si="18"/>
        <v>5.7634649952850768E-3</v>
      </c>
      <c r="I426" s="496">
        <f t="shared" si="20"/>
        <v>99.5672153548919</v>
      </c>
      <c r="J426" s="443" t="str">
        <f t="shared" si="19"/>
        <v>C</v>
      </c>
    </row>
    <row r="427" spans="1:10" s="220" customFormat="1" ht="14.25">
      <c r="A427" s="446" t="s">
        <v>1037</v>
      </c>
      <c r="B427" s="446" t="s">
        <v>119</v>
      </c>
      <c r="C427" s="447" t="s">
        <v>1038</v>
      </c>
      <c r="D427" s="446" t="s">
        <v>144</v>
      </c>
      <c r="E427" s="448">
        <v>14</v>
      </c>
      <c r="F427" s="448">
        <v>12.13</v>
      </c>
      <c r="G427" s="445">
        <f>E427*F427</f>
        <v>169.82000000000002</v>
      </c>
      <c r="H427" s="496">
        <f t="shared" si="18"/>
        <v>5.7186773327450304E-3</v>
      </c>
      <c r="I427" s="496">
        <f t="shared" si="20"/>
        <v>99.572934032224651</v>
      </c>
      <c r="J427" s="443" t="str">
        <f t="shared" si="19"/>
        <v>C</v>
      </c>
    </row>
    <row r="428" spans="1:10" s="220" customFormat="1" ht="28.5">
      <c r="A428" s="446" t="s">
        <v>538</v>
      </c>
      <c r="B428" s="446" t="s">
        <v>119</v>
      </c>
      <c r="C428" s="447" t="s">
        <v>539</v>
      </c>
      <c r="D428" s="446" t="s">
        <v>144</v>
      </c>
      <c r="E428" s="448">
        <v>3</v>
      </c>
      <c r="F428" s="448">
        <v>55.16</v>
      </c>
      <c r="G428" s="445">
        <f>E428*F428</f>
        <v>165.48</v>
      </c>
      <c r="H428" s="496">
        <f t="shared" si="18"/>
        <v>5.5725281181406633E-3</v>
      </c>
      <c r="I428" s="496">
        <f t="shared" si="20"/>
        <v>99.578506560342788</v>
      </c>
      <c r="J428" s="443" t="str">
        <f t="shared" si="19"/>
        <v>C</v>
      </c>
    </row>
    <row r="429" spans="1:10" s="220" customFormat="1" ht="14.25">
      <c r="A429" s="446" t="s">
        <v>1611</v>
      </c>
      <c r="B429" s="446" t="s">
        <v>119</v>
      </c>
      <c r="C429" s="447" t="s">
        <v>1612</v>
      </c>
      <c r="D429" s="446" t="s">
        <v>144</v>
      </c>
      <c r="E429" s="448">
        <v>23</v>
      </c>
      <c r="F429" s="448">
        <v>7.18</v>
      </c>
      <c r="G429" s="445">
        <f>E429*F429</f>
        <v>165.14</v>
      </c>
      <c r="H429" s="496">
        <f t="shared" si="18"/>
        <v>5.5610786404988472E-3</v>
      </c>
      <c r="I429" s="496">
        <f t="shared" si="20"/>
        <v>99.584067638983285</v>
      </c>
      <c r="J429" s="443" t="str">
        <f t="shared" si="19"/>
        <v>C</v>
      </c>
    </row>
    <row r="430" spans="1:10" s="220" customFormat="1" ht="28.5">
      <c r="A430" s="446" t="s">
        <v>1716</v>
      </c>
      <c r="B430" s="446" t="s">
        <v>119</v>
      </c>
      <c r="C430" s="447" t="s">
        <v>1717</v>
      </c>
      <c r="D430" s="446" t="s">
        <v>144</v>
      </c>
      <c r="E430" s="448">
        <v>156</v>
      </c>
      <c r="F430" s="448">
        <v>1.04</v>
      </c>
      <c r="G430" s="445">
        <f>E430*F430</f>
        <v>162.24</v>
      </c>
      <c r="H430" s="496">
        <f t="shared" si="18"/>
        <v>5.4634213312009985E-3</v>
      </c>
      <c r="I430" s="496">
        <f t="shared" si="20"/>
        <v>99.589531060314485</v>
      </c>
      <c r="J430" s="443" t="str">
        <f t="shared" si="19"/>
        <v>C</v>
      </c>
    </row>
    <row r="431" spans="1:10" s="220" customFormat="1" ht="28.5">
      <c r="A431" s="446" t="s">
        <v>732</v>
      </c>
      <c r="B431" s="446" t="s">
        <v>3006</v>
      </c>
      <c r="C431" s="447" t="s">
        <v>3156</v>
      </c>
      <c r="D431" s="446" t="s">
        <v>144</v>
      </c>
      <c r="E431" s="448">
        <v>7</v>
      </c>
      <c r="F431" s="448">
        <v>22.1</v>
      </c>
      <c r="G431" s="445">
        <f>E431*F431</f>
        <v>154.70000000000002</v>
      </c>
      <c r="H431" s="496">
        <f t="shared" si="18"/>
        <v>5.2095123270265936E-3</v>
      </c>
      <c r="I431" s="496">
        <f t="shared" si="20"/>
        <v>99.594740572641513</v>
      </c>
      <c r="J431" s="443" t="str">
        <f t="shared" si="19"/>
        <v>C</v>
      </c>
    </row>
    <row r="432" spans="1:10" s="220" customFormat="1" ht="14.25">
      <c r="A432" s="446" t="s">
        <v>2347</v>
      </c>
      <c r="B432" s="446" t="s">
        <v>119</v>
      </c>
      <c r="C432" s="447" t="s">
        <v>2348</v>
      </c>
      <c r="D432" s="446" t="s">
        <v>144</v>
      </c>
      <c r="E432" s="448">
        <v>1</v>
      </c>
      <c r="F432" s="448">
        <v>152.63999999999999</v>
      </c>
      <c r="G432" s="445">
        <f>E432*F432</f>
        <v>152.63999999999999</v>
      </c>
      <c r="H432" s="496">
        <f t="shared" si="18"/>
        <v>5.1401419624908795E-3</v>
      </c>
      <c r="I432" s="496">
        <f t="shared" si="20"/>
        <v>99.599880714603998</v>
      </c>
      <c r="J432" s="443" t="str">
        <f t="shared" si="19"/>
        <v>C</v>
      </c>
    </row>
    <row r="433" spans="1:10" s="220" customFormat="1" ht="14.25">
      <c r="A433" s="446" t="s">
        <v>3276</v>
      </c>
      <c r="B433" s="446" t="s">
        <v>158</v>
      </c>
      <c r="C433" s="447" t="s">
        <v>3398</v>
      </c>
      <c r="D433" s="446" t="s">
        <v>144</v>
      </c>
      <c r="E433" s="448">
        <v>4</v>
      </c>
      <c r="F433" s="448">
        <v>37.799999999999997</v>
      </c>
      <c r="G433" s="445">
        <f>E433*F433</f>
        <v>151.19999999999999</v>
      </c>
      <c r="H433" s="496">
        <f t="shared" si="18"/>
        <v>5.0916500571843619E-3</v>
      </c>
      <c r="I433" s="496">
        <f t="shared" si="20"/>
        <v>99.60497236466118</v>
      </c>
      <c r="J433" s="443" t="str">
        <f t="shared" si="19"/>
        <v>C</v>
      </c>
    </row>
    <row r="434" spans="1:10" s="220" customFormat="1" ht="14.25">
      <c r="A434" s="446" t="s">
        <v>2536</v>
      </c>
      <c r="B434" s="446" t="s">
        <v>119</v>
      </c>
      <c r="C434" s="447" t="s">
        <v>2537</v>
      </c>
      <c r="D434" s="446" t="s">
        <v>144</v>
      </c>
      <c r="E434" s="448">
        <v>12</v>
      </c>
      <c r="F434" s="448">
        <v>12.53</v>
      </c>
      <c r="G434" s="445">
        <f>E434*F434</f>
        <v>150.35999999999999</v>
      </c>
      <c r="H434" s="496">
        <f t="shared" si="18"/>
        <v>5.0633631124222265E-3</v>
      </c>
      <c r="I434" s="496">
        <f t="shared" si="20"/>
        <v>99.610035727773607</v>
      </c>
      <c r="J434" s="443" t="str">
        <f t="shared" si="19"/>
        <v>C</v>
      </c>
    </row>
    <row r="435" spans="1:10" s="220" customFormat="1" ht="14.25">
      <c r="A435" s="446" t="s">
        <v>1720</v>
      </c>
      <c r="B435" s="446" t="s">
        <v>119</v>
      </c>
      <c r="C435" s="447" t="s">
        <v>1721</v>
      </c>
      <c r="D435" s="446" t="s">
        <v>144</v>
      </c>
      <c r="E435" s="448">
        <v>2</v>
      </c>
      <c r="F435" s="448">
        <v>74.8</v>
      </c>
      <c r="G435" s="445">
        <f>E435*F435</f>
        <v>149.6</v>
      </c>
      <c r="H435" s="496">
        <f t="shared" si="18"/>
        <v>5.0377701623993427E-3</v>
      </c>
      <c r="I435" s="496">
        <f t="shared" si="20"/>
        <v>99.61507349793601</v>
      </c>
      <c r="J435" s="443" t="str">
        <f t="shared" si="19"/>
        <v>C</v>
      </c>
    </row>
    <row r="436" spans="1:10" s="220" customFormat="1" ht="28.5">
      <c r="A436" s="446" t="s">
        <v>3158</v>
      </c>
      <c r="B436" s="446" t="s">
        <v>119</v>
      </c>
      <c r="C436" s="447" t="s">
        <v>3159</v>
      </c>
      <c r="D436" s="446" t="s">
        <v>139</v>
      </c>
      <c r="E436" s="448">
        <v>2.3076059999999998</v>
      </c>
      <c r="F436" s="448">
        <v>64.430000000000007</v>
      </c>
      <c r="G436" s="445">
        <f>E436*F436</f>
        <v>148.67905458000001</v>
      </c>
      <c r="H436" s="496">
        <f t="shared" si="18"/>
        <v>5.0067573859416273E-3</v>
      </c>
      <c r="I436" s="496">
        <f t="shared" si="20"/>
        <v>99.620080255321952</v>
      </c>
      <c r="J436" s="443" t="str">
        <f t="shared" si="19"/>
        <v>C</v>
      </c>
    </row>
    <row r="437" spans="1:10" s="220" customFormat="1" ht="28.5">
      <c r="A437" s="446" t="s">
        <v>3651</v>
      </c>
      <c r="B437" s="446" t="s">
        <v>3006</v>
      </c>
      <c r="C437" s="447" t="s">
        <v>3667</v>
      </c>
      <c r="D437" s="446" t="s">
        <v>144</v>
      </c>
      <c r="E437" s="448">
        <v>5</v>
      </c>
      <c r="F437" s="448">
        <v>29.69</v>
      </c>
      <c r="G437" s="445">
        <f>E437*F437</f>
        <v>148.45000000000002</v>
      </c>
      <c r="H437" s="496">
        <f t="shared" si="18"/>
        <v>4.9990439880226107E-3</v>
      </c>
      <c r="I437" s="496">
        <f t="shared" si="20"/>
        <v>99.625079299309974</v>
      </c>
      <c r="J437" s="443" t="str">
        <f t="shared" si="19"/>
        <v>C</v>
      </c>
    </row>
    <row r="438" spans="1:10" s="220" customFormat="1" ht="14.25">
      <c r="A438" s="446" t="s">
        <v>3617</v>
      </c>
      <c r="B438" s="446" t="s">
        <v>3396</v>
      </c>
      <c r="C438" s="447" t="s">
        <v>3546</v>
      </c>
      <c r="D438" s="446" t="s">
        <v>144</v>
      </c>
      <c r="E438" s="448">
        <v>6</v>
      </c>
      <c r="F438" s="448">
        <v>24.69</v>
      </c>
      <c r="G438" s="445">
        <f>E438*F438</f>
        <v>148.14000000000001</v>
      </c>
      <c r="H438" s="496">
        <f t="shared" si="18"/>
        <v>4.9886047584080133E-3</v>
      </c>
      <c r="I438" s="496">
        <f t="shared" si="20"/>
        <v>99.630067904068383</v>
      </c>
      <c r="J438" s="443" t="str">
        <f t="shared" si="19"/>
        <v>C</v>
      </c>
    </row>
    <row r="439" spans="1:10" s="220" customFormat="1" ht="14.25">
      <c r="A439" s="446" t="s">
        <v>1486</v>
      </c>
      <c r="B439" s="446" t="s">
        <v>119</v>
      </c>
      <c r="C439" s="447" t="s">
        <v>1487</v>
      </c>
      <c r="D439" s="446" t="s">
        <v>144</v>
      </c>
      <c r="E439" s="448">
        <v>1222.942147</v>
      </c>
      <c r="F439" s="448">
        <v>0.12</v>
      </c>
      <c r="G439" s="445">
        <f>E439*F439</f>
        <v>146.75305763999998</v>
      </c>
      <c r="H439" s="496">
        <f t="shared" si="18"/>
        <v>4.9418995656394576E-3</v>
      </c>
      <c r="I439" s="496">
        <f t="shared" si="20"/>
        <v>99.63500980363402</v>
      </c>
      <c r="J439" s="443" t="str">
        <f t="shared" si="19"/>
        <v>C</v>
      </c>
    </row>
    <row r="440" spans="1:10" s="220" customFormat="1" ht="14.25">
      <c r="A440" s="446" t="s">
        <v>2327</v>
      </c>
      <c r="B440" s="446" t="s">
        <v>119</v>
      </c>
      <c r="C440" s="447" t="s">
        <v>2328</v>
      </c>
      <c r="D440" s="446" t="s">
        <v>144</v>
      </c>
      <c r="E440" s="448">
        <v>10</v>
      </c>
      <c r="F440" s="448">
        <v>14.66</v>
      </c>
      <c r="G440" s="445">
        <f>E440*F440</f>
        <v>146.6</v>
      </c>
      <c r="H440" s="496">
        <f t="shared" si="18"/>
        <v>4.9367453596774313E-3</v>
      </c>
      <c r="I440" s="496">
        <f t="shared" si="20"/>
        <v>99.639946548993692</v>
      </c>
      <c r="J440" s="443" t="str">
        <f t="shared" si="19"/>
        <v>C</v>
      </c>
    </row>
    <row r="441" spans="1:10" s="220" customFormat="1" ht="14.25">
      <c r="A441" s="446" t="s">
        <v>1589</v>
      </c>
      <c r="B441" s="446" t="s">
        <v>119</v>
      </c>
      <c r="C441" s="447" t="s">
        <v>1590</v>
      </c>
      <c r="D441" s="446" t="s">
        <v>200</v>
      </c>
      <c r="E441" s="448">
        <v>114.646</v>
      </c>
      <c r="F441" s="448">
        <v>1.26</v>
      </c>
      <c r="G441" s="445">
        <f>E441*F441</f>
        <v>144.45396</v>
      </c>
      <c r="H441" s="496">
        <f t="shared" si="18"/>
        <v>4.8644776037996534E-3</v>
      </c>
      <c r="I441" s="496">
        <f t="shared" si="20"/>
        <v>99.644811026597495</v>
      </c>
      <c r="J441" s="443" t="str">
        <f t="shared" si="19"/>
        <v>C</v>
      </c>
    </row>
    <row r="442" spans="1:10" s="220" customFormat="1" ht="14.25">
      <c r="A442" s="446" t="s">
        <v>4134</v>
      </c>
      <c r="B442" s="446" t="s">
        <v>2785</v>
      </c>
      <c r="C442" s="447" t="s">
        <v>4135</v>
      </c>
      <c r="D442" s="446" t="s">
        <v>139</v>
      </c>
      <c r="E442" s="448">
        <v>75.53</v>
      </c>
      <c r="F442" s="448">
        <v>1.91</v>
      </c>
      <c r="G442" s="445">
        <f>E442*F442</f>
        <v>144.26229999999998</v>
      </c>
      <c r="H442" s="496">
        <f t="shared" si="18"/>
        <v>4.8580234659030925E-3</v>
      </c>
      <c r="I442" s="496">
        <f t="shared" si="20"/>
        <v>99.649669050063395</v>
      </c>
      <c r="J442" s="443" t="str">
        <f t="shared" si="19"/>
        <v>C</v>
      </c>
    </row>
    <row r="443" spans="1:10" s="220" customFormat="1" ht="28.5">
      <c r="A443" s="446" t="s">
        <v>2650</v>
      </c>
      <c r="B443" s="446" t="s">
        <v>119</v>
      </c>
      <c r="C443" s="447" t="s">
        <v>2651</v>
      </c>
      <c r="D443" s="446" t="s">
        <v>144</v>
      </c>
      <c r="E443" s="448">
        <v>20</v>
      </c>
      <c r="F443" s="448">
        <v>7.01</v>
      </c>
      <c r="G443" s="445">
        <f>E443*F443</f>
        <v>140.19999999999999</v>
      </c>
      <c r="H443" s="496">
        <f t="shared" si="18"/>
        <v>4.7212257805373517E-3</v>
      </c>
      <c r="I443" s="496">
        <f t="shared" si="20"/>
        <v>99.654390275843937</v>
      </c>
      <c r="J443" s="443" t="str">
        <f t="shared" si="19"/>
        <v>C</v>
      </c>
    </row>
    <row r="444" spans="1:10" s="220" customFormat="1" ht="14.25">
      <c r="A444" s="446" t="s">
        <v>673</v>
      </c>
      <c r="B444" s="446" t="s">
        <v>119</v>
      </c>
      <c r="C444" s="447" t="s">
        <v>3789</v>
      </c>
      <c r="D444" s="446" t="s">
        <v>144</v>
      </c>
      <c r="E444" s="448">
        <v>53.792737000000002</v>
      </c>
      <c r="F444" s="448">
        <v>2.57</v>
      </c>
      <c r="G444" s="445">
        <f>E444*F444</f>
        <v>138.24733409000001</v>
      </c>
      <c r="H444" s="496">
        <f t="shared" si="18"/>
        <v>4.6554698844241682E-3</v>
      </c>
      <c r="I444" s="496">
        <f t="shared" si="20"/>
        <v>99.659045745728363</v>
      </c>
      <c r="J444" s="443" t="str">
        <f t="shared" si="19"/>
        <v>C</v>
      </c>
    </row>
    <row r="445" spans="1:10" s="220" customFormat="1" ht="14.25">
      <c r="A445" s="446" t="s">
        <v>1393</v>
      </c>
      <c r="B445" s="446" t="s">
        <v>119</v>
      </c>
      <c r="C445" s="447" t="s">
        <v>1394</v>
      </c>
      <c r="D445" s="446" t="s">
        <v>200</v>
      </c>
      <c r="E445" s="448">
        <v>7.2433199999999998</v>
      </c>
      <c r="F445" s="448">
        <v>19.079999999999998</v>
      </c>
      <c r="G445" s="445">
        <f>E445*F445</f>
        <v>138.20254559999998</v>
      </c>
      <c r="H445" s="496">
        <f t="shared" si="18"/>
        <v>4.6539616349686799E-3</v>
      </c>
      <c r="I445" s="496">
        <f t="shared" si="20"/>
        <v>99.663699707363335</v>
      </c>
      <c r="J445" s="443" t="str">
        <f t="shared" si="19"/>
        <v>C</v>
      </c>
    </row>
    <row r="446" spans="1:10" s="220" customFormat="1" ht="14.25">
      <c r="A446" s="446" t="s">
        <v>1289</v>
      </c>
      <c r="B446" s="446" t="s">
        <v>119</v>
      </c>
      <c r="C446" s="447" t="s">
        <v>1290</v>
      </c>
      <c r="D446" s="446" t="s">
        <v>144</v>
      </c>
      <c r="E446" s="448">
        <v>2</v>
      </c>
      <c r="F446" s="448">
        <v>67.44</v>
      </c>
      <c r="G446" s="445">
        <f>E446*F446</f>
        <v>134.88</v>
      </c>
      <c r="H446" s="496">
        <f t="shared" si="18"/>
        <v>4.5420751303771618E-3</v>
      </c>
      <c r="I446" s="496">
        <f t="shared" si="20"/>
        <v>99.668241782493709</v>
      </c>
      <c r="J446" s="443" t="str">
        <f t="shared" si="19"/>
        <v>C</v>
      </c>
    </row>
    <row r="447" spans="1:10" s="220" customFormat="1" ht="28.5">
      <c r="A447" s="446" t="s">
        <v>1535</v>
      </c>
      <c r="B447" s="446" t="s">
        <v>119</v>
      </c>
      <c r="C447" s="447" t="s">
        <v>1536</v>
      </c>
      <c r="D447" s="446" t="s">
        <v>144</v>
      </c>
      <c r="E447" s="448">
        <v>78.128523000000001</v>
      </c>
      <c r="F447" s="448">
        <v>1.72</v>
      </c>
      <c r="G447" s="445">
        <f>E447*F447</f>
        <v>134.38105956000001</v>
      </c>
      <c r="H447" s="496">
        <f t="shared" si="18"/>
        <v>4.5252733438701674E-3</v>
      </c>
      <c r="I447" s="496">
        <f t="shared" si="20"/>
        <v>99.672767055837582</v>
      </c>
      <c r="J447" s="443" t="str">
        <f t="shared" si="19"/>
        <v>C</v>
      </c>
    </row>
    <row r="448" spans="1:10" s="220" customFormat="1" ht="28.5">
      <c r="A448" s="446" t="s">
        <v>2068</v>
      </c>
      <c r="B448" s="446" t="s">
        <v>3006</v>
      </c>
      <c r="C448" s="447" t="s">
        <v>3162</v>
      </c>
      <c r="D448" s="446" t="s">
        <v>144</v>
      </c>
      <c r="E448" s="448">
        <v>31</v>
      </c>
      <c r="F448" s="448">
        <v>4.2300000000000004</v>
      </c>
      <c r="G448" s="445">
        <f>E448*F448</f>
        <v>131.13000000000002</v>
      </c>
      <c r="H448" s="496">
        <f t="shared" si="18"/>
        <v>4.4157941269747725E-3</v>
      </c>
      <c r="I448" s="496">
        <f t="shared" si="20"/>
        <v>99.677182849964552</v>
      </c>
      <c r="J448" s="443" t="str">
        <f t="shared" si="19"/>
        <v>C</v>
      </c>
    </row>
    <row r="449" spans="1:10" s="220" customFormat="1" ht="14.25">
      <c r="A449" s="446" t="s">
        <v>2459</v>
      </c>
      <c r="B449" s="446" t="s">
        <v>119</v>
      </c>
      <c r="C449" s="447" t="s">
        <v>2460</v>
      </c>
      <c r="D449" s="446" t="s">
        <v>144</v>
      </c>
      <c r="E449" s="448">
        <v>5</v>
      </c>
      <c r="F449" s="448">
        <v>25.7</v>
      </c>
      <c r="G449" s="445">
        <f>E449*F449</f>
        <v>128.5</v>
      </c>
      <c r="H449" s="496">
        <f t="shared" si="18"/>
        <v>4.3272290499218958E-3</v>
      </c>
      <c r="I449" s="496">
        <f t="shared" si="20"/>
        <v>99.681510079014473</v>
      </c>
      <c r="J449" s="443" t="str">
        <f t="shared" si="19"/>
        <v>C</v>
      </c>
    </row>
    <row r="450" spans="1:10" s="220" customFormat="1" ht="14.25">
      <c r="A450" s="446" t="s">
        <v>3316</v>
      </c>
      <c r="B450" s="446" t="s">
        <v>119</v>
      </c>
      <c r="C450" s="447" t="s">
        <v>3318</v>
      </c>
      <c r="D450" s="446" t="s">
        <v>144</v>
      </c>
      <c r="E450" s="448">
        <v>10</v>
      </c>
      <c r="F450" s="448">
        <v>12.56</v>
      </c>
      <c r="G450" s="445">
        <f>E450*F450</f>
        <v>125.60000000000001</v>
      </c>
      <c r="H450" s="496">
        <f t="shared" si="18"/>
        <v>4.229571740624047E-3</v>
      </c>
      <c r="I450" s="496">
        <f t="shared" si="20"/>
        <v>99.685739650755096</v>
      </c>
      <c r="J450" s="443" t="str">
        <f t="shared" si="19"/>
        <v>C</v>
      </c>
    </row>
    <row r="451" spans="1:10" s="220" customFormat="1" ht="14.25">
      <c r="A451" s="446" t="s">
        <v>2446</v>
      </c>
      <c r="B451" s="446" t="s">
        <v>119</v>
      </c>
      <c r="C451" s="447" t="s">
        <v>2447</v>
      </c>
      <c r="D451" s="446" t="s">
        <v>144</v>
      </c>
      <c r="E451" s="448">
        <v>2</v>
      </c>
      <c r="F451" s="448">
        <v>61.95</v>
      </c>
      <c r="G451" s="445">
        <f>E451*F451</f>
        <v>123.9</v>
      </c>
      <c r="H451" s="496">
        <f t="shared" si="18"/>
        <v>4.1723243524149642E-3</v>
      </c>
      <c r="I451" s="496">
        <f t="shared" si="20"/>
        <v>99.689911975107506</v>
      </c>
      <c r="J451" s="443" t="str">
        <f t="shared" si="19"/>
        <v>C</v>
      </c>
    </row>
    <row r="452" spans="1:10" s="220" customFormat="1" ht="14.25">
      <c r="A452" s="446" t="s">
        <v>3607</v>
      </c>
      <c r="B452" s="446" t="s">
        <v>119</v>
      </c>
      <c r="C452" s="447" t="s">
        <v>3790</v>
      </c>
      <c r="D452" s="446" t="s">
        <v>144</v>
      </c>
      <c r="E452" s="448">
        <v>1</v>
      </c>
      <c r="F452" s="448">
        <v>121.43</v>
      </c>
      <c r="G452" s="445">
        <f>E452*F452</f>
        <v>121.43</v>
      </c>
      <c r="H452" s="496">
        <f t="shared" si="18"/>
        <v>4.08914726484059E-3</v>
      </c>
      <c r="I452" s="496">
        <f t="shared" si="20"/>
        <v>99.694001122372342</v>
      </c>
      <c r="J452" s="443" t="str">
        <f t="shared" si="19"/>
        <v>C</v>
      </c>
    </row>
    <row r="453" spans="1:10" s="220" customFormat="1" ht="28.5">
      <c r="A453" s="446" t="s">
        <v>676</v>
      </c>
      <c r="B453" s="446" t="s">
        <v>3006</v>
      </c>
      <c r="C453" s="447" t="s">
        <v>3163</v>
      </c>
      <c r="D453" s="446" t="s">
        <v>173</v>
      </c>
      <c r="E453" s="448">
        <v>4.6549810000000003</v>
      </c>
      <c r="F453" s="448">
        <v>25.88</v>
      </c>
      <c r="G453" s="445">
        <f>E453*F453</f>
        <v>120.47090828</v>
      </c>
      <c r="H453" s="496">
        <f t="shared" si="18"/>
        <v>4.0568499142388499E-3</v>
      </c>
      <c r="I453" s="496">
        <f t="shared" si="20"/>
        <v>99.698057972286577</v>
      </c>
      <c r="J453" s="443" t="str">
        <f t="shared" si="19"/>
        <v>C</v>
      </c>
    </row>
    <row r="454" spans="1:10" s="220" customFormat="1" ht="14.25">
      <c r="A454" s="446" t="s">
        <v>4126</v>
      </c>
      <c r="B454" s="446" t="s">
        <v>158</v>
      </c>
      <c r="C454" s="447" t="s">
        <v>4136</v>
      </c>
      <c r="D454" s="446" t="s">
        <v>139</v>
      </c>
      <c r="E454" s="448">
        <v>5.93</v>
      </c>
      <c r="F454" s="448">
        <v>20.260000000000002</v>
      </c>
      <c r="G454" s="445">
        <f>E454*F454</f>
        <v>120.1418</v>
      </c>
      <c r="H454" s="496">
        <f t="shared" si="18"/>
        <v>4.0457672145518004E-3</v>
      </c>
      <c r="I454" s="496">
        <f t="shared" si="20"/>
        <v>99.702103739501126</v>
      </c>
      <c r="J454" s="443" t="str">
        <f t="shared" si="19"/>
        <v>C</v>
      </c>
    </row>
    <row r="455" spans="1:10" s="220" customFormat="1" ht="14.25">
      <c r="A455" s="446" t="s">
        <v>1617</v>
      </c>
      <c r="B455" s="446" t="s">
        <v>119</v>
      </c>
      <c r="C455" s="447" t="s">
        <v>1618</v>
      </c>
      <c r="D455" s="446" t="s">
        <v>144</v>
      </c>
      <c r="E455" s="448">
        <v>153</v>
      </c>
      <c r="F455" s="448">
        <v>0.78</v>
      </c>
      <c r="G455" s="445">
        <f>E455*F455</f>
        <v>119.34</v>
      </c>
      <c r="H455" s="496">
        <f t="shared" si="18"/>
        <v>4.0187666522776581E-3</v>
      </c>
      <c r="I455" s="496">
        <f t="shared" si="20"/>
        <v>99.706122506153406</v>
      </c>
      <c r="J455" s="443" t="str">
        <f t="shared" si="19"/>
        <v>C</v>
      </c>
    </row>
    <row r="456" spans="1:10" s="220" customFormat="1" ht="14.25">
      <c r="A456" s="446" t="s">
        <v>3160</v>
      </c>
      <c r="B456" s="446" t="s">
        <v>119</v>
      </c>
      <c r="C456" s="447" t="s">
        <v>3161</v>
      </c>
      <c r="D456" s="446" t="s">
        <v>144</v>
      </c>
      <c r="E456" s="448">
        <v>15</v>
      </c>
      <c r="F456" s="448">
        <v>7.95</v>
      </c>
      <c r="G456" s="445">
        <f>E456*F456</f>
        <v>119.25</v>
      </c>
      <c r="H456" s="496">
        <f t="shared" si="18"/>
        <v>4.0157359081960005E-3</v>
      </c>
      <c r="I456" s="496">
        <f t="shared" si="20"/>
        <v>99.710138242061603</v>
      </c>
      <c r="J456" s="443" t="str">
        <f t="shared" si="19"/>
        <v>C</v>
      </c>
    </row>
    <row r="457" spans="1:10" s="220" customFormat="1" ht="28.5">
      <c r="A457" s="446" t="s">
        <v>2207</v>
      </c>
      <c r="B457" s="446" t="s">
        <v>158</v>
      </c>
      <c r="C457" s="447" t="s">
        <v>3164</v>
      </c>
      <c r="D457" s="446" t="s">
        <v>144</v>
      </c>
      <c r="E457" s="448">
        <v>4</v>
      </c>
      <c r="F457" s="448">
        <v>29.38</v>
      </c>
      <c r="G457" s="445">
        <f>E457*F457</f>
        <v>117.52</v>
      </c>
      <c r="H457" s="496">
        <f t="shared" ref="H457:H520" si="21">(G457*100)/SUM($G$8:$G$628)</f>
        <v>3.9574782719596982E-3</v>
      </c>
      <c r="I457" s="496">
        <f t="shared" si="20"/>
        <v>99.71409572033356</v>
      </c>
      <c r="J457" s="443" t="str">
        <f t="shared" ref="J457:J520" si="22">IF(I457&lt;80,"A",IF(I457&lt;95,"B","C"))</f>
        <v>C</v>
      </c>
    </row>
    <row r="458" spans="1:10" s="220" customFormat="1" ht="14.25">
      <c r="A458" s="446" t="s">
        <v>1488</v>
      </c>
      <c r="B458" s="446" t="s">
        <v>119</v>
      </c>
      <c r="C458" s="447" t="s">
        <v>1489</v>
      </c>
      <c r="D458" s="446" t="s">
        <v>144</v>
      </c>
      <c r="E458" s="448">
        <v>447.743224</v>
      </c>
      <c r="F458" s="448">
        <v>0.26</v>
      </c>
      <c r="G458" s="445">
        <f>E458*F458</f>
        <v>116.41323824</v>
      </c>
      <c r="H458" s="496">
        <f t="shared" si="21"/>
        <v>3.9202081424716453E-3</v>
      </c>
      <c r="I458" s="496">
        <f t="shared" ref="I458:I521" si="23">H458+I457</f>
        <v>99.718015928476035</v>
      </c>
      <c r="J458" s="443" t="str">
        <f t="shared" si="22"/>
        <v>C</v>
      </c>
    </row>
    <row r="459" spans="1:10" s="220" customFormat="1" ht="14.25">
      <c r="A459" s="446" t="s">
        <v>1391</v>
      </c>
      <c r="B459" s="446" t="s">
        <v>119</v>
      </c>
      <c r="C459" s="447" t="s">
        <v>1392</v>
      </c>
      <c r="D459" s="446" t="s">
        <v>200</v>
      </c>
      <c r="E459" s="448">
        <v>5.5634003999999999</v>
      </c>
      <c r="F459" s="448">
        <v>20.72</v>
      </c>
      <c r="G459" s="445">
        <f>E459*F459</f>
        <v>115.273656288</v>
      </c>
      <c r="H459" s="496">
        <f t="shared" si="21"/>
        <v>3.8818327951762287E-3</v>
      </c>
      <c r="I459" s="496">
        <f t="shared" si="23"/>
        <v>99.721897761271208</v>
      </c>
      <c r="J459" s="443" t="str">
        <f t="shared" si="22"/>
        <v>C</v>
      </c>
    </row>
    <row r="460" spans="1:10" s="220" customFormat="1" ht="14.25">
      <c r="A460" s="446" t="s">
        <v>3315</v>
      </c>
      <c r="B460" s="446" t="s">
        <v>119</v>
      </c>
      <c r="C460" s="447" t="s">
        <v>3317</v>
      </c>
      <c r="D460" s="446" t="s">
        <v>144</v>
      </c>
      <c r="E460" s="448">
        <v>43</v>
      </c>
      <c r="F460" s="448">
        <v>2.68</v>
      </c>
      <c r="G460" s="445">
        <f>E460*F460</f>
        <v>115.24000000000001</v>
      </c>
      <c r="H460" s="496">
        <f t="shared" si="21"/>
        <v>3.8806994218910447E-3</v>
      </c>
      <c r="I460" s="496">
        <f t="shared" si="23"/>
        <v>99.725778460693093</v>
      </c>
      <c r="J460" s="443" t="str">
        <f t="shared" si="22"/>
        <v>C</v>
      </c>
    </row>
    <row r="461" spans="1:10" s="220" customFormat="1" ht="42.75">
      <c r="A461" s="446" t="s">
        <v>3887</v>
      </c>
      <c r="B461" s="446" t="s">
        <v>119</v>
      </c>
      <c r="C461" s="447" t="s">
        <v>3904</v>
      </c>
      <c r="D461" s="446" t="s">
        <v>315</v>
      </c>
      <c r="E461" s="448">
        <v>0.72</v>
      </c>
      <c r="F461" s="448">
        <v>159.88999999999999</v>
      </c>
      <c r="G461" s="445">
        <f>E461*F461</f>
        <v>115.12079999999999</v>
      </c>
      <c r="H461" s="496">
        <f t="shared" si="21"/>
        <v>3.8766853697295603E-3</v>
      </c>
      <c r="I461" s="496">
        <f t="shared" si="23"/>
        <v>99.729655146062825</v>
      </c>
      <c r="J461" s="443" t="str">
        <f t="shared" si="22"/>
        <v>C</v>
      </c>
    </row>
    <row r="462" spans="1:10" s="220" customFormat="1" ht="14.25">
      <c r="A462" s="446" t="s">
        <v>2854</v>
      </c>
      <c r="B462" s="446" t="s">
        <v>119</v>
      </c>
      <c r="C462" s="447" t="s">
        <v>3830</v>
      </c>
      <c r="D462" s="446" t="s">
        <v>144</v>
      </c>
      <c r="E462" s="448">
        <v>1</v>
      </c>
      <c r="F462" s="448">
        <v>114.82</v>
      </c>
      <c r="G462" s="445">
        <f>E462*F462</f>
        <v>114.82</v>
      </c>
      <c r="H462" s="496">
        <f t="shared" si="21"/>
        <v>3.866555949509977E-3</v>
      </c>
      <c r="I462" s="496">
        <f t="shared" si="23"/>
        <v>99.733521702012339</v>
      </c>
      <c r="J462" s="443" t="str">
        <f t="shared" si="22"/>
        <v>C</v>
      </c>
    </row>
    <row r="463" spans="1:10" s="220" customFormat="1" ht="14.25">
      <c r="A463" s="446" t="s">
        <v>3242</v>
      </c>
      <c r="B463" s="446" t="s">
        <v>119</v>
      </c>
      <c r="C463" s="447" t="s">
        <v>3243</v>
      </c>
      <c r="D463" s="446" t="s">
        <v>167</v>
      </c>
      <c r="E463" s="448">
        <v>0.61</v>
      </c>
      <c r="F463" s="448">
        <v>186.45</v>
      </c>
      <c r="G463" s="445">
        <f>E463*F463</f>
        <v>113.7345</v>
      </c>
      <c r="H463" s="496">
        <f t="shared" si="21"/>
        <v>3.830001808391765E-3</v>
      </c>
      <c r="I463" s="496">
        <f t="shared" si="23"/>
        <v>99.737351703820735</v>
      </c>
      <c r="J463" s="443" t="str">
        <f t="shared" si="22"/>
        <v>C</v>
      </c>
    </row>
    <row r="464" spans="1:10" s="220" customFormat="1" ht="14.25">
      <c r="A464" s="446" t="s">
        <v>2304</v>
      </c>
      <c r="B464" s="446" t="s">
        <v>119</v>
      </c>
      <c r="C464" s="447" t="s">
        <v>2305</v>
      </c>
      <c r="D464" s="446" t="s">
        <v>144</v>
      </c>
      <c r="E464" s="448">
        <v>3.9167999999999998</v>
      </c>
      <c r="F464" s="448">
        <v>28.82</v>
      </c>
      <c r="G464" s="445">
        <f>E464*F464</f>
        <v>112.882176</v>
      </c>
      <c r="H464" s="496">
        <f t="shared" si="21"/>
        <v>3.801299853740048E-3</v>
      </c>
      <c r="I464" s="496">
        <f t="shared" si="23"/>
        <v>99.741153003674469</v>
      </c>
      <c r="J464" s="443" t="str">
        <f t="shared" si="22"/>
        <v>C</v>
      </c>
    </row>
    <row r="465" spans="1:10" s="220" customFormat="1" ht="28.5">
      <c r="A465" s="446" t="s">
        <v>2367</v>
      </c>
      <c r="B465" s="446" t="s">
        <v>119</v>
      </c>
      <c r="C465" s="447" t="s">
        <v>2368</v>
      </c>
      <c r="D465" s="446" t="s">
        <v>144</v>
      </c>
      <c r="E465" s="448">
        <v>13</v>
      </c>
      <c r="F465" s="448">
        <v>8.64</v>
      </c>
      <c r="G465" s="445">
        <f>E465*F465</f>
        <v>112.32000000000001</v>
      </c>
      <c r="H465" s="496">
        <f t="shared" si="21"/>
        <v>3.7823686139083837E-3</v>
      </c>
      <c r="I465" s="496">
        <f t="shared" si="23"/>
        <v>99.744935372288381</v>
      </c>
      <c r="J465" s="443" t="str">
        <f t="shared" si="22"/>
        <v>C</v>
      </c>
    </row>
    <row r="466" spans="1:10" s="220" customFormat="1" ht="14.25">
      <c r="A466" s="446" t="s">
        <v>3913</v>
      </c>
      <c r="B466" s="446" t="s">
        <v>3396</v>
      </c>
      <c r="C466" s="447" t="s">
        <v>3903</v>
      </c>
      <c r="D466" s="446" t="s">
        <v>200</v>
      </c>
      <c r="E466" s="448">
        <v>12.180024</v>
      </c>
      <c r="F466" s="448">
        <v>9.18</v>
      </c>
      <c r="G466" s="445">
        <f>E466*F466</f>
        <v>111.81262031999999</v>
      </c>
      <c r="H466" s="496">
        <f t="shared" si="21"/>
        <v>3.7652826365493475E-3</v>
      </c>
      <c r="I466" s="496">
        <f t="shared" si="23"/>
        <v>99.748700654924932</v>
      </c>
      <c r="J466" s="443" t="str">
        <f t="shared" si="22"/>
        <v>C</v>
      </c>
    </row>
    <row r="467" spans="1:10" s="220" customFormat="1" ht="14.25">
      <c r="A467" s="446" t="s">
        <v>1633</v>
      </c>
      <c r="B467" s="446" t="s">
        <v>119</v>
      </c>
      <c r="C467" s="447" t="s">
        <v>1634</v>
      </c>
      <c r="D467" s="446" t="s">
        <v>144</v>
      </c>
      <c r="E467" s="448">
        <v>14</v>
      </c>
      <c r="F467" s="448">
        <v>7.98</v>
      </c>
      <c r="G467" s="445">
        <f>E467*F467</f>
        <v>111.72</v>
      </c>
      <c r="H467" s="496">
        <f t="shared" si="21"/>
        <v>3.7621636533640011E-3</v>
      </c>
      <c r="I467" s="496">
        <f t="shared" si="23"/>
        <v>99.752462818578294</v>
      </c>
      <c r="J467" s="443" t="str">
        <f t="shared" si="22"/>
        <v>C</v>
      </c>
    </row>
    <row r="468" spans="1:10" s="220" customFormat="1" ht="14.25">
      <c r="A468" s="446" t="s">
        <v>1023</v>
      </c>
      <c r="B468" s="446" t="s">
        <v>119</v>
      </c>
      <c r="C468" s="447" t="s">
        <v>1024</v>
      </c>
      <c r="D468" s="446" t="s">
        <v>173</v>
      </c>
      <c r="E468" s="448">
        <v>5</v>
      </c>
      <c r="F468" s="448">
        <v>22.34</v>
      </c>
      <c r="G468" s="445">
        <f>E468*F468</f>
        <v>111.7</v>
      </c>
      <c r="H468" s="496">
        <f t="shared" si="21"/>
        <v>3.7614901546791884E-3</v>
      </c>
      <c r="I468" s="496">
        <f t="shared" si="23"/>
        <v>99.756224308732968</v>
      </c>
      <c r="J468" s="443" t="str">
        <f t="shared" si="22"/>
        <v>C</v>
      </c>
    </row>
    <row r="469" spans="1:10" s="220" customFormat="1" ht="28.5">
      <c r="A469" s="446" t="s">
        <v>2656</v>
      </c>
      <c r="B469" s="446" t="s">
        <v>119</v>
      </c>
      <c r="C469" s="447" t="s">
        <v>2657</v>
      </c>
      <c r="D469" s="446" t="s">
        <v>144</v>
      </c>
      <c r="E469" s="448">
        <v>284</v>
      </c>
      <c r="F469" s="448">
        <v>0.39</v>
      </c>
      <c r="G469" s="445">
        <f>E469*F469</f>
        <v>110.76</v>
      </c>
      <c r="H469" s="496">
        <f t="shared" si="21"/>
        <v>3.7298357164929894E-3</v>
      </c>
      <c r="I469" s="496">
        <f t="shared" si="23"/>
        <v>99.759954144449466</v>
      </c>
      <c r="J469" s="443" t="str">
        <f t="shared" si="22"/>
        <v>C</v>
      </c>
    </row>
    <row r="470" spans="1:10" s="220" customFormat="1" ht="28.5">
      <c r="A470" s="446" t="s">
        <v>2337</v>
      </c>
      <c r="B470" s="446" t="s">
        <v>119</v>
      </c>
      <c r="C470" s="447" t="s">
        <v>1025</v>
      </c>
      <c r="D470" s="446" t="s">
        <v>173</v>
      </c>
      <c r="E470" s="448">
        <v>6</v>
      </c>
      <c r="F470" s="448">
        <v>18.45</v>
      </c>
      <c r="G470" s="445">
        <f>E470*F470</f>
        <v>110.69999999999999</v>
      </c>
      <c r="H470" s="496">
        <f t="shared" si="21"/>
        <v>3.7278152204385504E-3</v>
      </c>
      <c r="I470" s="496">
        <f t="shared" si="23"/>
        <v>99.76368195966991</v>
      </c>
      <c r="J470" s="443" t="str">
        <f t="shared" si="22"/>
        <v>C</v>
      </c>
    </row>
    <row r="471" spans="1:10" s="220" customFormat="1" ht="14.25">
      <c r="A471" s="446" t="s">
        <v>933</v>
      </c>
      <c r="B471" s="446" t="s">
        <v>3006</v>
      </c>
      <c r="C471" s="447" t="s">
        <v>934</v>
      </c>
      <c r="D471" s="446" t="s">
        <v>167</v>
      </c>
      <c r="E471" s="448">
        <v>0.24179999999999999</v>
      </c>
      <c r="F471" s="448">
        <v>457</v>
      </c>
      <c r="G471" s="445">
        <f>E471*F471</f>
        <v>110.5026</v>
      </c>
      <c r="H471" s="496">
        <f t="shared" si="21"/>
        <v>3.7211677884194496E-3</v>
      </c>
      <c r="I471" s="496">
        <f t="shared" si="23"/>
        <v>99.767403127458323</v>
      </c>
      <c r="J471" s="443" t="str">
        <f t="shared" si="22"/>
        <v>C</v>
      </c>
    </row>
    <row r="472" spans="1:10" s="220" customFormat="1" ht="14.25">
      <c r="A472" s="446" t="s">
        <v>2578</v>
      </c>
      <c r="B472" s="446" t="s">
        <v>119</v>
      </c>
      <c r="C472" s="447" t="s">
        <v>2572</v>
      </c>
      <c r="D472" s="446" t="s">
        <v>200</v>
      </c>
      <c r="E472" s="448">
        <v>1.2876000000000001</v>
      </c>
      <c r="F472" s="448">
        <v>84.09</v>
      </c>
      <c r="G472" s="445">
        <f>E472*F472</f>
        <v>108.27428400000001</v>
      </c>
      <c r="H472" s="496">
        <f t="shared" si="21"/>
        <v>3.6461293936520898E-3</v>
      </c>
      <c r="I472" s="496">
        <f t="shared" si="23"/>
        <v>99.771049256851981</v>
      </c>
      <c r="J472" s="443" t="str">
        <f t="shared" si="22"/>
        <v>C</v>
      </c>
    </row>
    <row r="473" spans="1:10" s="220" customFormat="1" ht="14.25">
      <c r="A473" s="446" t="s">
        <v>1704</v>
      </c>
      <c r="B473" s="446" t="s">
        <v>119</v>
      </c>
      <c r="C473" s="447" t="s">
        <v>1705</v>
      </c>
      <c r="D473" s="446" t="s">
        <v>144</v>
      </c>
      <c r="E473" s="448">
        <v>19</v>
      </c>
      <c r="F473" s="448">
        <v>5.59</v>
      </c>
      <c r="G473" s="445">
        <f>E473*F473</f>
        <v>106.21</v>
      </c>
      <c r="H473" s="496">
        <f t="shared" si="21"/>
        <v>3.5766147656980897E-3</v>
      </c>
      <c r="I473" s="496">
        <f t="shared" si="23"/>
        <v>99.774625871617673</v>
      </c>
      <c r="J473" s="443" t="str">
        <f t="shared" si="22"/>
        <v>C</v>
      </c>
    </row>
    <row r="474" spans="1:10" s="220" customFormat="1" ht="14.25">
      <c r="A474" s="446" t="s">
        <v>1645</v>
      </c>
      <c r="B474" s="446" t="s">
        <v>119</v>
      </c>
      <c r="C474" s="447" t="s">
        <v>1646</v>
      </c>
      <c r="D474" s="446" t="s">
        <v>144</v>
      </c>
      <c r="E474" s="448">
        <v>12</v>
      </c>
      <c r="F474" s="448">
        <v>8.83</v>
      </c>
      <c r="G474" s="445">
        <f>E474*F474</f>
        <v>105.96000000000001</v>
      </c>
      <c r="H474" s="496">
        <f t="shared" si="21"/>
        <v>3.5681960321379304E-3</v>
      </c>
      <c r="I474" s="496">
        <f t="shared" si="23"/>
        <v>99.778194067649807</v>
      </c>
      <c r="J474" s="443" t="str">
        <f t="shared" si="22"/>
        <v>C</v>
      </c>
    </row>
    <row r="475" spans="1:10" s="220" customFormat="1" ht="14.25">
      <c r="A475" s="446" t="s">
        <v>3321</v>
      </c>
      <c r="B475" s="446" t="s">
        <v>119</v>
      </c>
      <c r="C475" s="447" t="s">
        <v>3322</v>
      </c>
      <c r="D475" s="446" t="s">
        <v>144</v>
      </c>
      <c r="E475" s="448">
        <v>5</v>
      </c>
      <c r="F475" s="448">
        <v>20.63</v>
      </c>
      <c r="G475" s="445">
        <f>E475*F475</f>
        <v>103.14999999999999</v>
      </c>
      <c r="H475" s="496">
        <f t="shared" si="21"/>
        <v>3.4735694669217397E-3</v>
      </c>
      <c r="I475" s="496">
        <f t="shared" si="23"/>
        <v>99.781667637116726</v>
      </c>
      <c r="J475" s="443" t="str">
        <f t="shared" si="22"/>
        <v>C</v>
      </c>
    </row>
    <row r="476" spans="1:10" s="220" customFormat="1" ht="14.25">
      <c r="A476" s="446" t="s">
        <v>3600</v>
      </c>
      <c r="B476" s="446" t="s">
        <v>2785</v>
      </c>
      <c r="C476" s="447" t="s">
        <v>3599</v>
      </c>
      <c r="D476" s="446" t="s">
        <v>173</v>
      </c>
      <c r="E476" s="448">
        <v>65</v>
      </c>
      <c r="F476" s="448">
        <v>1.58</v>
      </c>
      <c r="G476" s="445">
        <f>E476*F476</f>
        <v>102.7</v>
      </c>
      <c r="H476" s="496">
        <f t="shared" si="21"/>
        <v>3.4584157465134529E-3</v>
      </c>
      <c r="I476" s="496">
        <f t="shared" si="23"/>
        <v>99.785126052863234</v>
      </c>
      <c r="J476" s="443" t="str">
        <f t="shared" si="22"/>
        <v>C</v>
      </c>
    </row>
    <row r="477" spans="1:10" s="220" customFormat="1" ht="28.5">
      <c r="A477" s="446" t="s">
        <v>4118</v>
      </c>
      <c r="B477" s="446" t="s">
        <v>158</v>
      </c>
      <c r="C477" s="447" t="s">
        <v>4137</v>
      </c>
      <c r="D477" s="446" t="s">
        <v>107</v>
      </c>
      <c r="E477" s="448">
        <v>5.5427999999999997</v>
      </c>
      <c r="F477" s="448">
        <v>18.329999999999998</v>
      </c>
      <c r="G477" s="445">
        <f>E477*F477</f>
        <v>101.59952399999999</v>
      </c>
      <c r="H477" s="496">
        <f t="shared" si="21"/>
        <v>3.4213572895800525E-3</v>
      </c>
      <c r="I477" s="496">
        <f t="shared" si="23"/>
        <v>99.788547410152816</v>
      </c>
      <c r="J477" s="443" t="str">
        <f t="shared" si="22"/>
        <v>C</v>
      </c>
    </row>
    <row r="478" spans="1:10" s="220" customFormat="1" ht="14.25">
      <c r="A478" s="446" t="s">
        <v>1292</v>
      </c>
      <c r="B478" s="446" t="s">
        <v>119</v>
      </c>
      <c r="C478" s="447" t="s">
        <v>1293</v>
      </c>
      <c r="D478" s="446" t="s">
        <v>173</v>
      </c>
      <c r="E478" s="448">
        <v>2.9904999999999999</v>
      </c>
      <c r="F478" s="448">
        <v>33.54</v>
      </c>
      <c r="G478" s="445">
        <f>E478*F478</f>
        <v>100.30136999999999</v>
      </c>
      <c r="H478" s="496">
        <f t="shared" si="21"/>
        <v>3.3776420389958323E-3</v>
      </c>
      <c r="I478" s="496">
        <f t="shared" si="23"/>
        <v>99.791925052191814</v>
      </c>
      <c r="J478" s="443" t="str">
        <f t="shared" si="22"/>
        <v>C</v>
      </c>
    </row>
    <row r="479" spans="1:10" s="220" customFormat="1" ht="14.25">
      <c r="A479" s="446" t="s">
        <v>2741</v>
      </c>
      <c r="B479" s="446" t="s">
        <v>119</v>
      </c>
      <c r="C479" s="447" t="s">
        <v>2742</v>
      </c>
      <c r="D479" s="446" t="s">
        <v>107</v>
      </c>
      <c r="E479" s="448">
        <v>2.0332400000000002</v>
      </c>
      <c r="F479" s="448">
        <v>48.72</v>
      </c>
      <c r="G479" s="445">
        <f>E479*F479</f>
        <v>99.059452800000003</v>
      </c>
      <c r="H479" s="496">
        <f t="shared" si="21"/>
        <v>3.3358205589535165E-3</v>
      </c>
      <c r="I479" s="496">
        <f t="shared" si="23"/>
        <v>99.795260872750774</v>
      </c>
      <c r="J479" s="443" t="str">
        <f t="shared" si="22"/>
        <v>C</v>
      </c>
    </row>
    <row r="480" spans="1:10" s="220" customFormat="1" ht="14.25">
      <c r="A480" s="446" t="s">
        <v>1159</v>
      </c>
      <c r="B480" s="446" t="s">
        <v>158</v>
      </c>
      <c r="C480" s="447" t="s">
        <v>3165</v>
      </c>
      <c r="D480" s="446" t="s">
        <v>144</v>
      </c>
      <c r="E480" s="448">
        <v>1</v>
      </c>
      <c r="F480" s="448">
        <v>99</v>
      </c>
      <c r="G480" s="445">
        <f>E480*F480</f>
        <v>99</v>
      </c>
      <c r="H480" s="496">
        <f t="shared" si="21"/>
        <v>3.3338184898230945E-3</v>
      </c>
      <c r="I480" s="496">
        <f t="shared" si="23"/>
        <v>99.798594691240595</v>
      </c>
      <c r="J480" s="443" t="str">
        <f t="shared" si="22"/>
        <v>C</v>
      </c>
    </row>
    <row r="481" spans="1:10" s="220" customFormat="1" ht="28.5">
      <c r="A481" s="446" t="s">
        <v>404</v>
      </c>
      <c r="B481" s="446" t="s">
        <v>119</v>
      </c>
      <c r="C481" s="447" t="s">
        <v>405</v>
      </c>
      <c r="D481" s="446" t="s">
        <v>144</v>
      </c>
      <c r="E481" s="448">
        <v>2</v>
      </c>
      <c r="F481" s="448">
        <v>49.21</v>
      </c>
      <c r="G481" s="445">
        <f>E481*F481</f>
        <v>98.42</v>
      </c>
      <c r="H481" s="496">
        <f t="shared" si="21"/>
        <v>3.3142870279635251E-3</v>
      </c>
      <c r="I481" s="496">
        <f t="shared" si="23"/>
        <v>99.801908978268557</v>
      </c>
      <c r="J481" s="443" t="str">
        <f t="shared" si="22"/>
        <v>C</v>
      </c>
    </row>
    <row r="482" spans="1:10" s="220" customFormat="1" ht="28.5">
      <c r="A482" s="446" t="s">
        <v>3193</v>
      </c>
      <c r="B482" s="446" t="s">
        <v>3006</v>
      </c>
      <c r="C482" s="447" t="s">
        <v>3194</v>
      </c>
      <c r="D482" s="446" t="s">
        <v>200</v>
      </c>
      <c r="E482" s="448">
        <v>1.4503999999999999</v>
      </c>
      <c r="F482" s="448">
        <v>67.84</v>
      </c>
      <c r="G482" s="445">
        <f>E482*F482</f>
        <v>98.395135999999994</v>
      </c>
      <c r="H482" s="496">
        <f t="shared" si="21"/>
        <v>3.3134497343985658E-3</v>
      </c>
      <c r="I482" s="496">
        <f t="shared" si="23"/>
        <v>99.805222428002949</v>
      </c>
      <c r="J482" s="443" t="str">
        <f t="shared" si="22"/>
        <v>C</v>
      </c>
    </row>
    <row r="483" spans="1:10" s="220" customFormat="1" ht="14.25">
      <c r="A483" s="446" t="s">
        <v>712</v>
      </c>
      <c r="B483" s="446" t="s">
        <v>3006</v>
      </c>
      <c r="C483" s="447" t="s">
        <v>713</v>
      </c>
      <c r="D483" s="446" t="s">
        <v>144</v>
      </c>
      <c r="E483" s="448">
        <v>4</v>
      </c>
      <c r="F483" s="448">
        <v>24.5</v>
      </c>
      <c r="G483" s="445">
        <f>E483*F483</f>
        <v>98</v>
      </c>
      <c r="H483" s="496">
        <f t="shared" si="21"/>
        <v>3.3001435555824574E-3</v>
      </c>
      <c r="I483" s="496">
        <f t="shared" si="23"/>
        <v>99.808522571558527</v>
      </c>
      <c r="J483" s="443" t="str">
        <f t="shared" si="22"/>
        <v>C</v>
      </c>
    </row>
    <row r="484" spans="1:10" s="220" customFormat="1" ht="14.25">
      <c r="A484" s="446" t="s">
        <v>1029</v>
      </c>
      <c r="B484" s="446" t="s">
        <v>119</v>
      </c>
      <c r="C484" s="447" t="s">
        <v>1030</v>
      </c>
      <c r="D484" s="446" t="s">
        <v>144</v>
      </c>
      <c r="E484" s="448">
        <v>12</v>
      </c>
      <c r="F484" s="448">
        <v>8.06</v>
      </c>
      <c r="G484" s="445">
        <f>E484*F484</f>
        <v>96.72</v>
      </c>
      <c r="H484" s="496">
        <f t="shared" si="21"/>
        <v>3.2570396397544415E-3</v>
      </c>
      <c r="I484" s="496">
        <f t="shared" si="23"/>
        <v>99.811779611198276</v>
      </c>
      <c r="J484" s="443" t="str">
        <f t="shared" si="22"/>
        <v>C</v>
      </c>
    </row>
    <row r="485" spans="1:10" s="220" customFormat="1" ht="14.25">
      <c r="A485" s="446" t="s">
        <v>1529</v>
      </c>
      <c r="B485" s="446" t="s">
        <v>119</v>
      </c>
      <c r="C485" s="447" t="s">
        <v>3791</v>
      </c>
      <c r="D485" s="446" t="s">
        <v>144</v>
      </c>
      <c r="E485" s="448">
        <v>9.0866199999999999</v>
      </c>
      <c r="F485" s="448">
        <v>10.52</v>
      </c>
      <c r="G485" s="445">
        <f>E485*F485</f>
        <v>95.591242399999999</v>
      </c>
      <c r="H485" s="496">
        <f t="shared" si="21"/>
        <v>3.2190288018008216E-3</v>
      </c>
      <c r="I485" s="496">
        <f t="shared" si="23"/>
        <v>99.81499864000007</v>
      </c>
      <c r="J485" s="443" t="str">
        <f t="shared" si="22"/>
        <v>C</v>
      </c>
    </row>
    <row r="486" spans="1:10" s="220" customFormat="1" ht="14.25">
      <c r="A486" s="446" t="s">
        <v>3169</v>
      </c>
      <c r="B486" s="446" t="s">
        <v>119</v>
      </c>
      <c r="C486" s="447" t="s">
        <v>3170</v>
      </c>
      <c r="D486" s="446" t="s">
        <v>144</v>
      </c>
      <c r="E486" s="448">
        <v>7</v>
      </c>
      <c r="F486" s="448">
        <v>13.46</v>
      </c>
      <c r="G486" s="445">
        <f>E486*F486</f>
        <v>94.22</v>
      </c>
      <c r="H486" s="496">
        <f t="shared" si="21"/>
        <v>3.1728523041528482E-3</v>
      </c>
      <c r="I486" s="496">
        <f t="shared" si="23"/>
        <v>99.818171492304216</v>
      </c>
      <c r="J486" s="443" t="str">
        <f t="shared" si="22"/>
        <v>C</v>
      </c>
    </row>
    <row r="487" spans="1:10" s="220" customFormat="1" ht="14.25">
      <c r="A487" s="446" t="s">
        <v>1833</v>
      </c>
      <c r="B487" s="446" t="s">
        <v>119</v>
      </c>
      <c r="C487" s="447" t="s">
        <v>1834</v>
      </c>
      <c r="D487" s="446" t="s">
        <v>173</v>
      </c>
      <c r="E487" s="448">
        <v>4.8372729999999997</v>
      </c>
      <c r="F487" s="448">
        <v>19.47</v>
      </c>
      <c r="G487" s="445">
        <f>E487*F487</f>
        <v>94.181705309999984</v>
      </c>
      <c r="H487" s="496">
        <f t="shared" si="21"/>
        <v>3.1715627329853319E-3</v>
      </c>
      <c r="I487" s="496">
        <f t="shared" si="23"/>
        <v>99.821343055037204</v>
      </c>
      <c r="J487" s="443" t="str">
        <f t="shared" si="22"/>
        <v>C</v>
      </c>
    </row>
    <row r="488" spans="1:10" s="220" customFormat="1" ht="14.25">
      <c r="A488" s="446" t="s">
        <v>1659</v>
      </c>
      <c r="B488" s="446" t="s">
        <v>119</v>
      </c>
      <c r="C488" s="447" t="s">
        <v>1660</v>
      </c>
      <c r="D488" s="446" t="s">
        <v>144</v>
      </c>
      <c r="E488" s="448">
        <v>5</v>
      </c>
      <c r="F488" s="448">
        <v>18.66</v>
      </c>
      <c r="G488" s="445">
        <f>E488*F488</f>
        <v>93.3</v>
      </c>
      <c r="H488" s="496">
        <f t="shared" si="21"/>
        <v>3.1418713646514619E-3</v>
      </c>
      <c r="I488" s="496">
        <f t="shared" si="23"/>
        <v>99.824484926401851</v>
      </c>
      <c r="J488" s="443" t="str">
        <f t="shared" si="22"/>
        <v>C</v>
      </c>
    </row>
    <row r="489" spans="1:10" s="220" customFormat="1" ht="28.5">
      <c r="A489" s="446" t="s">
        <v>2216</v>
      </c>
      <c r="B489" s="446" t="s">
        <v>3006</v>
      </c>
      <c r="C489" s="447" t="s">
        <v>3166</v>
      </c>
      <c r="D489" s="446" t="s">
        <v>200</v>
      </c>
      <c r="E489" s="448">
        <v>11.286799999999999</v>
      </c>
      <c r="F489" s="448">
        <v>7.96</v>
      </c>
      <c r="G489" s="445">
        <f>E489*F489</f>
        <v>89.842928000000001</v>
      </c>
      <c r="H489" s="496">
        <f t="shared" si="21"/>
        <v>3.0254546923863131E-3</v>
      </c>
      <c r="I489" s="496">
        <f t="shared" si="23"/>
        <v>99.827510381094243</v>
      </c>
      <c r="J489" s="443" t="str">
        <f t="shared" si="22"/>
        <v>C</v>
      </c>
    </row>
    <row r="490" spans="1:10" s="220" customFormat="1" ht="14.25">
      <c r="A490" s="446" t="s">
        <v>4153</v>
      </c>
      <c r="B490" s="446" t="s">
        <v>119</v>
      </c>
      <c r="C490" s="447" t="s">
        <v>4154</v>
      </c>
      <c r="D490" s="446" t="s">
        <v>200</v>
      </c>
      <c r="E490" s="448">
        <v>298.23250000000002</v>
      </c>
      <c r="F490" s="448">
        <v>0.3</v>
      </c>
      <c r="G490" s="445">
        <f>E490*F490</f>
        <v>89.469750000000005</v>
      </c>
      <c r="H490" s="496">
        <f t="shared" si="21"/>
        <v>3.0128879477762608E-3</v>
      </c>
      <c r="I490" s="496">
        <f t="shared" si="23"/>
        <v>99.830523269042018</v>
      </c>
      <c r="J490" s="443" t="str">
        <f t="shared" si="22"/>
        <v>C</v>
      </c>
    </row>
    <row r="491" spans="1:10" s="220" customFormat="1" ht="28.5">
      <c r="A491" s="446" t="s">
        <v>3171</v>
      </c>
      <c r="B491" s="446" t="s">
        <v>119</v>
      </c>
      <c r="C491" s="447" t="s">
        <v>3172</v>
      </c>
      <c r="D491" s="446" t="s">
        <v>144</v>
      </c>
      <c r="E491" s="448">
        <v>1</v>
      </c>
      <c r="F491" s="448">
        <v>89.11</v>
      </c>
      <c r="G491" s="445">
        <f>E491*F491</f>
        <v>89.11</v>
      </c>
      <c r="H491" s="496">
        <f t="shared" si="21"/>
        <v>3.0007733901831917E-3</v>
      </c>
      <c r="I491" s="496">
        <f t="shared" si="23"/>
        <v>99.833524042432202</v>
      </c>
      <c r="J491" s="443" t="str">
        <f t="shared" si="22"/>
        <v>C</v>
      </c>
    </row>
    <row r="492" spans="1:10" s="220" customFormat="1" ht="14.25">
      <c r="A492" s="446" t="s">
        <v>1667</v>
      </c>
      <c r="B492" s="446" t="s">
        <v>119</v>
      </c>
      <c r="C492" s="447" t="s">
        <v>1668</v>
      </c>
      <c r="D492" s="446" t="s">
        <v>173</v>
      </c>
      <c r="E492" s="448">
        <v>12.859230999999999</v>
      </c>
      <c r="F492" s="448">
        <v>6.92</v>
      </c>
      <c r="G492" s="445">
        <f>E492*F492</f>
        <v>88.98587852</v>
      </c>
      <c r="H492" s="496">
        <f t="shared" si="21"/>
        <v>2.9965936075063413E-3</v>
      </c>
      <c r="I492" s="496">
        <f t="shared" si="23"/>
        <v>99.836520636039708</v>
      </c>
      <c r="J492" s="443" t="str">
        <f t="shared" si="22"/>
        <v>C</v>
      </c>
    </row>
    <row r="493" spans="1:10" s="220" customFormat="1" ht="28.5">
      <c r="A493" s="446" t="s">
        <v>1835</v>
      </c>
      <c r="B493" s="446" t="s">
        <v>3006</v>
      </c>
      <c r="C493" s="447" t="s">
        <v>3168</v>
      </c>
      <c r="D493" s="446" t="s">
        <v>144</v>
      </c>
      <c r="E493" s="448">
        <v>8</v>
      </c>
      <c r="F493" s="448">
        <v>10.73</v>
      </c>
      <c r="G493" s="445">
        <f>E493*F493</f>
        <v>85.84</v>
      </c>
      <c r="H493" s="496">
        <f t="shared" si="21"/>
        <v>2.8906563552163075E-3</v>
      </c>
      <c r="I493" s="496">
        <f t="shared" si="23"/>
        <v>99.839411292394928</v>
      </c>
      <c r="J493" s="443" t="str">
        <f t="shared" si="22"/>
        <v>C</v>
      </c>
    </row>
    <row r="494" spans="1:10" s="220" customFormat="1" ht="14.25">
      <c r="A494" s="446" t="s">
        <v>3914</v>
      </c>
      <c r="B494" s="446" t="s">
        <v>3396</v>
      </c>
      <c r="C494" s="447" t="s">
        <v>3908</v>
      </c>
      <c r="D494" s="446" t="s">
        <v>144</v>
      </c>
      <c r="E494" s="448">
        <v>0.72</v>
      </c>
      <c r="F494" s="448">
        <v>115.78</v>
      </c>
      <c r="G494" s="445">
        <f>E494*F494</f>
        <v>83.361599999999996</v>
      </c>
      <c r="H494" s="496">
        <f t="shared" si="21"/>
        <v>2.8071963981943118E-3</v>
      </c>
      <c r="I494" s="496">
        <f t="shared" si="23"/>
        <v>99.842218488793122</v>
      </c>
      <c r="J494" s="443" t="str">
        <f t="shared" si="22"/>
        <v>C</v>
      </c>
    </row>
    <row r="495" spans="1:10" s="220" customFormat="1" ht="14.25">
      <c r="A495" s="446" t="s">
        <v>1755</v>
      </c>
      <c r="B495" s="446" t="s">
        <v>119</v>
      </c>
      <c r="C495" s="447" t="s">
        <v>1756</v>
      </c>
      <c r="D495" s="446" t="s">
        <v>144</v>
      </c>
      <c r="E495" s="448">
        <v>8.8976000000000006</v>
      </c>
      <c r="F495" s="448">
        <v>9.24</v>
      </c>
      <c r="G495" s="445">
        <f>E495*F495</f>
        <v>82.213824000000002</v>
      </c>
      <c r="H495" s="496">
        <f t="shared" si="21"/>
        <v>2.7685451168713302E-3</v>
      </c>
      <c r="I495" s="496">
        <f t="shared" si="23"/>
        <v>99.844987033909987</v>
      </c>
      <c r="J495" s="443" t="str">
        <f t="shared" si="22"/>
        <v>C</v>
      </c>
    </row>
    <row r="496" spans="1:10" s="220" customFormat="1" ht="14.25">
      <c r="A496" s="446" t="s">
        <v>425</v>
      </c>
      <c r="B496" s="446" t="s">
        <v>119</v>
      </c>
      <c r="C496" s="447" t="s">
        <v>3167</v>
      </c>
      <c r="D496" s="446" t="s">
        <v>144</v>
      </c>
      <c r="E496" s="448">
        <v>25</v>
      </c>
      <c r="F496" s="448">
        <v>3.26</v>
      </c>
      <c r="G496" s="445">
        <f>E496*F496</f>
        <v>81.5</v>
      </c>
      <c r="H496" s="496">
        <f t="shared" si="21"/>
        <v>2.7445071406119416E-3</v>
      </c>
      <c r="I496" s="496">
        <f t="shared" si="23"/>
        <v>99.847731541050592</v>
      </c>
      <c r="J496" s="443" t="str">
        <f t="shared" si="22"/>
        <v>C</v>
      </c>
    </row>
    <row r="497" spans="1:10" s="220" customFormat="1" ht="14.25">
      <c r="A497" s="446" t="s">
        <v>1294</v>
      </c>
      <c r="B497" s="446" t="s">
        <v>119</v>
      </c>
      <c r="C497" s="447" t="s">
        <v>1295</v>
      </c>
      <c r="D497" s="446" t="s">
        <v>173</v>
      </c>
      <c r="E497" s="448">
        <v>0.94440000000000002</v>
      </c>
      <c r="F497" s="448">
        <v>85.83</v>
      </c>
      <c r="G497" s="445">
        <f>E497*F497</f>
        <v>81.057851999999997</v>
      </c>
      <c r="H497" s="496">
        <f t="shared" si="21"/>
        <v>2.7296178357873119E-3</v>
      </c>
      <c r="I497" s="496">
        <f t="shared" si="23"/>
        <v>99.850461158886375</v>
      </c>
      <c r="J497" s="443" t="str">
        <f t="shared" si="22"/>
        <v>C</v>
      </c>
    </row>
    <row r="498" spans="1:10" s="220" customFormat="1" ht="28.5">
      <c r="A498" s="446" t="s">
        <v>594</v>
      </c>
      <c r="B498" s="446" t="s">
        <v>3006</v>
      </c>
      <c r="C498" s="447" t="s">
        <v>3173</v>
      </c>
      <c r="D498" s="446" t="s">
        <v>315</v>
      </c>
      <c r="E498" s="448">
        <v>0.72624</v>
      </c>
      <c r="F498" s="448">
        <v>109.57</v>
      </c>
      <c r="G498" s="445">
        <f>E498*F498</f>
        <v>79.574116799999999</v>
      </c>
      <c r="H498" s="496">
        <f t="shared" si="21"/>
        <v>2.6796531504967936E-3</v>
      </c>
      <c r="I498" s="496">
        <f t="shared" si="23"/>
        <v>99.85314081203687</v>
      </c>
      <c r="J498" s="443" t="str">
        <f t="shared" si="22"/>
        <v>C</v>
      </c>
    </row>
    <row r="499" spans="1:10" s="220" customFormat="1" ht="28.5">
      <c r="A499" s="446" t="s">
        <v>1496</v>
      </c>
      <c r="B499" s="446" t="s">
        <v>119</v>
      </c>
      <c r="C499" s="447" t="s">
        <v>1497</v>
      </c>
      <c r="D499" s="446" t="s">
        <v>1457</v>
      </c>
      <c r="E499" s="448">
        <v>1.492974</v>
      </c>
      <c r="F499" s="448">
        <v>52.07</v>
      </c>
      <c r="G499" s="445">
        <f>E499*F499</f>
        <v>77.739156179999995</v>
      </c>
      <c r="H499" s="496">
        <f t="shared" si="21"/>
        <v>2.6178609722841339E-3</v>
      </c>
      <c r="I499" s="496">
        <f t="shared" si="23"/>
        <v>99.855758673009149</v>
      </c>
      <c r="J499" s="443" t="str">
        <f t="shared" si="22"/>
        <v>C</v>
      </c>
    </row>
    <row r="500" spans="1:10" s="220" customFormat="1" ht="14.25">
      <c r="A500" s="446" t="s">
        <v>1635</v>
      </c>
      <c r="B500" s="446" t="s">
        <v>119</v>
      </c>
      <c r="C500" s="447" t="s">
        <v>1636</v>
      </c>
      <c r="D500" s="446" t="s">
        <v>144</v>
      </c>
      <c r="E500" s="448">
        <v>8</v>
      </c>
      <c r="F500" s="448">
        <v>9.6999999999999993</v>
      </c>
      <c r="G500" s="445">
        <f>E500*F500</f>
        <v>77.599999999999994</v>
      </c>
      <c r="H500" s="496">
        <f t="shared" si="21"/>
        <v>2.6131748970734557E-3</v>
      </c>
      <c r="I500" s="496">
        <f t="shared" si="23"/>
        <v>99.858371847906227</v>
      </c>
      <c r="J500" s="443" t="str">
        <f t="shared" si="22"/>
        <v>C</v>
      </c>
    </row>
    <row r="501" spans="1:10" s="220" customFormat="1" ht="14.25">
      <c r="A501" s="446" t="s">
        <v>943</v>
      </c>
      <c r="B501" s="446" t="s">
        <v>3006</v>
      </c>
      <c r="C501" s="447" t="s">
        <v>944</v>
      </c>
      <c r="D501" s="446" t="s">
        <v>144</v>
      </c>
      <c r="E501" s="448">
        <v>4</v>
      </c>
      <c r="F501" s="448">
        <v>18.95</v>
      </c>
      <c r="G501" s="445">
        <f>E501*F501</f>
        <v>75.8</v>
      </c>
      <c r="H501" s="496">
        <f t="shared" si="21"/>
        <v>2.5525600154403089E-3</v>
      </c>
      <c r="I501" s="496">
        <f t="shared" si="23"/>
        <v>99.860924407921672</v>
      </c>
      <c r="J501" s="443" t="str">
        <f t="shared" si="22"/>
        <v>C</v>
      </c>
    </row>
    <row r="502" spans="1:10" s="220" customFormat="1" ht="14.25">
      <c r="A502" s="446" t="s">
        <v>2325</v>
      </c>
      <c r="B502" s="446" t="s">
        <v>119</v>
      </c>
      <c r="C502" s="447" t="s">
        <v>2326</v>
      </c>
      <c r="D502" s="446" t="s">
        <v>167</v>
      </c>
      <c r="E502" s="448">
        <v>4.3200000000000002E-2</v>
      </c>
      <c r="F502" s="448">
        <v>1751.07</v>
      </c>
      <c r="G502" s="445">
        <f>E502*F502</f>
        <v>75.646224000000004</v>
      </c>
      <c r="H502" s="496">
        <f t="shared" si="21"/>
        <v>2.5473816187525206E-3</v>
      </c>
      <c r="I502" s="496">
        <f t="shared" si="23"/>
        <v>99.863471789540426</v>
      </c>
      <c r="J502" s="443" t="str">
        <f t="shared" si="22"/>
        <v>C</v>
      </c>
    </row>
    <row r="503" spans="1:10" s="220" customFormat="1" ht="14.25">
      <c r="A503" s="446" t="s">
        <v>2321</v>
      </c>
      <c r="B503" s="446" t="s">
        <v>119</v>
      </c>
      <c r="C503" s="447" t="s">
        <v>2322</v>
      </c>
      <c r="D503" s="446" t="s">
        <v>173</v>
      </c>
      <c r="E503" s="448">
        <v>107.06175</v>
      </c>
      <c r="F503" s="448">
        <v>0.69</v>
      </c>
      <c r="G503" s="445">
        <f>E503*F503</f>
        <v>73.872607500000001</v>
      </c>
      <c r="H503" s="496">
        <f t="shared" si="21"/>
        <v>2.4876551997469114E-3</v>
      </c>
      <c r="I503" s="496">
        <f t="shared" si="23"/>
        <v>99.86595944474017</v>
      </c>
      <c r="J503" s="443" t="str">
        <f t="shared" si="22"/>
        <v>C</v>
      </c>
    </row>
    <row r="504" spans="1:10" s="220" customFormat="1" ht="28.5">
      <c r="A504" s="446" t="s">
        <v>1101</v>
      </c>
      <c r="B504" s="446" t="s">
        <v>3006</v>
      </c>
      <c r="C504" s="447" t="s">
        <v>3174</v>
      </c>
      <c r="D504" s="446" t="s">
        <v>144</v>
      </c>
      <c r="E504" s="448">
        <v>0.4</v>
      </c>
      <c r="F504" s="448">
        <v>184.63</v>
      </c>
      <c r="G504" s="445">
        <f>E504*F504</f>
        <v>73.852000000000004</v>
      </c>
      <c r="H504" s="496">
        <f t="shared" si="21"/>
        <v>2.4869612435395477E-3</v>
      </c>
      <c r="I504" s="496">
        <f t="shared" si="23"/>
        <v>99.868446405983704</v>
      </c>
      <c r="J504" s="443" t="str">
        <f t="shared" si="22"/>
        <v>C</v>
      </c>
    </row>
    <row r="505" spans="1:10" s="220" customFormat="1" ht="14.25">
      <c r="A505" s="446" t="s">
        <v>1032</v>
      </c>
      <c r="B505" s="446" t="s">
        <v>119</v>
      </c>
      <c r="C505" s="447" t="s">
        <v>3177</v>
      </c>
      <c r="D505" s="446" t="s">
        <v>144</v>
      </c>
      <c r="E505" s="448">
        <v>3</v>
      </c>
      <c r="F505" s="448">
        <v>24.54</v>
      </c>
      <c r="G505" s="445">
        <f>E505*F505</f>
        <v>73.62</v>
      </c>
      <c r="H505" s="496">
        <f t="shared" si="21"/>
        <v>2.4791486587957194E-3</v>
      </c>
      <c r="I505" s="496">
        <f t="shared" si="23"/>
        <v>99.870925554642497</v>
      </c>
      <c r="J505" s="443" t="str">
        <f t="shared" si="22"/>
        <v>C</v>
      </c>
    </row>
    <row r="506" spans="1:10" s="220" customFormat="1" ht="14.25">
      <c r="A506" s="446" t="s">
        <v>2587</v>
      </c>
      <c r="B506" s="446" t="s">
        <v>119</v>
      </c>
      <c r="C506" s="447" t="s">
        <v>2586</v>
      </c>
      <c r="D506" s="446" t="s">
        <v>200</v>
      </c>
      <c r="E506" s="448">
        <v>2.0760000000000001</v>
      </c>
      <c r="F506" s="448">
        <v>34.36</v>
      </c>
      <c r="G506" s="445">
        <f>E506*F506</f>
        <v>71.331360000000004</v>
      </c>
      <c r="H506" s="496">
        <f t="shared" si="21"/>
        <v>2.4020788572952272E-3</v>
      </c>
      <c r="I506" s="496">
        <f t="shared" si="23"/>
        <v>99.873327633499798</v>
      </c>
      <c r="J506" s="443" t="str">
        <f t="shared" si="22"/>
        <v>C</v>
      </c>
    </row>
    <row r="507" spans="1:10" s="220" customFormat="1" ht="14.25">
      <c r="A507" s="446" t="s">
        <v>3175</v>
      </c>
      <c r="B507" s="446" t="s">
        <v>158</v>
      </c>
      <c r="C507" s="447" t="s">
        <v>3176</v>
      </c>
      <c r="D507" s="446" t="s">
        <v>144</v>
      </c>
      <c r="E507" s="448">
        <v>12.63735</v>
      </c>
      <c r="F507" s="448">
        <v>5.6</v>
      </c>
      <c r="G507" s="445">
        <f>E507*F507</f>
        <v>70.769159999999999</v>
      </c>
      <c r="H507" s="496">
        <f t="shared" si="21"/>
        <v>2.3831468092651411E-3</v>
      </c>
      <c r="I507" s="496">
        <f t="shared" si="23"/>
        <v>99.875710780309063</v>
      </c>
      <c r="J507" s="443" t="str">
        <f t="shared" si="22"/>
        <v>C</v>
      </c>
    </row>
    <row r="508" spans="1:10" s="220" customFormat="1" ht="14.25">
      <c r="A508" s="446" t="s">
        <v>1623</v>
      </c>
      <c r="B508" s="446" t="s">
        <v>119</v>
      </c>
      <c r="C508" s="447" t="s">
        <v>1624</v>
      </c>
      <c r="D508" s="446" t="s">
        <v>144</v>
      </c>
      <c r="E508" s="448">
        <v>15</v>
      </c>
      <c r="F508" s="448">
        <v>4.55</v>
      </c>
      <c r="G508" s="445">
        <f>E508*F508</f>
        <v>68.25</v>
      </c>
      <c r="H508" s="496">
        <f t="shared" si="21"/>
        <v>2.2983142619234969E-3</v>
      </c>
      <c r="I508" s="496">
        <f t="shared" si="23"/>
        <v>99.878009094570984</v>
      </c>
      <c r="J508" s="443" t="str">
        <f t="shared" si="22"/>
        <v>C</v>
      </c>
    </row>
    <row r="509" spans="1:10" s="220" customFormat="1" ht="14.25">
      <c r="A509" s="446" t="s">
        <v>3685</v>
      </c>
      <c r="B509" s="446" t="s">
        <v>158</v>
      </c>
      <c r="C509" s="447" t="s">
        <v>3755</v>
      </c>
      <c r="D509" s="446" t="s">
        <v>139</v>
      </c>
      <c r="E509" s="448">
        <v>0.48344999999999999</v>
      </c>
      <c r="F509" s="448">
        <v>140.66999999999999</v>
      </c>
      <c r="G509" s="445">
        <f>E509*F509</f>
        <v>68.006911499999987</v>
      </c>
      <c r="H509" s="496">
        <f t="shared" si="21"/>
        <v>2.2901282726713415E-3</v>
      </c>
      <c r="I509" s="496">
        <f t="shared" si="23"/>
        <v>99.880299222843661</v>
      </c>
      <c r="J509" s="443" t="str">
        <f t="shared" si="22"/>
        <v>C</v>
      </c>
    </row>
    <row r="510" spans="1:10" s="220" customFormat="1" ht="28.5">
      <c r="A510" s="446" t="s">
        <v>1164</v>
      </c>
      <c r="B510" s="446" t="s">
        <v>158</v>
      </c>
      <c r="C510" s="447" t="s">
        <v>3792</v>
      </c>
      <c r="D510" s="446" t="s">
        <v>144</v>
      </c>
      <c r="E510" s="448">
        <v>1</v>
      </c>
      <c r="F510" s="448">
        <v>66.709999999999994</v>
      </c>
      <c r="G510" s="445">
        <f>E510*F510</f>
        <v>66.709999999999994</v>
      </c>
      <c r="H510" s="496">
        <f t="shared" si="21"/>
        <v>2.2464548631929153E-3</v>
      </c>
      <c r="I510" s="496">
        <f t="shared" si="23"/>
        <v>99.882545677706858</v>
      </c>
      <c r="J510" s="443" t="str">
        <f t="shared" si="22"/>
        <v>C</v>
      </c>
    </row>
    <row r="511" spans="1:10" s="220" customFormat="1" ht="14.25">
      <c r="A511" s="446" t="s">
        <v>3861</v>
      </c>
      <c r="B511" s="446" t="s">
        <v>158</v>
      </c>
      <c r="C511" s="447" t="s">
        <v>3862</v>
      </c>
      <c r="D511" s="446" t="s">
        <v>144</v>
      </c>
      <c r="E511" s="448">
        <v>1</v>
      </c>
      <c r="F511" s="448">
        <v>66.7</v>
      </c>
      <c r="G511" s="445">
        <f>E511*F511</f>
        <v>66.7</v>
      </c>
      <c r="H511" s="496">
        <f t="shared" si="21"/>
        <v>2.2461181138505094E-3</v>
      </c>
      <c r="I511" s="496">
        <f t="shared" si="23"/>
        <v>99.884791795820703</v>
      </c>
      <c r="J511" s="443" t="str">
        <f t="shared" si="22"/>
        <v>C</v>
      </c>
    </row>
    <row r="512" spans="1:10" s="220" customFormat="1" ht="14.25">
      <c r="A512" s="446" t="s">
        <v>2452</v>
      </c>
      <c r="B512" s="446" t="s">
        <v>119</v>
      </c>
      <c r="C512" s="447" t="s">
        <v>2453</v>
      </c>
      <c r="D512" s="446" t="s">
        <v>144</v>
      </c>
      <c r="E512" s="448">
        <v>5</v>
      </c>
      <c r="F512" s="448">
        <v>13.23</v>
      </c>
      <c r="G512" s="445">
        <f>E512*F512</f>
        <v>66.150000000000006</v>
      </c>
      <c r="H512" s="496">
        <f t="shared" si="21"/>
        <v>2.227596900018159E-3</v>
      </c>
      <c r="I512" s="496">
        <f t="shared" si="23"/>
        <v>99.887019392720717</v>
      </c>
      <c r="J512" s="443" t="str">
        <f t="shared" si="22"/>
        <v>C</v>
      </c>
    </row>
    <row r="513" spans="1:10" s="220" customFormat="1" ht="28.5">
      <c r="A513" s="446" t="s">
        <v>1718</v>
      </c>
      <c r="B513" s="446" t="s">
        <v>119</v>
      </c>
      <c r="C513" s="447" t="s">
        <v>1719</v>
      </c>
      <c r="D513" s="446" t="s">
        <v>144</v>
      </c>
      <c r="E513" s="448">
        <v>48</v>
      </c>
      <c r="F513" s="448">
        <v>1.36</v>
      </c>
      <c r="G513" s="445">
        <f>E513*F513</f>
        <v>65.28</v>
      </c>
      <c r="H513" s="496">
        <f t="shared" si="21"/>
        <v>2.1982997072288041E-3</v>
      </c>
      <c r="I513" s="496">
        <f t="shared" si="23"/>
        <v>99.889217692427948</v>
      </c>
      <c r="J513" s="443" t="str">
        <f t="shared" si="22"/>
        <v>C</v>
      </c>
    </row>
    <row r="514" spans="1:10" s="220" customFormat="1" ht="28.5">
      <c r="A514" s="446" t="s">
        <v>2643</v>
      </c>
      <c r="B514" s="446" t="s">
        <v>119</v>
      </c>
      <c r="C514" s="447" t="s">
        <v>2644</v>
      </c>
      <c r="D514" s="446" t="s">
        <v>144</v>
      </c>
      <c r="E514" s="448">
        <v>20</v>
      </c>
      <c r="F514" s="448">
        <v>3.24</v>
      </c>
      <c r="G514" s="445">
        <f>E514*F514</f>
        <v>64.800000000000011</v>
      </c>
      <c r="H514" s="496">
        <f t="shared" si="21"/>
        <v>2.1821357387932987E-3</v>
      </c>
      <c r="I514" s="496">
        <f t="shared" si="23"/>
        <v>99.89139982816674</v>
      </c>
      <c r="J514" s="443" t="str">
        <f t="shared" si="22"/>
        <v>C</v>
      </c>
    </row>
    <row r="515" spans="1:10" s="220" customFormat="1" ht="14.25">
      <c r="A515" s="446" t="s">
        <v>1657</v>
      </c>
      <c r="B515" s="446" t="s">
        <v>119</v>
      </c>
      <c r="C515" s="447" t="s">
        <v>1658</v>
      </c>
      <c r="D515" s="446" t="s">
        <v>144</v>
      </c>
      <c r="E515" s="448">
        <v>16</v>
      </c>
      <c r="F515" s="448">
        <v>4.05</v>
      </c>
      <c r="G515" s="445">
        <f>E515*F515</f>
        <v>64.8</v>
      </c>
      <c r="H515" s="496">
        <f t="shared" si="21"/>
        <v>2.1821357387932982E-3</v>
      </c>
      <c r="I515" s="496">
        <f t="shared" si="23"/>
        <v>99.893581963905532</v>
      </c>
      <c r="J515" s="443" t="str">
        <f t="shared" si="22"/>
        <v>C</v>
      </c>
    </row>
    <row r="516" spans="1:10" s="220" customFormat="1" ht="14.25">
      <c r="A516" s="446" t="s">
        <v>1039</v>
      </c>
      <c r="B516" s="446" t="s">
        <v>119</v>
      </c>
      <c r="C516" s="447" t="s">
        <v>1040</v>
      </c>
      <c r="D516" s="446" t="s">
        <v>144</v>
      </c>
      <c r="E516" s="448">
        <v>3</v>
      </c>
      <c r="F516" s="448">
        <v>21.12</v>
      </c>
      <c r="G516" s="445">
        <f>E516*F516</f>
        <v>63.36</v>
      </c>
      <c r="H516" s="496">
        <f t="shared" si="21"/>
        <v>2.1336438334867806E-3</v>
      </c>
      <c r="I516" s="496">
        <f t="shared" si="23"/>
        <v>99.895715607739021</v>
      </c>
      <c r="J516" s="443" t="str">
        <f t="shared" si="22"/>
        <v>C</v>
      </c>
    </row>
    <row r="517" spans="1:10" s="220" customFormat="1" ht="14.25">
      <c r="A517" s="446" t="s">
        <v>714</v>
      </c>
      <c r="B517" s="446" t="s">
        <v>3006</v>
      </c>
      <c r="C517" s="447" t="s">
        <v>715</v>
      </c>
      <c r="D517" s="446" t="s">
        <v>144</v>
      </c>
      <c r="E517" s="448">
        <v>1</v>
      </c>
      <c r="F517" s="448">
        <v>61.93</v>
      </c>
      <c r="G517" s="445">
        <f>E517*F517</f>
        <v>61.93</v>
      </c>
      <c r="H517" s="496">
        <f t="shared" si="21"/>
        <v>2.085488677522669E-3</v>
      </c>
      <c r="I517" s="496">
        <f t="shared" si="23"/>
        <v>99.897801096416543</v>
      </c>
      <c r="J517" s="443" t="str">
        <f t="shared" si="22"/>
        <v>C</v>
      </c>
    </row>
    <row r="518" spans="1:10" s="220" customFormat="1" ht="28.5">
      <c r="A518" s="446" t="s">
        <v>2997</v>
      </c>
      <c r="B518" s="446" t="s">
        <v>3006</v>
      </c>
      <c r="C518" s="447" t="s">
        <v>3192</v>
      </c>
      <c r="D518" s="446" t="s">
        <v>107</v>
      </c>
      <c r="E518" s="448">
        <v>3</v>
      </c>
      <c r="F518" s="448">
        <v>20.41</v>
      </c>
      <c r="G518" s="445">
        <f>E518*F518</f>
        <v>61.230000000000004</v>
      </c>
      <c r="H518" s="496">
        <f t="shared" si="21"/>
        <v>2.0619162235542229E-3</v>
      </c>
      <c r="I518" s="496">
        <f t="shared" si="23"/>
        <v>99.899863012640097</v>
      </c>
      <c r="J518" s="443" t="str">
        <f t="shared" si="22"/>
        <v>C</v>
      </c>
    </row>
    <row r="519" spans="1:10" s="220" customFormat="1" ht="14.25">
      <c r="A519" s="446" t="s">
        <v>3763</v>
      </c>
      <c r="B519" s="446" t="s">
        <v>3396</v>
      </c>
      <c r="C519" s="447" t="s">
        <v>3764</v>
      </c>
      <c r="D519" s="446" t="s">
        <v>167</v>
      </c>
      <c r="E519" s="448">
        <v>0.38976</v>
      </c>
      <c r="F519" s="448">
        <v>156.6</v>
      </c>
      <c r="G519" s="445">
        <f>E519*F519</f>
        <v>61.036415999999996</v>
      </c>
      <c r="H519" s="496">
        <f t="shared" si="21"/>
        <v>2.0553972950841837E-3</v>
      </c>
      <c r="I519" s="496">
        <f t="shared" si="23"/>
        <v>99.901918409935178</v>
      </c>
      <c r="J519" s="443" t="str">
        <f t="shared" si="22"/>
        <v>C</v>
      </c>
    </row>
    <row r="520" spans="1:10" s="220" customFormat="1" ht="28.5">
      <c r="A520" s="446" t="s">
        <v>2343</v>
      </c>
      <c r="B520" s="446" t="s">
        <v>119</v>
      </c>
      <c r="C520" s="447" t="s">
        <v>2344</v>
      </c>
      <c r="D520" s="446" t="s">
        <v>144</v>
      </c>
      <c r="E520" s="448">
        <v>1</v>
      </c>
      <c r="F520" s="448">
        <v>60.7</v>
      </c>
      <c r="G520" s="445">
        <f>E520*F520</f>
        <v>60.7</v>
      </c>
      <c r="H520" s="496">
        <f t="shared" si="21"/>
        <v>2.0440685084066853E-3</v>
      </c>
      <c r="I520" s="496">
        <f t="shared" si="23"/>
        <v>99.903962478443589</v>
      </c>
      <c r="J520" s="443" t="str">
        <f t="shared" si="22"/>
        <v>C</v>
      </c>
    </row>
    <row r="521" spans="1:10" s="220" customFormat="1" ht="14.25">
      <c r="A521" s="446" t="s">
        <v>1291</v>
      </c>
      <c r="B521" s="446" t="s">
        <v>119</v>
      </c>
      <c r="C521" s="447" t="s">
        <v>3828</v>
      </c>
      <c r="D521" s="446" t="s">
        <v>144</v>
      </c>
      <c r="E521" s="448">
        <v>1</v>
      </c>
      <c r="F521" s="448">
        <v>60.69</v>
      </c>
      <c r="G521" s="445">
        <f>E521*F521</f>
        <v>60.69</v>
      </c>
      <c r="H521" s="496">
        <f t="shared" ref="H521:H584" si="24">(G521*100)/SUM($G$8:$G$628)</f>
        <v>2.0437317590642789E-3</v>
      </c>
      <c r="I521" s="496">
        <f t="shared" si="23"/>
        <v>99.906006210202648</v>
      </c>
      <c r="J521" s="443" t="str">
        <f t="shared" ref="J521:J584" si="25">IF(I521&lt;80,"A",IF(I521&lt;95,"B","C"))</f>
        <v>C</v>
      </c>
    </row>
    <row r="522" spans="1:10" s="220" customFormat="1" ht="28.5">
      <c r="A522" s="446" t="s">
        <v>1470</v>
      </c>
      <c r="B522" s="446" t="s">
        <v>119</v>
      </c>
      <c r="C522" s="447" t="s">
        <v>1471</v>
      </c>
      <c r="D522" s="446" t="s">
        <v>173</v>
      </c>
      <c r="E522" s="448">
        <v>24.6708</v>
      </c>
      <c r="F522" s="448">
        <v>2.4500000000000002</v>
      </c>
      <c r="G522" s="445">
        <f>E522*F522</f>
        <v>60.443460000000002</v>
      </c>
      <c r="H522" s="496">
        <f t="shared" si="24"/>
        <v>2.0354295407765924E-3</v>
      </c>
      <c r="I522" s="496">
        <f t="shared" ref="I522:I585" si="26">H522+I521</f>
        <v>99.908041639743431</v>
      </c>
      <c r="J522" s="443" t="str">
        <f t="shared" si="25"/>
        <v>C</v>
      </c>
    </row>
    <row r="523" spans="1:10" s="220" customFormat="1" ht="14.25">
      <c r="A523" s="446" t="s">
        <v>1280</v>
      </c>
      <c r="B523" s="446" t="s">
        <v>119</v>
      </c>
      <c r="C523" s="447" t="s">
        <v>1281</v>
      </c>
      <c r="D523" s="446" t="s">
        <v>144</v>
      </c>
      <c r="E523" s="448">
        <v>1.5933999999999999</v>
      </c>
      <c r="F523" s="448">
        <v>37.36</v>
      </c>
      <c r="G523" s="445">
        <f>E523*F523</f>
        <v>59.529423999999999</v>
      </c>
      <c r="H523" s="496">
        <f t="shared" si="24"/>
        <v>2.004649438583017E-3</v>
      </c>
      <c r="I523" s="496">
        <f t="shared" si="26"/>
        <v>99.91004628918202</v>
      </c>
      <c r="J523" s="443" t="str">
        <f t="shared" si="25"/>
        <v>C</v>
      </c>
    </row>
    <row r="524" spans="1:10" s="220" customFormat="1" ht="28.5">
      <c r="A524" s="446" t="s">
        <v>600</v>
      </c>
      <c r="B524" s="446" t="s">
        <v>3006</v>
      </c>
      <c r="C524" s="447" t="s">
        <v>3180</v>
      </c>
      <c r="D524" s="446" t="s">
        <v>144</v>
      </c>
      <c r="E524" s="448">
        <v>0.89759999999999995</v>
      </c>
      <c r="F524" s="448">
        <v>66.19</v>
      </c>
      <c r="G524" s="445">
        <f>E524*F524</f>
        <v>59.412143999999998</v>
      </c>
      <c r="H524" s="496">
        <f t="shared" si="24"/>
        <v>2.0007000422952751E-3</v>
      </c>
      <c r="I524" s="496">
        <f t="shared" si="26"/>
        <v>99.912046989224322</v>
      </c>
      <c r="J524" s="443" t="str">
        <f t="shared" si="25"/>
        <v>C</v>
      </c>
    </row>
    <row r="525" spans="1:10" s="220" customFormat="1" ht="14.25">
      <c r="A525" s="446" t="s">
        <v>1284</v>
      </c>
      <c r="B525" s="446" t="s">
        <v>119</v>
      </c>
      <c r="C525" s="447" t="s">
        <v>1285</v>
      </c>
      <c r="D525" s="446" t="s">
        <v>144</v>
      </c>
      <c r="E525" s="448">
        <v>2</v>
      </c>
      <c r="F525" s="448">
        <v>29.49</v>
      </c>
      <c r="G525" s="445">
        <f>E525*F525</f>
        <v>58.98</v>
      </c>
      <c r="H525" s="496">
        <f t="shared" si="24"/>
        <v>1.9861476215127889E-3</v>
      </c>
      <c r="I525" s="496">
        <f t="shared" si="26"/>
        <v>99.914033136845831</v>
      </c>
      <c r="J525" s="443" t="str">
        <f t="shared" si="25"/>
        <v>C</v>
      </c>
    </row>
    <row r="526" spans="1:10" s="220" customFormat="1" ht="14.25">
      <c r="A526" s="446" t="s">
        <v>3178</v>
      </c>
      <c r="B526" s="446" t="s">
        <v>119</v>
      </c>
      <c r="C526" s="447" t="s">
        <v>3179</v>
      </c>
      <c r="D526" s="446" t="s">
        <v>173</v>
      </c>
      <c r="E526" s="448">
        <v>6.1528499999999999</v>
      </c>
      <c r="F526" s="448">
        <v>9.49</v>
      </c>
      <c r="G526" s="445">
        <f>E526*F526</f>
        <v>58.390546499999999</v>
      </c>
      <c r="H526" s="496">
        <f t="shared" si="24"/>
        <v>1.9662978136623754E-3</v>
      </c>
      <c r="I526" s="496">
        <f t="shared" si="26"/>
        <v>99.915999434659497</v>
      </c>
      <c r="J526" s="443" t="str">
        <f t="shared" si="25"/>
        <v>C</v>
      </c>
    </row>
    <row r="527" spans="1:10" s="220" customFormat="1" ht="14.25">
      <c r="A527" s="446" t="s">
        <v>4187</v>
      </c>
      <c r="B527" s="446" t="s">
        <v>119</v>
      </c>
      <c r="C527" s="447" t="s">
        <v>4188</v>
      </c>
      <c r="D527" s="446" t="s">
        <v>200</v>
      </c>
      <c r="E527" s="448">
        <v>1.0176000000000001</v>
      </c>
      <c r="F527" s="448">
        <v>55.21</v>
      </c>
      <c r="G527" s="445">
        <f>E527*F527</f>
        <v>56.181696000000002</v>
      </c>
      <c r="H527" s="496">
        <f t="shared" si="24"/>
        <v>1.8919149183274767E-3</v>
      </c>
      <c r="I527" s="496">
        <f t="shared" si="26"/>
        <v>99.917891349577829</v>
      </c>
      <c r="J527" s="443" t="str">
        <f t="shared" si="25"/>
        <v>C</v>
      </c>
    </row>
    <row r="528" spans="1:10" s="220" customFormat="1" ht="14.25">
      <c r="A528" s="446" t="s">
        <v>3181</v>
      </c>
      <c r="B528" s="446" t="s">
        <v>119</v>
      </c>
      <c r="C528" s="447" t="s">
        <v>3182</v>
      </c>
      <c r="D528" s="446" t="s">
        <v>107</v>
      </c>
      <c r="E528" s="448">
        <v>1.9541999999999999</v>
      </c>
      <c r="F528" s="448">
        <v>27.95</v>
      </c>
      <c r="G528" s="445">
        <f>E528*F528</f>
        <v>54.619889999999998</v>
      </c>
      <c r="H528" s="496">
        <f t="shared" si="24"/>
        <v>1.8393212039808438E-3</v>
      </c>
      <c r="I528" s="496">
        <f t="shared" si="26"/>
        <v>99.919730670781803</v>
      </c>
      <c r="J528" s="443" t="str">
        <f t="shared" si="25"/>
        <v>C</v>
      </c>
    </row>
    <row r="529" spans="1:10" s="220" customFormat="1" ht="14.25">
      <c r="A529" s="446" t="s">
        <v>2351</v>
      </c>
      <c r="B529" s="446" t="s">
        <v>119</v>
      </c>
      <c r="C529" s="447" t="s">
        <v>2352</v>
      </c>
      <c r="D529" s="446" t="s">
        <v>144</v>
      </c>
      <c r="E529" s="448">
        <v>2</v>
      </c>
      <c r="F529" s="448">
        <v>26.87</v>
      </c>
      <c r="G529" s="445">
        <f>E529*F529</f>
        <v>53.74</v>
      </c>
      <c r="H529" s="496">
        <f t="shared" si="24"/>
        <v>1.8096909660918496E-3</v>
      </c>
      <c r="I529" s="496">
        <f t="shared" si="26"/>
        <v>99.921540361747901</v>
      </c>
      <c r="J529" s="443" t="str">
        <f t="shared" si="25"/>
        <v>C</v>
      </c>
    </row>
    <row r="530" spans="1:10" s="220" customFormat="1" ht="14.25">
      <c r="A530" s="446" t="s">
        <v>3323</v>
      </c>
      <c r="B530" s="446" t="s">
        <v>119</v>
      </c>
      <c r="C530" s="447" t="s">
        <v>3399</v>
      </c>
      <c r="D530" s="446" t="s">
        <v>144</v>
      </c>
      <c r="E530" s="448">
        <v>3</v>
      </c>
      <c r="F530" s="448">
        <v>17.89</v>
      </c>
      <c r="G530" s="445">
        <f>E530*F530</f>
        <v>53.67</v>
      </c>
      <c r="H530" s="496">
        <f t="shared" si="24"/>
        <v>1.8073337206950049E-3</v>
      </c>
      <c r="I530" s="496">
        <f t="shared" si="26"/>
        <v>99.923347695468593</v>
      </c>
      <c r="J530" s="443" t="str">
        <f t="shared" si="25"/>
        <v>C</v>
      </c>
    </row>
    <row r="531" spans="1:10" s="220" customFormat="1" ht="14.25">
      <c r="A531" s="446" t="s">
        <v>2442</v>
      </c>
      <c r="B531" s="446" t="s">
        <v>119</v>
      </c>
      <c r="C531" s="447" t="s">
        <v>2443</v>
      </c>
      <c r="D531" s="446" t="s">
        <v>107</v>
      </c>
      <c r="E531" s="448">
        <v>1.73184</v>
      </c>
      <c r="F531" s="448">
        <v>30.93</v>
      </c>
      <c r="G531" s="445">
        <f>E531*F531</f>
        <v>53.565811199999999</v>
      </c>
      <c r="H531" s="496">
        <f t="shared" si="24"/>
        <v>1.8038251697063939E-3</v>
      </c>
      <c r="I531" s="496">
        <f t="shared" si="26"/>
        <v>99.925151520638295</v>
      </c>
      <c r="J531" s="443" t="str">
        <f t="shared" si="25"/>
        <v>C</v>
      </c>
    </row>
    <row r="532" spans="1:10" s="220" customFormat="1" ht="28.5">
      <c r="A532" s="446" t="s">
        <v>1531</v>
      </c>
      <c r="B532" s="446" t="s">
        <v>119</v>
      </c>
      <c r="C532" s="447" t="s">
        <v>1532</v>
      </c>
      <c r="D532" s="446" t="s">
        <v>200</v>
      </c>
      <c r="E532" s="448">
        <v>2.3565299999999998</v>
      </c>
      <c r="F532" s="448">
        <v>22.51</v>
      </c>
      <c r="G532" s="445">
        <f>E532*F532</f>
        <v>53.045490299999997</v>
      </c>
      <c r="H532" s="496">
        <f t="shared" si="24"/>
        <v>1.7863033976148648E-3</v>
      </c>
      <c r="I532" s="496">
        <f t="shared" si="26"/>
        <v>99.926937824035903</v>
      </c>
      <c r="J532" s="443" t="str">
        <f t="shared" si="25"/>
        <v>C</v>
      </c>
    </row>
    <row r="533" spans="1:10" s="220" customFormat="1" ht="14.25">
      <c r="A533" s="446" t="s">
        <v>3637</v>
      </c>
      <c r="B533" s="446" t="s">
        <v>119</v>
      </c>
      <c r="C533" s="447" t="s">
        <v>3638</v>
      </c>
      <c r="D533" s="446" t="s">
        <v>144</v>
      </c>
      <c r="E533" s="448">
        <v>4</v>
      </c>
      <c r="F533" s="448">
        <v>13.25</v>
      </c>
      <c r="G533" s="445">
        <f>E533*F533</f>
        <v>53</v>
      </c>
      <c r="H533" s="496">
        <f t="shared" si="24"/>
        <v>1.7847715147537779E-3</v>
      </c>
      <c r="I533" s="496">
        <f t="shared" si="26"/>
        <v>99.928722595550653</v>
      </c>
      <c r="J533" s="443" t="str">
        <f t="shared" si="25"/>
        <v>C</v>
      </c>
    </row>
    <row r="534" spans="1:10" s="220" customFormat="1" ht="14.25">
      <c r="A534" s="446" t="s">
        <v>1509</v>
      </c>
      <c r="B534" s="446" t="s">
        <v>119</v>
      </c>
      <c r="C534" s="447" t="s">
        <v>1510</v>
      </c>
      <c r="D534" s="446" t="s">
        <v>200</v>
      </c>
      <c r="E534" s="448">
        <v>0.70368799999999998</v>
      </c>
      <c r="F534" s="448">
        <v>74.06</v>
      </c>
      <c r="G534" s="445">
        <f>E534*F534</f>
        <v>52.115133280000002</v>
      </c>
      <c r="H534" s="496">
        <f t="shared" si="24"/>
        <v>1.7549736861460494E-3</v>
      </c>
      <c r="I534" s="496">
        <f t="shared" si="26"/>
        <v>99.9304775692368</v>
      </c>
      <c r="J534" s="443" t="str">
        <f t="shared" si="25"/>
        <v>C</v>
      </c>
    </row>
    <row r="535" spans="1:10" s="220" customFormat="1" ht="28.5">
      <c r="A535" s="446" t="s">
        <v>1772</v>
      </c>
      <c r="B535" s="446" t="s">
        <v>119</v>
      </c>
      <c r="C535" s="447" t="s">
        <v>1773</v>
      </c>
      <c r="D535" s="446" t="s">
        <v>144</v>
      </c>
      <c r="E535" s="448">
        <v>1</v>
      </c>
      <c r="F535" s="448">
        <v>51.84</v>
      </c>
      <c r="G535" s="445">
        <f>E535*F535</f>
        <v>51.84</v>
      </c>
      <c r="H535" s="496">
        <f t="shared" si="24"/>
        <v>1.7457085910346387E-3</v>
      </c>
      <c r="I535" s="496">
        <f t="shared" si="26"/>
        <v>99.932223277827831</v>
      </c>
      <c r="J535" s="443" t="str">
        <f t="shared" si="25"/>
        <v>C</v>
      </c>
    </row>
    <row r="536" spans="1:10" s="220" customFormat="1" ht="14.25">
      <c r="A536" s="446" t="s">
        <v>3188</v>
      </c>
      <c r="B536" s="446" t="s">
        <v>119</v>
      </c>
      <c r="C536" s="447" t="s">
        <v>1555</v>
      </c>
      <c r="D536" s="446" t="s">
        <v>200</v>
      </c>
      <c r="E536" s="448">
        <v>1.1093280000000001</v>
      </c>
      <c r="F536" s="448">
        <v>45.42</v>
      </c>
      <c r="G536" s="445">
        <f>E536*F536</f>
        <v>50.385677760000007</v>
      </c>
      <c r="H536" s="496">
        <f t="shared" si="24"/>
        <v>1.6967343852379425E-3</v>
      </c>
      <c r="I536" s="496">
        <f t="shared" si="26"/>
        <v>99.933920012213065</v>
      </c>
      <c r="J536" s="443" t="str">
        <f t="shared" si="25"/>
        <v>C</v>
      </c>
    </row>
    <row r="537" spans="1:10" s="220" customFormat="1" ht="28.5">
      <c r="A537" s="446" t="s">
        <v>3183</v>
      </c>
      <c r="B537" s="446" t="s">
        <v>119</v>
      </c>
      <c r="C537" s="447" t="s">
        <v>3184</v>
      </c>
      <c r="D537" s="446" t="s">
        <v>144</v>
      </c>
      <c r="E537" s="448">
        <v>15</v>
      </c>
      <c r="F537" s="448">
        <v>3.32</v>
      </c>
      <c r="G537" s="445">
        <f>E537*F537</f>
        <v>49.8</v>
      </c>
      <c r="H537" s="496">
        <f t="shared" si="24"/>
        <v>1.6770117251837385E-3</v>
      </c>
      <c r="I537" s="496">
        <f t="shared" si="26"/>
        <v>99.935597023938243</v>
      </c>
      <c r="J537" s="443" t="str">
        <f t="shared" si="25"/>
        <v>C</v>
      </c>
    </row>
    <row r="538" spans="1:10" s="220" customFormat="1" ht="28.5">
      <c r="A538" s="446" t="s">
        <v>3185</v>
      </c>
      <c r="B538" s="446" t="s">
        <v>149</v>
      </c>
      <c r="C538" s="447" t="s">
        <v>3186</v>
      </c>
      <c r="D538" s="446" t="s">
        <v>144</v>
      </c>
      <c r="E538" s="448">
        <v>1</v>
      </c>
      <c r="F538" s="448">
        <v>49.2</v>
      </c>
      <c r="G538" s="445">
        <f>E538*F538</f>
        <v>49.2</v>
      </c>
      <c r="H538" s="496">
        <f t="shared" si="24"/>
        <v>1.6568067646393562E-3</v>
      </c>
      <c r="I538" s="496">
        <f t="shared" si="26"/>
        <v>99.937253830702886</v>
      </c>
      <c r="J538" s="443" t="str">
        <f t="shared" si="25"/>
        <v>C</v>
      </c>
    </row>
    <row r="539" spans="1:10" s="220" customFormat="1" ht="14.25">
      <c r="A539" s="446" t="s">
        <v>1043</v>
      </c>
      <c r="B539" s="446" t="s">
        <v>119</v>
      </c>
      <c r="C539" s="447" t="s">
        <v>3187</v>
      </c>
      <c r="D539" s="446" t="s">
        <v>107</v>
      </c>
      <c r="E539" s="448">
        <v>2.3849999999999998</v>
      </c>
      <c r="F539" s="448">
        <v>20.55</v>
      </c>
      <c r="G539" s="445">
        <f>E539*F539</f>
        <v>49.011749999999999</v>
      </c>
      <c r="H539" s="496">
        <f t="shared" si="24"/>
        <v>1.6504674582685562E-3</v>
      </c>
      <c r="I539" s="496">
        <f t="shared" si="26"/>
        <v>99.938904298161148</v>
      </c>
      <c r="J539" s="443" t="str">
        <f t="shared" si="25"/>
        <v>C</v>
      </c>
    </row>
    <row r="540" spans="1:10" s="220" customFormat="1" ht="28.5">
      <c r="A540" s="446" t="s">
        <v>3938</v>
      </c>
      <c r="B540" s="446" t="s">
        <v>119</v>
      </c>
      <c r="C540" s="447" t="s">
        <v>3939</v>
      </c>
      <c r="D540" s="446" t="s">
        <v>139</v>
      </c>
      <c r="E540" s="448">
        <v>2.08494</v>
      </c>
      <c r="F540" s="448">
        <v>23.05</v>
      </c>
      <c r="G540" s="445">
        <f>E540*F540</f>
        <v>48.057867000000002</v>
      </c>
      <c r="H540" s="496">
        <f t="shared" si="24"/>
        <v>1.6183455109702945E-3</v>
      </c>
      <c r="I540" s="496">
        <f t="shared" si="26"/>
        <v>99.940522643672125</v>
      </c>
      <c r="J540" s="443" t="str">
        <f t="shared" si="25"/>
        <v>C</v>
      </c>
    </row>
    <row r="541" spans="1:10" s="220" customFormat="1" ht="14.25">
      <c r="A541" s="446" t="s">
        <v>2364</v>
      </c>
      <c r="B541" s="446" t="s">
        <v>3006</v>
      </c>
      <c r="C541" s="447" t="s">
        <v>766</v>
      </c>
      <c r="D541" s="446" t="s">
        <v>200</v>
      </c>
      <c r="E541" s="448">
        <v>6.85</v>
      </c>
      <c r="F541" s="448">
        <v>7.01</v>
      </c>
      <c r="G541" s="445">
        <f>E541*F541</f>
        <v>48.018499999999996</v>
      </c>
      <c r="H541" s="496">
        <f t="shared" si="24"/>
        <v>1.617019829834043E-3</v>
      </c>
      <c r="I541" s="496">
        <f t="shared" si="26"/>
        <v>99.942139663501962</v>
      </c>
      <c r="J541" s="443" t="str">
        <f t="shared" si="25"/>
        <v>C</v>
      </c>
    </row>
    <row r="542" spans="1:10" s="220" customFormat="1" ht="14.25">
      <c r="A542" s="446" t="s">
        <v>643</v>
      </c>
      <c r="B542" s="446" t="s">
        <v>119</v>
      </c>
      <c r="C542" s="447" t="s">
        <v>644</v>
      </c>
      <c r="D542" s="446" t="s">
        <v>107</v>
      </c>
      <c r="E542" s="448">
        <v>6.6559416999999996</v>
      </c>
      <c r="F542" s="448">
        <v>7.16</v>
      </c>
      <c r="G542" s="445">
        <f>E542*F542</f>
        <v>47.656542571999999</v>
      </c>
      <c r="H542" s="496">
        <f t="shared" si="24"/>
        <v>1.6048309372482328E-3</v>
      </c>
      <c r="I542" s="496">
        <f t="shared" si="26"/>
        <v>99.943744494439215</v>
      </c>
      <c r="J542" s="443" t="str">
        <f t="shared" si="25"/>
        <v>C</v>
      </c>
    </row>
    <row r="543" spans="1:10" s="220" customFormat="1" ht="28.5">
      <c r="A543" s="446" t="s">
        <v>2461</v>
      </c>
      <c r="B543" s="446" t="s">
        <v>119</v>
      </c>
      <c r="C543" s="447" t="s">
        <v>2462</v>
      </c>
      <c r="D543" s="446" t="s">
        <v>144</v>
      </c>
      <c r="E543" s="448">
        <v>22</v>
      </c>
      <c r="F543" s="448">
        <v>2.08</v>
      </c>
      <c r="G543" s="445">
        <f>E543*F543</f>
        <v>45.760000000000005</v>
      </c>
      <c r="H543" s="496">
        <f t="shared" si="24"/>
        <v>1.5409649908515641E-3</v>
      </c>
      <c r="I543" s="496">
        <f t="shared" si="26"/>
        <v>99.945285459430067</v>
      </c>
      <c r="J543" s="443" t="str">
        <f t="shared" si="25"/>
        <v>C</v>
      </c>
    </row>
    <row r="544" spans="1:10" s="220" customFormat="1" ht="28.5">
      <c r="A544" s="446" t="s">
        <v>596</v>
      </c>
      <c r="B544" s="446" t="s">
        <v>3006</v>
      </c>
      <c r="C544" s="447" t="s">
        <v>3190</v>
      </c>
      <c r="D544" s="446" t="s">
        <v>144</v>
      </c>
      <c r="E544" s="448">
        <v>13.7088</v>
      </c>
      <c r="F544" s="448">
        <v>3.27</v>
      </c>
      <c r="G544" s="445">
        <f>E544*F544</f>
        <v>44.827776</v>
      </c>
      <c r="H544" s="496">
        <f t="shared" si="24"/>
        <v>1.50957240895402E-3</v>
      </c>
      <c r="I544" s="496">
        <f t="shared" si="26"/>
        <v>99.946795031839017</v>
      </c>
      <c r="J544" s="443" t="str">
        <f t="shared" si="25"/>
        <v>C</v>
      </c>
    </row>
    <row r="545" spans="1:10" s="220" customFormat="1" ht="14.25">
      <c r="A545" s="446" t="s">
        <v>1649</v>
      </c>
      <c r="B545" s="446" t="s">
        <v>119</v>
      </c>
      <c r="C545" s="447" t="s">
        <v>1650</v>
      </c>
      <c r="D545" s="446" t="s">
        <v>144</v>
      </c>
      <c r="E545" s="448">
        <v>20</v>
      </c>
      <c r="F545" s="448">
        <v>2.2400000000000002</v>
      </c>
      <c r="G545" s="445">
        <f>E545*F545</f>
        <v>44.800000000000004</v>
      </c>
      <c r="H545" s="496">
        <f t="shared" si="24"/>
        <v>1.508637053980552E-3</v>
      </c>
      <c r="I545" s="496">
        <f t="shared" si="26"/>
        <v>99.948303668893004</v>
      </c>
      <c r="J545" s="443" t="str">
        <f t="shared" si="25"/>
        <v>C</v>
      </c>
    </row>
    <row r="546" spans="1:10" s="220" customFormat="1" ht="14.25">
      <c r="A546" s="446" t="s">
        <v>939</v>
      </c>
      <c r="B546" s="446" t="s">
        <v>3006</v>
      </c>
      <c r="C546" s="447" t="s">
        <v>940</v>
      </c>
      <c r="D546" s="446" t="s">
        <v>173</v>
      </c>
      <c r="E546" s="448">
        <v>6.4</v>
      </c>
      <c r="F546" s="448">
        <v>6.74</v>
      </c>
      <c r="G546" s="445">
        <f>E546*F546</f>
        <v>43.136000000000003</v>
      </c>
      <c r="H546" s="496">
        <f t="shared" si="24"/>
        <v>1.4526019634041316E-3</v>
      </c>
      <c r="I546" s="496">
        <f t="shared" si="26"/>
        <v>99.949756270856412</v>
      </c>
      <c r="J546" s="443" t="str">
        <f t="shared" si="25"/>
        <v>C</v>
      </c>
    </row>
    <row r="547" spans="1:10" s="220" customFormat="1" ht="28.5">
      <c r="A547" s="446" t="s">
        <v>598</v>
      </c>
      <c r="B547" s="446" t="s">
        <v>3006</v>
      </c>
      <c r="C547" s="447" t="s">
        <v>3189</v>
      </c>
      <c r="D547" s="446" t="s">
        <v>144</v>
      </c>
      <c r="E547" s="448">
        <v>3.5903999999999998</v>
      </c>
      <c r="F547" s="448">
        <v>11.95</v>
      </c>
      <c r="G547" s="445">
        <f>E547*F547</f>
        <v>42.905279999999998</v>
      </c>
      <c r="H547" s="496">
        <f t="shared" si="24"/>
        <v>1.4448324825761312E-3</v>
      </c>
      <c r="I547" s="496">
        <f t="shared" si="26"/>
        <v>99.951201103338988</v>
      </c>
      <c r="J547" s="443" t="str">
        <f t="shared" si="25"/>
        <v>C</v>
      </c>
    </row>
    <row r="548" spans="1:10" s="220" customFormat="1" ht="28.5">
      <c r="A548" s="446" t="s">
        <v>3191</v>
      </c>
      <c r="B548" s="446" t="s">
        <v>149</v>
      </c>
      <c r="C548" s="447" t="s">
        <v>645</v>
      </c>
      <c r="D548" s="446" t="s">
        <v>167</v>
      </c>
      <c r="E548" s="448">
        <v>0.2145</v>
      </c>
      <c r="F548" s="448">
        <v>195.96</v>
      </c>
      <c r="G548" s="445">
        <f>E548*F548</f>
        <v>42.03342</v>
      </c>
      <c r="H548" s="496">
        <f t="shared" si="24"/>
        <v>1.4154726544090893E-3</v>
      </c>
      <c r="I548" s="496">
        <f t="shared" si="26"/>
        <v>99.952616575993403</v>
      </c>
      <c r="J548" s="443" t="str">
        <f t="shared" si="25"/>
        <v>C</v>
      </c>
    </row>
    <row r="549" spans="1:10" s="220" customFormat="1" ht="14.25">
      <c r="A549" s="446" t="s">
        <v>1041</v>
      </c>
      <c r="B549" s="446" t="s">
        <v>119</v>
      </c>
      <c r="C549" s="447" t="s">
        <v>1042</v>
      </c>
      <c r="D549" s="446" t="s">
        <v>144</v>
      </c>
      <c r="E549" s="448">
        <v>14</v>
      </c>
      <c r="F549" s="448">
        <v>2.95</v>
      </c>
      <c r="G549" s="445">
        <f>E549*F549</f>
        <v>41.300000000000004</v>
      </c>
      <c r="H549" s="496">
        <f t="shared" si="24"/>
        <v>1.3907747841383213E-3</v>
      </c>
      <c r="I549" s="496">
        <f t="shared" si="26"/>
        <v>99.954007350777545</v>
      </c>
      <c r="J549" s="443" t="str">
        <f t="shared" si="25"/>
        <v>C</v>
      </c>
    </row>
    <row r="550" spans="1:10" s="220" customFormat="1" ht="14.25">
      <c r="A550" s="446" t="s">
        <v>2739</v>
      </c>
      <c r="B550" s="446" t="s">
        <v>119</v>
      </c>
      <c r="C550" s="447" t="s">
        <v>2740</v>
      </c>
      <c r="D550" s="446" t="s">
        <v>107</v>
      </c>
      <c r="E550" s="448">
        <v>3.30904</v>
      </c>
      <c r="F550" s="448">
        <v>12.23</v>
      </c>
      <c r="G550" s="445">
        <f>E550*F550</f>
        <v>40.469559199999999</v>
      </c>
      <c r="H550" s="496">
        <f t="shared" si="24"/>
        <v>1.3628097448075791E-3</v>
      </c>
      <c r="I550" s="496">
        <f t="shared" si="26"/>
        <v>99.955370160522349</v>
      </c>
      <c r="J550" s="443" t="str">
        <f t="shared" si="25"/>
        <v>C</v>
      </c>
    </row>
    <row r="551" spans="1:10" s="220" customFormat="1" ht="14.25">
      <c r="A551" s="446" t="s">
        <v>1735</v>
      </c>
      <c r="B551" s="446" t="s">
        <v>119</v>
      </c>
      <c r="C551" s="447" t="s">
        <v>1736</v>
      </c>
      <c r="D551" s="446" t="s">
        <v>144</v>
      </c>
      <c r="E551" s="448">
        <v>1.05</v>
      </c>
      <c r="F551" s="448">
        <v>37.68</v>
      </c>
      <c r="G551" s="445">
        <f>E551*F551</f>
        <v>39.564</v>
      </c>
      <c r="H551" s="496">
        <f t="shared" si="24"/>
        <v>1.332315098296575E-3</v>
      </c>
      <c r="I551" s="496">
        <f t="shared" si="26"/>
        <v>99.956702475620645</v>
      </c>
      <c r="J551" s="443" t="str">
        <f t="shared" si="25"/>
        <v>C</v>
      </c>
    </row>
    <row r="552" spans="1:10" s="220" customFormat="1" ht="14.25">
      <c r="A552" s="446" t="s">
        <v>3319</v>
      </c>
      <c r="B552" s="446" t="s">
        <v>119</v>
      </c>
      <c r="C552" s="447" t="s">
        <v>3320</v>
      </c>
      <c r="D552" s="446" t="s">
        <v>144</v>
      </c>
      <c r="E552" s="448">
        <v>1</v>
      </c>
      <c r="F552" s="448">
        <v>39.26</v>
      </c>
      <c r="G552" s="445">
        <f>E552*F552</f>
        <v>39.26</v>
      </c>
      <c r="H552" s="496">
        <f t="shared" si="24"/>
        <v>1.3220779182874212E-3</v>
      </c>
      <c r="I552" s="496">
        <f t="shared" si="26"/>
        <v>99.958024553538934</v>
      </c>
      <c r="J552" s="443" t="str">
        <f t="shared" si="25"/>
        <v>C</v>
      </c>
    </row>
    <row r="553" spans="1:10" s="220" customFormat="1" ht="28.5">
      <c r="A553" s="446" t="s">
        <v>1240</v>
      </c>
      <c r="B553" s="446" t="s">
        <v>119</v>
      </c>
      <c r="C553" s="447" t="s">
        <v>1241</v>
      </c>
      <c r="D553" s="446" t="s">
        <v>144</v>
      </c>
      <c r="E553" s="448">
        <v>1</v>
      </c>
      <c r="F553" s="448">
        <v>36.950000000000003</v>
      </c>
      <c r="G553" s="445">
        <f>E553*F553</f>
        <v>36.950000000000003</v>
      </c>
      <c r="H553" s="496">
        <f t="shared" si="24"/>
        <v>1.2442888201915491E-3</v>
      </c>
      <c r="I553" s="496">
        <f t="shared" si="26"/>
        <v>99.959268842359123</v>
      </c>
      <c r="J553" s="443" t="str">
        <f t="shared" si="25"/>
        <v>C</v>
      </c>
    </row>
    <row r="554" spans="1:10" s="220" customFormat="1" ht="14.25">
      <c r="A554" s="446" t="s">
        <v>706</v>
      </c>
      <c r="B554" s="446" t="s">
        <v>3006</v>
      </c>
      <c r="C554" s="447" t="s">
        <v>707</v>
      </c>
      <c r="D554" s="446" t="s">
        <v>144</v>
      </c>
      <c r="E554" s="448">
        <v>1</v>
      </c>
      <c r="F554" s="448">
        <v>35.69</v>
      </c>
      <c r="G554" s="445">
        <f>E554*F554</f>
        <v>35.69</v>
      </c>
      <c r="H554" s="496">
        <f t="shared" si="24"/>
        <v>1.2018584030483459E-3</v>
      </c>
      <c r="I554" s="496">
        <f t="shared" si="26"/>
        <v>99.960470700762173</v>
      </c>
      <c r="J554" s="443" t="str">
        <f t="shared" si="25"/>
        <v>C</v>
      </c>
    </row>
    <row r="555" spans="1:10" s="220" customFormat="1" ht="14.25">
      <c r="A555" s="446" t="s">
        <v>1739</v>
      </c>
      <c r="B555" s="446" t="s">
        <v>119</v>
      </c>
      <c r="C555" s="447" t="s">
        <v>1740</v>
      </c>
      <c r="D555" s="446" t="s">
        <v>144</v>
      </c>
      <c r="E555" s="448">
        <v>1</v>
      </c>
      <c r="F555" s="448">
        <v>35.46</v>
      </c>
      <c r="G555" s="445">
        <f>E555*F555</f>
        <v>35.46</v>
      </c>
      <c r="H555" s="496">
        <f t="shared" si="24"/>
        <v>1.1941131681729993E-3</v>
      </c>
      <c r="I555" s="496">
        <f t="shared" si="26"/>
        <v>99.961664813930341</v>
      </c>
      <c r="J555" s="443" t="str">
        <f t="shared" si="25"/>
        <v>C</v>
      </c>
    </row>
    <row r="556" spans="1:10" s="220" customFormat="1" ht="28.5">
      <c r="A556" s="446" t="s">
        <v>1250</v>
      </c>
      <c r="B556" s="446" t="s">
        <v>119</v>
      </c>
      <c r="C556" s="447" t="s">
        <v>1251</v>
      </c>
      <c r="D556" s="446" t="s">
        <v>144</v>
      </c>
      <c r="E556" s="448">
        <v>3</v>
      </c>
      <c r="F556" s="448">
        <v>11.71</v>
      </c>
      <c r="G556" s="445">
        <f>E556*F556</f>
        <v>35.130000000000003</v>
      </c>
      <c r="H556" s="496">
        <f t="shared" si="24"/>
        <v>1.1830004398735892E-3</v>
      </c>
      <c r="I556" s="496">
        <f t="shared" si="26"/>
        <v>99.962847814370221</v>
      </c>
      <c r="J556" s="443" t="str">
        <f t="shared" si="25"/>
        <v>C</v>
      </c>
    </row>
    <row r="557" spans="1:10" s="220" customFormat="1" ht="14.25">
      <c r="A557" s="446" t="s">
        <v>2737</v>
      </c>
      <c r="B557" s="446" t="s">
        <v>119</v>
      </c>
      <c r="C557" s="447" t="s">
        <v>2738</v>
      </c>
      <c r="D557" s="446" t="s">
        <v>107</v>
      </c>
      <c r="E557" s="448">
        <v>3.6739999999999999</v>
      </c>
      <c r="F557" s="448">
        <v>9.33</v>
      </c>
      <c r="G557" s="445">
        <f>E557*F557</f>
        <v>34.278419999999997</v>
      </c>
      <c r="H557" s="496">
        <f t="shared" si="24"/>
        <v>1.154323539372947E-3</v>
      </c>
      <c r="I557" s="496">
        <f t="shared" si="26"/>
        <v>99.964002137909588</v>
      </c>
      <c r="J557" s="443" t="str">
        <f t="shared" si="25"/>
        <v>C</v>
      </c>
    </row>
    <row r="558" spans="1:10" s="220" customFormat="1" ht="14.25">
      <c r="A558" s="446" t="s">
        <v>2209</v>
      </c>
      <c r="B558" s="446" t="s">
        <v>158</v>
      </c>
      <c r="C558" s="447" t="s">
        <v>3195</v>
      </c>
      <c r="D558" s="446" t="s">
        <v>144</v>
      </c>
      <c r="E558" s="448">
        <v>4.16</v>
      </c>
      <c r="F558" s="448">
        <v>8</v>
      </c>
      <c r="G558" s="445">
        <f>E558*F558</f>
        <v>33.28</v>
      </c>
      <c r="H558" s="496">
        <f t="shared" si="24"/>
        <v>1.12070181152841E-3</v>
      </c>
      <c r="I558" s="496">
        <f t="shared" si="26"/>
        <v>99.965122839721118</v>
      </c>
      <c r="J558" s="443" t="str">
        <f t="shared" si="25"/>
        <v>C</v>
      </c>
    </row>
    <row r="559" spans="1:10" s="220" customFormat="1" ht="14.25">
      <c r="A559" s="446" t="s">
        <v>1788</v>
      </c>
      <c r="B559" s="446" t="s">
        <v>119</v>
      </c>
      <c r="C559" s="447" t="s">
        <v>1789</v>
      </c>
      <c r="D559" s="446" t="s">
        <v>144</v>
      </c>
      <c r="E559" s="448">
        <v>20</v>
      </c>
      <c r="F559" s="448">
        <v>1.63</v>
      </c>
      <c r="G559" s="445">
        <f>E559*F559</f>
        <v>32.599999999999994</v>
      </c>
      <c r="H559" s="496">
        <f t="shared" si="24"/>
        <v>1.0978028562447764E-3</v>
      </c>
      <c r="I559" s="496">
        <f t="shared" si="26"/>
        <v>99.966220642577369</v>
      </c>
      <c r="J559" s="443" t="str">
        <f t="shared" si="25"/>
        <v>C</v>
      </c>
    </row>
    <row r="560" spans="1:10" s="220" customFormat="1" ht="14.25">
      <c r="A560" s="446" t="s">
        <v>1282</v>
      </c>
      <c r="B560" s="446" t="s">
        <v>119</v>
      </c>
      <c r="C560" s="447" t="s">
        <v>1283</v>
      </c>
      <c r="D560" s="446" t="s">
        <v>144</v>
      </c>
      <c r="E560" s="448">
        <v>1</v>
      </c>
      <c r="F560" s="448">
        <v>32.53</v>
      </c>
      <c r="G560" s="445">
        <f>E560*F560</f>
        <v>32.53</v>
      </c>
      <c r="H560" s="496">
        <f t="shared" si="24"/>
        <v>1.0954456108479319E-3</v>
      </c>
      <c r="I560" s="496">
        <f t="shared" si="26"/>
        <v>99.967316088188213</v>
      </c>
      <c r="J560" s="443" t="str">
        <f t="shared" si="25"/>
        <v>C</v>
      </c>
    </row>
    <row r="561" spans="1:10" s="220" customFormat="1" ht="14.25">
      <c r="A561" s="446" t="s">
        <v>1609</v>
      </c>
      <c r="B561" s="446" t="s">
        <v>119</v>
      </c>
      <c r="C561" s="447" t="s">
        <v>1610</v>
      </c>
      <c r="D561" s="446" t="s">
        <v>144</v>
      </c>
      <c r="E561" s="448">
        <v>25</v>
      </c>
      <c r="F561" s="448">
        <v>1.29</v>
      </c>
      <c r="G561" s="445">
        <f>E561*F561</f>
        <v>32.25</v>
      </c>
      <c r="H561" s="496">
        <f t="shared" si="24"/>
        <v>1.0860166292605536E-3</v>
      </c>
      <c r="I561" s="496">
        <f t="shared" si="26"/>
        <v>99.968402104817471</v>
      </c>
      <c r="J561" s="443" t="str">
        <f t="shared" si="25"/>
        <v>C</v>
      </c>
    </row>
    <row r="562" spans="1:10" s="220" customFormat="1" ht="28.5">
      <c r="A562" s="446" t="s">
        <v>1728</v>
      </c>
      <c r="B562" s="446" t="s">
        <v>119</v>
      </c>
      <c r="C562" s="447" t="s">
        <v>1729</v>
      </c>
      <c r="D562" s="446" t="s">
        <v>144</v>
      </c>
      <c r="E562" s="448">
        <v>11</v>
      </c>
      <c r="F562" s="448">
        <v>2.88</v>
      </c>
      <c r="G562" s="445">
        <f>E562*F562</f>
        <v>31.68</v>
      </c>
      <c r="H562" s="496">
        <f t="shared" si="24"/>
        <v>1.0668219167433903E-3</v>
      </c>
      <c r="I562" s="496">
        <f t="shared" si="26"/>
        <v>99.969468926734208</v>
      </c>
      <c r="J562" s="443" t="str">
        <f t="shared" si="25"/>
        <v>C</v>
      </c>
    </row>
    <row r="563" spans="1:10" s="220" customFormat="1" ht="28.5">
      <c r="A563" s="446" t="s">
        <v>1732</v>
      </c>
      <c r="B563" s="446" t="s">
        <v>119</v>
      </c>
      <c r="C563" s="447" t="s">
        <v>1733</v>
      </c>
      <c r="D563" s="446" t="s">
        <v>144</v>
      </c>
      <c r="E563" s="448">
        <v>18</v>
      </c>
      <c r="F563" s="448">
        <v>1.75</v>
      </c>
      <c r="G563" s="445">
        <f>E563*F563</f>
        <v>31.5</v>
      </c>
      <c r="H563" s="496">
        <f t="shared" si="24"/>
        <v>1.0607604285800755E-3</v>
      </c>
      <c r="I563" s="496">
        <f t="shared" si="26"/>
        <v>99.970529687162795</v>
      </c>
      <c r="J563" s="443" t="str">
        <f t="shared" si="25"/>
        <v>C</v>
      </c>
    </row>
    <row r="564" spans="1:10" s="220" customFormat="1" ht="14.25">
      <c r="A564" s="446" t="s">
        <v>1643</v>
      </c>
      <c r="B564" s="446" t="s">
        <v>119</v>
      </c>
      <c r="C564" s="447" t="s">
        <v>1644</v>
      </c>
      <c r="D564" s="446" t="s">
        <v>144</v>
      </c>
      <c r="E564" s="448">
        <v>3</v>
      </c>
      <c r="F564" s="448">
        <v>10.48</v>
      </c>
      <c r="G564" s="445">
        <f>E564*F564</f>
        <v>31.44</v>
      </c>
      <c r="H564" s="496">
        <f t="shared" si="24"/>
        <v>1.0587399325256374E-3</v>
      </c>
      <c r="I564" s="496">
        <f t="shared" si="26"/>
        <v>99.971588427095327</v>
      </c>
      <c r="J564" s="443" t="str">
        <f t="shared" si="25"/>
        <v>C</v>
      </c>
    </row>
    <row r="565" spans="1:10" s="220" customFormat="1" ht="14.25">
      <c r="A565" s="446" t="s">
        <v>1831</v>
      </c>
      <c r="B565" s="446" t="s">
        <v>119</v>
      </c>
      <c r="C565" s="447" t="s">
        <v>1832</v>
      </c>
      <c r="D565" s="446" t="s">
        <v>144</v>
      </c>
      <c r="E565" s="448">
        <v>2</v>
      </c>
      <c r="F565" s="448">
        <v>15.48</v>
      </c>
      <c r="G565" s="445">
        <f>E565*F565</f>
        <v>30.96</v>
      </c>
      <c r="H565" s="496">
        <f t="shared" si="24"/>
        <v>1.0425759640901313E-3</v>
      </c>
      <c r="I565" s="496">
        <f t="shared" si="26"/>
        <v>99.972631003059419</v>
      </c>
      <c r="J565" s="443" t="str">
        <f t="shared" si="25"/>
        <v>C</v>
      </c>
    </row>
    <row r="566" spans="1:10" s="220" customFormat="1" ht="14.25">
      <c r="A566" s="446" t="s">
        <v>931</v>
      </c>
      <c r="B566" s="446" t="s">
        <v>3006</v>
      </c>
      <c r="C566" s="447" t="s">
        <v>932</v>
      </c>
      <c r="D566" s="446" t="s">
        <v>144</v>
      </c>
      <c r="E566" s="448">
        <v>14</v>
      </c>
      <c r="F566" s="448">
        <v>2.17</v>
      </c>
      <c r="G566" s="445">
        <f>E566*F566</f>
        <v>30.38</v>
      </c>
      <c r="H566" s="496">
        <f t="shared" si="24"/>
        <v>1.0230445022305617E-3</v>
      </c>
      <c r="I566" s="496">
        <f t="shared" si="26"/>
        <v>99.973654047561652</v>
      </c>
      <c r="J566" s="443" t="str">
        <f t="shared" si="25"/>
        <v>C</v>
      </c>
    </row>
    <row r="567" spans="1:10" s="220" customFormat="1" ht="14.25">
      <c r="A567" s="446" t="s">
        <v>2535</v>
      </c>
      <c r="B567" s="446" t="s">
        <v>158</v>
      </c>
      <c r="C567" s="447" t="s">
        <v>3196</v>
      </c>
      <c r="D567" s="446" t="s">
        <v>173</v>
      </c>
      <c r="E567" s="448">
        <v>4.4823599999999999</v>
      </c>
      <c r="F567" s="448">
        <v>6.75</v>
      </c>
      <c r="G567" s="445">
        <f>E567*F567</f>
        <v>30.255929999999999</v>
      </c>
      <c r="H567" s="496">
        <f t="shared" si="24"/>
        <v>1.0188664531393258E-3</v>
      </c>
      <c r="I567" s="496">
        <f t="shared" si="26"/>
        <v>99.974672914014789</v>
      </c>
      <c r="J567" s="443" t="str">
        <f t="shared" si="25"/>
        <v>C</v>
      </c>
    </row>
    <row r="568" spans="1:10" s="220" customFormat="1" ht="14.25">
      <c r="A568" s="446" t="s">
        <v>1013</v>
      </c>
      <c r="B568" s="446" t="s">
        <v>119</v>
      </c>
      <c r="C568" s="447" t="s">
        <v>1014</v>
      </c>
      <c r="D568" s="446" t="s">
        <v>200</v>
      </c>
      <c r="E568" s="448">
        <v>0.99607999999999997</v>
      </c>
      <c r="F568" s="448">
        <v>27.64</v>
      </c>
      <c r="G568" s="445">
        <f>E568*F568</f>
        <v>27.531651199999999</v>
      </c>
      <c r="H568" s="496">
        <f t="shared" si="24"/>
        <v>9.2712654369616341E-4</v>
      </c>
      <c r="I568" s="496">
        <f t="shared" si="26"/>
        <v>99.97560004055849</v>
      </c>
      <c r="J568" s="443" t="str">
        <f t="shared" si="25"/>
        <v>C</v>
      </c>
    </row>
    <row r="569" spans="1:10" s="220" customFormat="1" ht="28.5">
      <c r="A569" s="446" t="s">
        <v>3197</v>
      </c>
      <c r="B569" s="446" t="s">
        <v>149</v>
      </c>
      <c r="C569" s="447" t="s">
        <v>3198</v>
      </c>
      <c r="D569" s="446" t="s">
        <v>144</v>
      </c>
      <c r="E569" s="448">
        <v>1</v>
      </c>
      <c r="F569" s="448">
        <v>27.16</v>
      </c>
      <c r="G569" s="445">
        <f>E569*F569</f>
        <v>27.16</v>
      </c>
      <c r="H569" s="496">
        <f t="shared" si="24"/>
        <v>9.1461121397570962E-4</v>
      </c>
      <c r="I569" s="496">
        <f t="shared" si="26"/>
        <v>99.976514651772462</v>
      </c>
      <c r="J569" s="443" t="str">
        <f t="shared" si="25"/>
        <v>C</v>
      </c>
    </row>
    <row r="570" spans="1:10" s="220" customFormat="1" ht="28.5">
      <c r="A570" s="446" t="s">
        <v>1490</v>
      </c>
      <c r="B570" s="446" t="s">
        <v>119</v>
      </c>
      <c r="C570" s="447" t="s">
        <v>1491</v>
      </c>
      <c r="D570" s="446" t="s">
        <v>144</v>
      </c>
      <c r="E570" s="448">
        <v>96.432755999999998</v>
      </c>
      <c r="F570" s="448">
        <v>0.28000000000000003</v>
      </c>
      <c r="G570" s="445">
        <f>E570*F570</f>
        <v>27.001171680000002</v>
      </c>
      <c r="H570" s="496">
        <f t="shared" si="24"/>
        <v>9.0926268074415873E-4</v>
      </c>
      <c r="I570" s="496">
        <f t="shared" si="26"/>
        <v>99.977423914453212</v>
      </c>
      <c r="J570" s="443" t="str">
        <f t="shared" si="25"/>
        <v>C</v>
      </c>
    </row>
    <row r="571" spans="1:10" s="220" customFormat="1" ht="14.25">
      <c r="A571" s="446" t="s">
        <v>1829</v>
      </c>
      <c r="B571" s="446" t="s">
        <v>119</v>
      </c>
      <c r="C571" s="447" t="s">
        <v>1830</v>
      </c>
      <c r="D571" s="446" t="s">
        <v>144</v>
      </c>
      <c r="E571" s="448">
        <v>6</v>
      </c>
      <c r="F571" s="448">
        <v>4.46</v>
      </c>
      <c r="G571" s="445">
        <f>E571*F571</f>
        <v>26.759999999999998</v>
      </c>
      <c r="H571" s="496">
        <f t="shared" si="24"/>
        <v>9.011412402794547E-4</v>
      </c>
      <c r="I571" s="496">
        <f t="shared" si="26"/>
        <v>99.978325055693489</v>
      </c>
      <c r="J571" s="443" t="str">
        <f t="shared" si="25"/>
        <v>C</v>
      </c>
    </row>
    <row r="572" spans="1:10" s="220" customFormat="1" ht="28.5">
      <c r="A572" s="446" t="s">
        <v>1020</v>
      </c>
      <c r="B572" s="446" t="s">
        <v>119</v>
      </c>
      <c r="C572" s="447" t="s">
        <v>1036</v>
      </c>
      <c r="D572" s="446" t="s">
        <v>139</v>
      </c>
      <c r="E572" s="448">
        <v>0.56842999999999999</v>
      </c>
      <c r="F572" s="448">
        <v>46.43</v>
      </c>
      <c r="G572" s="445">
        <f>E572*F572</f>
        <v>26.392204899999999</v>
      </c>
      <c r="H572" s="496">
        <f t="shared" si="24"/>
        <v>8.8875576447292612E-4</v>
      </c>
      <c r="I572" s="496">
        <f t="shared" si="26"/>
        <v>99.979213811457967</v>
      </c>
      <c r="J572" s="443" t="str">
        <f t="shared" si="25"/>
        <v>C</v>
      </c>
    </row>
    <row r="573" spans="1:10" s="220" customFormat="1" ht="14.25">
      <c r="A573" s="446" t="s">
        <v>2417</v>
      </c>
      <c r="B573" s="446" t="s">
        <v>158</v>
      </c>
      <c r="C573" s="447" t="s">
        <v>3210</v>
      </c>
      <c r="D573" s="446" t="s">
        <v>144</v>
      </c>
      <c r="E573" s="448">
        <v>30</v>
      </c>
      <c r="F573" s="448">
        <v>0.87</v>
      </c>
      <c r="G573" s="445">
        <f>E573*F573</f>
        <v>26.1</v>
      </c>
      <c r="H573" s="496">
        <f t="shared" si="24"/>
        <v>8.7891578368063403E-4</v>
      </c>
      <c r="I573" s="496">
        <f t="shared" si="26"/>
        <v>99.980092727241654</v>
      </c>
      <c r="J573" s="443" t="str">
        <f t="shared" si="25"/>
        <v>C</v>
      </c>
    </row>
    <row r="574" spans="1:10" s="220" customFormat="1" ht="28.5">
      <c r="A574" s="446" t="s">
        <v>720</v>
      </c>
      <c r="B574" s="446" t="s">
        <v>3006</v>
      </c>
      <c r="C574" s="447" t="s">
        <v>3199</v>
      </c>
      <c r="D574" s="446" t="s">
        <v>144</v>
      </c>
      <c r="E574" s="448">
        <v>0.21</v>
      </c>
      <c r="F574" s="448">
        <v>123.18</v>
      </c>
      <c r="G574" s="445">
        <f>E574*F574</f>
        <v>25.867799999999999</v>
      </c>
      <c r="H574" s="496">
        <f t="shared" si="24"/>
        <v>8.7109646394995801E-4</v>
      </c>
      <c r="I574" s="496">
        <f t="shared" si="26"/>
        <v>99.980963823705608</v>
      </c>
      <c r="J574" s="443" t="str">
        <f t="shared" si="25"/>
        <v>C</v>
      </c>
    </row>
    <row r="575" spans="1:10" s="220" customFormat="1" ht="14.25">
      <c r="A575" s="446" t="s">
        <v>2308</v>
      </c>
      <c r="B575" s="446" t="s">
        <v>119</v>
      </c>
      <c r="C575" s="447" t="s">
        <v>2309</v>
      </c>
      <c r="D575" s="446" t="s">
        <v>173</v>
      </c>
      <c r="E575" s="448">
        <v>1.7951999999999999</v>
      </c>
      <c r="F575" s="448">
        <v>13.89</v>
      </c>
      <c r="G575" s="445">
        <f>E575*F575</f>
        <v>24.935327999999998</v>
      </c>
      <c r="H575" s="496">
        <f t="shared" si="24"/>
        <v>8.3969553066872251E-4</v>
      </c>
      <c r="I575" s="496">
        <f t="shared" si="26"/>
        <v>99.98180351923628</v>
      </c>
      <c r="J575" s="443" t="str">
        <f t="shared" si="25"/>
        <v>C</v>
      </c>
    </row>
    <row r="576" spans="1:10" s="220" customFormat="1" ht="28.5">
      <c r="A576" s="446" t="s">
        <v>1533</v>
      </c>
      <c r="B576" s="446" t="s">
        <v>119</v>
      </c>
      <c r="C576" s="447" t="s">
        <v>1534</v>
      </c>
      <c r="D576" s="446" t="s">
        <v>1457</v>
      </c>
      <c r="E576" s="448">
        <v>0.78338700000000006</v>
      </c>
      <c r="F576" s="448">
        <v>31.56</v>
      </c>
      <c r="G576" s="445">
        <f>E576*F576</f>
        <v>24.72369372</v>
      </c>
      <c r="H576" s="496">
        <f t="shared" si="24"/>
        <v>8.3256876020665793E-4</v>
      </c>
      <c r="I576" s="496">
        <f t="shared" si="26"/>
        <v>99.982636087996482</v>
      </c>
      <c r="J576" s="443" t="str">
        <f t="shared" si="25"/>
        <v>C</v>
      </c>
    </row>
    <row r="577" spans="1:10" s="220" customFormat="1" ht="28.5">
      <c r="A577" s="446" t="s">
        <v>1097</v>
      </c>
      <c r="B577" s="446" t="s">
        <v>3006</v>
      </c>
      <c r="C577" s="447" t="s">
        <v>3201</v>
      </c>
      <c r="D577" s="446" t="s">
        <v>144</v>
      </c>
      <c r="E577" s="448">
        <v>0.32</v>
      </c>
      <c r="F577" s="448">
        <v>75.83</v>
      </c>
      <c r="G577" s="445">
        <f>E577*F577</f>
        <v>24.265599999999999</v>
      </c>
      <c r="H577" s="496">
        <f t="shared" si="24"/>
        <v>8.1714248430960889E-4</v>
      </c>
      <c r="I577" s="496">
        <f t="shared" si="26"/>
        <v>99.983453230480791</v>
      </c>
      <c r="J577" s="443" t="str">
        <f t="shared" si="25"/>
        <v>C</v>
      </c>
    </row>
    <row r="578" spans="1:10" s="220" customFormat="1" ht="28.5">
      <c r="A578" s="446" t="s">
        <v>724</v>
      </c>
      <c r="B578" s="446" t="s">
        <v>3006</v>
      </c>
      <c r="C578" s="447" t="s">
        <v>3200</v>
      </c>
      <c r="D578" s="446" t="s">
        <v>144</v>
      </c>
      <c r="E578" s="448">
        <v>0.26250000000000001</v>
      </c>
      <c r="F578" s="448">
        <v>92.26</v>
      </c>
      <c r="G578" s="445">
        <f>E578*F578</f>
        <v>24.218250000000001</v>
      </c>
      <c r="H578" s="496">
        <f t="shared" si="24"/>
        <v>8.1554797617331483E-4</v>
      </c>
      <c r="I578" s="496">
        <f t="shared" si="26"/>
        <v>99.984268778456965</v>
      </c>
      <c r="J578" s="443" t="str">
        <f t="shared" si="25"/>
        <v>C</v>
      </c>
    </row>
    <row r="579" spans="1:10" s="220" customFormat="1" ht="14.25">
      <c r="A579" s="446" t="s">
        <v>425</v>
      </c>
      <c r="B579" s="446" t="s">
        <v>119</v>
      </c>
      <c r="C579" s="447" t="s">
        <v>560</v>
      </c>
      <c r="D579" s="446" t="s">
        <v>144</v>
      </c>
      <c r="E579" s="448">
        <v>7</v>
      </c>
      <c r="F579" s="448">
        <v>3.26</v>
      </c>
      <c r="G579" s="445">
        <f>E579*F579</f>
        <v>22.82</v>
      </c>
      <c r="H579" s="496">
        <f t="shared" si="24"/>
        <v>7.6846199937134361E-4</v>
      </c>
      <c r="I579" s="496">
        <f t="shared" si="26"/>
        <v>99.985037240456336</v>
      </c>
      <c r="J579" s="443" t="str">
        <f t="shared" si="25"/>
        <v>C</v>
      </c>
    </row>
    <row r="580" spans="1:10" s="220" customFormat="1" ht="14.25">
      <c r="A580" s="446" t="s">
        <v>3630</v>
      </c>
      <c r="B580" s="446" t="s">
        <v>119</v>
      </c>
      <c r="C580" s="447" t="s">
        <v>3631</v>
      </c>
      <c r="D580" s="446" t="s">
        <v>144</v>
      </c>
      <c r="E580" s="448">
        <v>2</v>
      </c>
      <c r="F580" s="448">
        <v>11.39</v>
      </c>
      <c r="G580" s="445">
        <f>E580*F580</f>
        <v>22.78</v>
      </c>
      <c r="H580" s="496">
        <f t="shared" si="24"/>
        <v>7.6711500200171809E-4</v>
      </c>
      <c r="I580" s="496">
        <f t="shared" si="26"/>
        <v>99.985804355458342</v>
      </c>
      <c r="J580" s="443" t="str">
        <f t="shared" si="25"/>
        <v>C</v>
      </c>
    </row>
    <row r="581" spans="1:10" s="220" customFormat="1" ht="14.25">
      <c r="A581" s="446" t="s">
        <v>1619</v>
      </c>
      <c r="B581" s="446" t="s">
        <v>119</v>
      </c>
      <c r="C581" s="447" t="s">
        <v>1620</v>
      </c>
      <c r="D581" s="446" t="s">
        <v>144</v>
      </c>
      <c r="E581" s="448">
        <v>5</v>
      </c>
      <c r="F581" s="448">
        <v>4.45</v>
      </c>
      <c r="G581" s="445">
        <f>E581*F581</f>
        <v>22.25</v>
      </c>
      <c r="H581" s="496">
        <f t="shared" si="24"/>
        <v>7.4926728685418035E-4</v>
      </c>
      <c r="I581" s="496">
        <f t="shared" si="26"/>
        <v>99.986553622745191</v>
      </c>
      <c r="J581" s="443" t="str">
        <f t="shared" si="25"/>
        <v>C</v>
      </c>
    </row>
    <row r="582" spans="1:10" s="220" customFormat="1" ht="14.25">
      <c r="A582" s="446" t="s">
        <v>1685</v>
      </c>
      <c r="B582" s="446" t="s">
        <v>119</v>
      </c>
      <c r="C582" s="447" t="s">
        <v>1686</v>
      </c>
      <c r="D582" s="446" t="s">
        <v>144</v>
      </c>
      <c r="E582" s="448">
        <v>0.86839999999999995</v>
      </c>
      <c r="F582" s="448">
        <v>23.78</v>
      </c>
      <c r="G582" s="445">
        <f>E582*F582</f>
        <v>20.650552000000001</v>
      </c>
      <c r="H582" s="496">
        <f t="shared" si="24"/>
        <v>6.9540598063286155E-4</v>
      </c>
      <c r="I582" s="496">
        <f t="shared" si="26"/>
        <v>99.987249028725827</v>
      </c>
      <c r="J582" s="443" t="str">
        <f t="shared" si="25"/>
        <v>C</v>
      </c>
    </row>
    <row r="583" spans="1:10" s="220" customFormat="1" ht="14.25">
      <c r="A583" s="446" t="s">
        <v>1480</v>
      </c>
      <c r="B583" s="446" t="s">
        <v>119</v>
      </c>
      <c r="C583" s="447" t="s">
        <v>1481</v>
      </c>
      <c r="D583" s="446" t="s">
        <v>173</v>
      </c>
      <c r="E583" s="448">
        <v>75.443095</v>
      </c>
      <c r="F583" s="448">
        <v>0.27</v>
      </c>
      <c r="G583" s="445">
        <f>E583*F583</f>
        <v>20.369635650000003</v>
      </c>
      <c r="H583" s="496">
        <f t="shared" si="24"/>
        <v>6.8594614101949165E-4</v>
      </c>
      <c r="I583" s="496">
        <f t="shared" si="26"/>
        <v>99.987934974866846</v>
      </c>
      <c r="J583" s="443" t="str">
        <f t="shared" si="25"/>
        <v>C</v>
      </c>
    </row>
    <row r="584" spans="1:10" s="220" customFormat="1" ht="14.25">
      <c r="A584" s="446" t="s">
        <v>1655</v>
      </c>
      <c r="B584" s="446" t="s">
        <v>119</v>
      </c>
      <c r="C584" s="447" t="s">
        <v>1656</v>
      </c>
      <c r="D584" s="446" t="s">
        <v>144</v>
      </c>
      <c r="E584" s="448">
        <v>8</v>
      </c>
      <c r="F584" s="448">
        <v>2.4900000000000002</v>
      </c>
      <c r="G584" s="445">
        <f>E584*F584</f>
        <v>19.920000000000002</v>
      </c>
      <c r="H584" s="496">
        <f t="shared" si="24"/>
        <v>6.7080469007349552E-4</v>
      </c>
      <c r="I584" s="496">
        <f t="shared" si="26"/>
        <v>99.98860577955692</v>
      </c>
      <c r="J584" s="443" t="str">
        <f t="shared" si="25"/>
        <v>C</v>
      </c>
    </row>
    <row r="585" spans="1:10" s="220" customFormat="1" ht="14.25">
      <c r="A585" s="446" t="s">
        <v>2316</v>
      </c>
      <c r="B585" s="446" t="s">
        <v>119</v>
      </c>
      <c r="C585" s="447" t="s">
        <v>2507</v>
      </c>
      <c r="D585" s="446" t="s">
        <v>144</v>
      </c>
      <c r="E585" s="448">
        <v>0.89759999999999995</v>
      </c>
      <c r="F585" s="448">
        <v>21.41</v>
      </c>
      <c r="G585" s="445">
        <f>E585*F585</f>
        <v>19.217616</v>
      </c>
      <c r="H585" s="496">
        <f t="shared" ref="H585:H628" si="27">(G585*100)/SUM($G$8:$G$628)</f>
        <v>6.4715195506181967E-4</v>
      </c>
      <c r="I585" s="496">
        <f t="shared" si="26"/>
        <v>99.989252931511984</v>
      </c>
      <c r="J585" s="443" t="str">
        <f t="shared" ref="J585:J628" si="28">IF(I585&lt;80,"A",IF(I585&lt;95,"B","C"))</f>
        <v>C</v>
      </c>
    </row>
    <row r="586" spans="1:10" s="220" customFormat="1" ht="14.25">
      <c r="A586" s="446" t="s">
        <v>1287</v>
      </c>
      <c r="B586" s="446" t="s">
        <v>119</v>
      </c>
      <c r="C586" s="447" t="s">
        <v>1288</v>
      </c>
      <c r="D586" s="446" t="s">
        <v>144</v>
      </c>
      <c r="E586" s="448">
        <v>2</v>
      </c>
      <c r="F586" s="448">
        <v>9.48</v>
      </c>
      <c r="G586" s="445">
        <f>E586*F586</f>
        <v>18.96</v>
      </c>
      <c r="H586" s="496">
        <f t="shared" si="27"/>
        <v>6.3847675320248358E-4</v>
      </c>
      <c r="I586" s="496">
        <f t="shared" ref="I586:I628" si="29">H586+I585</f>
        <v>99.98989140826518</v>
      </c>
      <c r="J586" s="443" t="str">
        <f t="shared" si="28"/>
        <v>C</v>
      </c>
    </row>
    <row r="587" spans="1:10" s="220" customFormat="1" ht="14.25">
      <c r="A587" s="446" t="s">
        <v>1603</v>
      </c>
      <c r="B587" s="446" t="s">
        <v>119</v>
      </c>
      <c r="C587" s="447" t="s">
        <v>1604</v>
      </c>
      <c r="D587" s="446" t="s">
        <v>139</v>
      </c>
      <c r="E587" s="448">
        <v>6.8582400000000003</v>
      </c>
      <c r="F587" s="448">
        <v>2.76</v>
      </c>
      <c r="G587" s="445">
        <f>E587*F587</f>
        <v>18.928742400000001</v>
      </c>
      <c r="H587" s="496">
        <f t="shared" si="27"/>
        <v>6.3742415557796342E-4</v>
      </c>
      <c r="I587" s="496">
        <f t="shared" si="29"/>
        <v>99.990528832420765</v>
      </c>
      <c r="J587" s="443" t="str">
        <f t="shared" si="28"/>
        <v>C</v>
      </c>
    </row>
    <row r="588" spans="1:10" s="220" customFormat="1" ht="14.25">
      <c r="A588" s="446" t="s">
        <v>2471</v>
      </c>
      <c r="B588" s="446" t="s">
        <v>119</v>
      </c>
      <c r="C588" s="447" t="s">
        <v>2472</v>
      </c>
      <c r="D588" s="446" t="s">
        <v>144</v>
      </c>
      <c r="E588" s="448">
        <v>6</v>
      </c>
      <c r="F588" s="448">
        <v>2.83</v>
      </c>
      <c r="G588" s="445">
        <f>E588*F588</f>
        <v>16.98</v>
      </c>
      <c r="H588" s="496">
        <f t="shared" si="27"/>
        <v>5.7180038340602169E-4</v>
      </c>
      <c r="I588" s="496">
        <f t="shared" si="29"/>
        <v>99.991100632804176</v>
      </c>
      <c r="J588" s="443" t="str">
        <f t="shared" si="28"/>
        <v>C</v>
      </c>
    </row>
    <row r="589" spans="1:10" s="220" customFormat="1" ht="14.25">
      <c r="A589" s="446" t="s">
        <v>4106</v>
      </c>
      <c r="B589" s="446" t="s">
        <v>119</v>
      </c>
      <c r="C589" s="447" t="s">
        <v>4107</v>
      </c>
      <c r="D589" s="446" t="s">
        <v>144</v>
      </c>
      <c r="E589" s="448">
        <v>1</v>
      </c>
      <c r="F589" s="448">
        <v>16.239999999999998</v>
      </c>
      <c r="G589" s="445">
        <f>E589*F589</f>
        <v>16.239999999999998</v>
      </c>
      <c r="H589" s="496">
        <f t="shared" si="27"/>
        <v>5.4688093206794997E-4</v>
      </c>
      <c r="I589" s="496">
        <f t="shared" si="29"/>
        <v>99.99164751373624</v>
      </c>
      <c r="J589" s="443" t="str">
        <f t="shared" si="28"/>
        <v>C</v>
      </c>
    </row>
    <row r="590" spans="1:10" s="220" customFormat="1" ht="28.5">
      <c r="A590" s="446" t="s">
        <v>1151</v>
      </c>
      <c r="B590" s="446" t="s">
        <v>3006</v>
      </c>
      <c r="C590" s="447" t="s">
        <v>3202</v>
      </c>
      <c r="D590" s="446" t="s">
        <v>144</v>
      </c>
      <c r="E590" s="448">
        <v>31.72</v>
      </c>
      <c r="F590" s="448">
        <v>0.47</v>
      </c>
      <c r="G590" s="445">
        <f>E590*F590</f>
        <v>14.908399999999999</v>
      </c>
      <c r="H590" s="496">
        <f t="shared" si="27"/>
        <v>5.0203938963311735E-4</v>
      </c>
      <c r="I590" s="496">
        <f t="shared" si="29"/>
        <v>99.99214955312587</v>
      </c>
      <c r="J590" s="443" t="str">
        <f t="shared" si="28"/>
        <v>C</v>
      </c>
    </row>
    <row r="591" spans="1:10" s="220" customFormat="1" ht="14.25">
      <c r="A591" s="446" t="s">
        <v>1323</v>
      </c>
      <c r="B591" s="446" t="s">
        <v>119</v>
      </c>
      <c r="C591" s="447" t="s">
        <v>1324</v>
      </c>
      <c r="D591" s="446" t="s">
        <v>200</v>
      </c>
      <c r="E591" s="448">
        <v>0.65839999999999999</v>
      </c>
      <c r="F591" s="448">
        <v>19.079999999999998</v>
      </c>
      <c r="G591" s="445">
        <f>E591*F591</f>
        <v>12.562271999999998</v>
      </c>
      <c r="H591" s="496">
        <f t="shared" si="27"/>
        <v>4.2303368351299941E-4</v>
      </c>
      <c r="I591" s="496">
        <f t="shared" si="29"/>
        <v>99.992572586809388</v>
      </c>
      <c r="J591" s="443" t="str">
        <f t="shared" si="28"/>
        <v>C</v>
      </c>
    </row>
    <row r="592" spans="1:10" s="220" customFormat="1" ht="14.25">
      <c r="A592" s="446" t="s">
        <v>1015</v>
      </c>
      <c r="B592" s="446" t="s">
        <v>119</v>
      </c>
      <c r="C592" s="447" t="s">
        <v>1016</v>
      </c>
      <c r="D592" s="446" t="s">
        <v>200</v>
      </c>
      <c r="E592" s="448">
        <v>0.59764799999999996</v>
      </c>
      <c r="F592" s="448">
        <v>19.95</v>
      </c>
      <c r="G592" s="445">
        <f>E592*F592</f>
        <v>11.923077599999999</v>
      </c>
      <c r="H592" s="496">
        <f t="shared" si="27"/>
        <v>4.0150885412601581E-4</v>
      </c>
      <c r="I592" s="496">
        <f t="shared" si="29"/>
        <v>99.992974095663513</v>
      </c>
      <c r="J592" s="443" t="str">
        <f t="shared" si="28"/>
        <v>C</v>
      </c>
    </row>
    <row r="593" spans="1:10" s="220" customFormat="1" ht="14.25">
      <c r="A593" s="446" t="s">
        <v>716</v>
      </c>
      <c r="B593" s="446" t="s">
        <v>3006</v>
      </c>
      <c r="C593" s="447" t="s">
        <v>717</v>
      </c>
      <c r="D593" s="446" t="s">
        <v>144</v>
      </c>
      <c r="E593" s="448">
        <v>0.06</v>
      </c>
      <c r="F593" s="448">
        <v>197.69</v>
      </c>
      <c r="G593" s="445">
        <f>E593*F593</f>
        <v>11.8614</v>
      </c>
      <c r="H593" s="496">
        <f t="shared" si="27"/>
        <v>3.9943186500189547E-4</v>
      </c>
      <c r="I593" s="496">
        <f t="shared" si="29"/>
        <v>99.993373527528519</v>
      </c>
      <c r="J593" s="443" t="str">
        <f t="shared" si="28"/>
        <v>C</v>
      </c>
    </row>
    <row r="594" spans="1:10" s="220" customFormat="1" ht="14.25">
      <c r="A594" s="446" t="s">
        <v>1544</v>
      </c>
      <c r="B594" s="446" t="s">
        <v>119</v>
      </c>
      <c r="C594" s="447" t="s">
        <v>3794</v>
      </c>
      <c r="D594" s="446" t="s">
        <v>144</v>
      </c>
      <c r="E594" s="448">
        <v>2.7650000000000001</v>
      </c>
      <c r="F594" s="448">
        <v>3.9</v>
      </c>
      <c r="G594" s="445">
        <f>E594*F594</f>
        <v>10.7835</v>
      </c>
      <c r="H594" s="496">
        <f t="shared" si="27"/>
        <v>3.6313365338391248E-4</v>
      </c>
      <c r="I594" s="496">
        <f t="shared" si="29"/>
        <v>99.993736661181899</v>
      </c>
      <c r="J594" s="443" t="str">
        <f t="shared" si="28"/>
        <v>C</v>
      </c>
    </row>
    <row r="595" spans="1:10" s="220" customFormat="1" ht="14.25">
      <c r="A595" s="446" t="s">
        <v>1549</v>
      </c>
      <c r="B595" s="446" t="s">
        <v>119</v>
      </c>
      <c r="C595" s="447" t="s">
        <v>1550</v>
      </c>
      <c r="D595" s="446" t="s">
        <v>200</v>
      </c>
      <c r="E595" s="448">
        <v>0.25363000000000002</v>
      </c>
      <c r="F595" s="448">
        <v>42.25</v>
      </c>
      <c r="G595" s="445">
        <f>E595*F595</f>
        <v>10.715867500000002</v>
      </c>
      <c r="H595" s="496">
        <f t="shared" si="27"/>
        <v>3.6085613339388269E-4</v>
      </c>
      <c r="I595" s="496">
        <f t="shared" si="29"/>
        <v>99.994097517315296</v>
      </c>
      <c r="J595" s="443" t="str">
        <f t="shared" si="28"/>
        <v>C</v>
      </c>
    </row>
    <row r="596" spans="1:10" s="220" customFormat="1" ht="14.25">
      <c r="A596" s="446" t="s">
        <v>941</v>
      </c>
      <c r="B596" s="446" t="s">
        <v>3006</v>
      </c>
      <c r="C596" s="447" t="s">
        <v>942</v>
      </c>
      <c r="D596" s="446" t="s">
        <v>173</v>
      </c>
      <c r="E596" s="448">
        <v>2.1312000000000002</v>
      </c>
      <c r="F596" s="448">
        <v>4.7699999999999996</v>
      </c>
      <c r="G596" s="445">
        <f>E596*F596</f>
        <v>10.165824000000001</v>
      </c>
      <c r="H596" s="496">
        <f t="shared" si="27"/>
        <v>3.4233345470189262E-4</v>
      </c>
      <c r="I596" s="496">
        <f t="shared" si="29"/>
        <v>99.994439850769993</v>
      </c>
      <c r="J596" s="443" t="str">
        <f t="shared" si="28"/>
        <v>C</v>
      </c>
    </row>
    <row r="597" spans="1:10" s="220" customFormat="1" ht="14.25">
      <c r="A597" s="446" t="s">
        <v>605</v>
      </c>
      <c r="B597" s="446" t="s">
        <v>119</v>
      </c>
      <c r="C597" s="447" t="s">
        <v>606</v>
      </c>
      <c r="D597" s="446" t="s">
        <v>144</v>
      </c>
      <c r="E597" s="448">
        <v>2</v>
      </c>
      <c r="F597" s="448">
        <v>4.79</v>
      </c>
      <c r="G597" s="445">
        <f>E597*F597</f>
        <v>9.58</v>
      </c>
      <c r="H597" s="496">
        <f t="shared" si="27"/>
        <v>3.2260587002530549E-4</v>
      </c>
      <c r="I597" s="496">
        <f t="shared" si="29"/>
        <v>99.994762456640018</v>
      </c>
      <c r="J597" s="443" t="str">
        <f t="shared" si="28"/>
        <v>C</v>
      </c>
    </row>
    <row r="598" spans="1:10" s="220" customFormat="1" ht="14.25">
      <c r="A598" s="446" t="s">
        <v>3204</v>
      </c>
      <c r="B598" s="446" t="s">
        <v>119</v>
      </c>
      <c r="C598" s="447" t="s">
        <v>3205</v>
      </c>
      <c r="D598" s="446" t="s">
        <v>144</v>
      </c>
      <c r="E598" s="448">
        <v>1</v>
      </c>
      <c r="F598" s="448">
        <v>9.2100000000000009</v>
      </c>
      <c r="G598" s="445">
        <f>E598*F598</f>
        <v>9.2100000000000009</v>
      </c>
      <c r="H598" s="496">
        <f t="shared" si="27"/>
        <v>3.1014614435626974E-4</v>
      </c>
      <c r="I598" s="496">
        <f t="shared" si="29"/>
        <v>99.995072602784376</v>
      </c>
      <c r="J598" s="443" t="str">
        <f t="shared" si="28"/>
        <v>C</v>
      </c>
    </row>
    <row r="599" spans="1:10" s="220" customFormat="1" ht="14.25">
      <c r="A599" s="446" t="s">
        <v>704</v>
      </c>
      <c r="B599" s="446" t="s">
        <v>3006</v>
      </c>
      <c r="C599" s="447" t="s">
        <v>705</v>
      </c>
      <c r="D599" s="446" t="s">
        <v>144</v>
      </c>
      <c r="E599" s="448">
        <v>6.0000000000000001E-3</v>
      </c>
      <c r="F599" s="448">
        <v>1534.68</v>
      </c>
      <c r="G599" s="445">
        <f>E599*F599</f>
        <v>9.2080800000000007</v>
      </c>
      <c r="H599" s="496">
        <f t="shared" si="27"/>
        <v>3.1008148848252773E-4</v>
      </c>
      <c r="I599" s="496">
        <f t="shared" si="29"/>
        <v>99.995382684272855</v>
      </c>
      <c r="J599" s="443" t="str">
        <f t="shared" si="28"/>
        <v>C</v>
      </c>
    </row>
    <row r="600" spans="1:10" s="220" customFormat="1" ht="14.25">
      <c r="A600" s="446" t="s">
        <v>1160</v>
      </c>
      <c r="B600" s="446" t="s">
        <v>158</v>
      </c>
      <c r="C600" s="447" t="s">
        <v>3203</v>
      </c>
      <c r="D600" s="446" t="s">
        <v>144</v>
      </c>
      <c r="E600" s="448">
        <v>1</v>
      </c>
      <c r="F600" s="448">
        <v>8.7799999999999994</v>
      </c>
      <c r="G600" s="445">
        <f>E600*F600</f>
        <v>8.7799999999999994</v>
      </c>
      <c r="H600" s="496">
        <f t="shared" si="27"/>
        <v>2.956659226327956E-4</v>
      </c>
      <c r="I600" s="496">
        <f t="shared" si="29"/>
        <v>99.99567835019549</v>
      </c>
      <c r="J600" s="443" t="str">
        <f t="shared" si="28"/>
        <v>C</v>
      </c>
    </row>
    <row r="601" spans="1:10" s="220" customFormat="1" ht="14.25">
      <c r="A601" s="446" t="s">
        <v>2306</v>
      </c>
      <c r="B601" s="446" t="s">
        <v>119</v>
      </c>
      <c r="C601" s="447" t="s">
        <v>2307</v>
      </c>
      <c r="D601" s="446" t="s">
        <v>173</v>
      </c>
      <c r="E601" s="448">
        <v>1.7951999999999999</v>
      </c>
      <c r="F601" s="448">
        <v>4.88</v>
      </c>
      <c r="G601" s="445">
        <f>E601*F601</f>
        <v>8.7605759999999986</v>
      </c>
      <c r="H601" s="496">
        <f t="shared" si="27"/>
        <v>2.9501182071010548E-4</v>
      </c>
      <c r="I601" s="496">
        <f t="shared" si="29"/>
        <v>99.995973362016201</v>
      </c>
      <c r="J601" s="443" t="str">
        <f t="shared" si="28"/>
        <v>C</v>
      </c>
    </row>
    <row r="602" spans="1:10" s="220" customFormat="1" ht="28.5">
      <c r="A602" s="446" t="s">
        <v>1810</v>
      </c>
      <c r="B602" s="446" t="s">
        <v>119</v>
      </c>
      <c r="C602" s="447" t="s">
        <v>1811</v>
      </c>
      <c r="D602" s="446" t="s">
        <v>144</v>
      </c>
      <c r="E602" s="448">
        <v>12</v>
      </c>
      <c r="F602" s="448">
        <v>0.73</v>
      </c>
      <c r="G602" s="445">
        <f>E602*F602</f>
        <v>8.76</v>
      </c>
      <c r="H602" s="496">
        <f t="shared" si="27"/>
        <v>2.9499242394798289E-4</v>
      </c>
      <c r="I602" s="496">
        <f t="shared" si="29"/>
        <v>99.996268354440147</v>
      </c>
      <c r="J602" s="443" t="str">
        <f t="shared" si="28"/>
        <v>C</v>
      </c>
    </row>
    <row r="603" spans="1:10" s="220" customFormat="1" ht="14.25">
      <c r="A603" s="446" t="s">
        <v>1706</v>
      </c>
      <c r="B603" s="446" t="s">
        <v>119</v>
      </c>
      <c r="C603" s="447" t="s">
        <v>1707</v>
      </c>
      <c r="D603" s="446" t="s">
        <v>144</v>
      </c>
      <c r="E603" s="448">
        <v>3</v>
      </c>
      <c r="F603" s="448">
        <v>2.83</v>
      </c>
      <c r="G603" s="445">
        <f>E603*F603</f>
        <v>8.49</v>
      </c>
      <c r="H603" s="496">
        <f t="shared" si="27"/>
        <v>2.8590019170301084E-4</v>
      </c>
      <c r="I603" s="496">
        <f t="shared" si="29"/>
        <v>99.996554254631846</v>
      </c>
      <c r="J603" s="443" t="str">
        <f t="shared" si="28"/>
        <v>C</v>
      </c>
    </row>
    <row r="604" spans="1:10" s="220" customFormat="1" ht="14.25">
      <c r="A604" s="446" t="s">
        <v>1286</v>
      </c>
      <c r="B604" s="446" t="s">
        <v>119</v>
      </c>
      <c r="C604" s="447" t="s">
        <v>3793</v>
      </c>
      <c r="D604" s="446" t="s">
        <v>144</v>
      </c>
      <c r="E604" s="448">
        <v>0.56699999999999995</v>
      </c>
      <c r="F604" s="448">
        <v>14.38</v>
      </c>
      <c r="G604" s="445">
        <f>E604*F604</f>
        <v>8.153459999999999</v>
      </c>
      <c r="H604" s="496">
        <f t="shared" si="27"/>
        <v>2.7456722933366672E-4</v>
      </c>
      <c r="I604" s="496">
        <f t="shared" si="29"/>
        <v>99.996828821861186</v>
      </c>
      <c r="J604" s="443" t="str">
        <f t="shared" si="28"/>
        <v>C</v>
      </c>
    </row>
    <row r="605" spans="1:10" s="220" customFormat="1" ht="28.5">
      <c r="A605" s="446" t="s">
        <v>1722</v>
      </c>
      <c r="B605" s="446" t="s">
        <v>119</v>
      </c>
      <c r="C605" s="447" t="s">
        <v>1723</v>
      </c>
      <c r="D605" s="446" t="s">
        <v>144</v>
      </c>
      <c r="E605" s="448">
        <v>5</v>
      </c>
      <c r="F605" s="448">
        <v>1.62</v>
      </c>
      <c r="G605" s="445">
        <f>E605*F605</f>
        <v>8.1000000000000014</v>
      </c>
      <c r="H605" s="496">
        <f t="shared" si="27"/>
        <v>2.7276696734916233E-4</v>
      </c>
      <c r="I605" s="496">
        <f t="shared" si="29"/>
        <v>99.997101588828542</v>
      </c>
      <c r="J605" s="443" t="str">
        <f t="shared" si="28"/>
        <v>C</v>
      </c>
    </row>
    <row r="606" spans="1:10" s="220" customFormat="1" ht="28.5">
      <c r="A606" s="446" t="s">
        <v>3206</v>
      </c>
      <c r="B606" s="446" t="s">
        <v>149</v>
      </c>
      <c r="C606" s="447" t="s">
        <v>1630</v>
      </c>
      <c r="D606" s="446" t="s">
        <v>144</v>
      </c>
      <c r="E606" s="448">
        <v>0.27855999999999997</v>
      </c>
      <c r="F606" s="448">
        <v>28.51</v>
      </c>
      <c r="G606" s="445">
        <f>E606*F606</f>
        <v>7.9417456</v>
      </c>
      <c r="H606" s="496">
        <f t="shared" si="27"/>
        <v>2.6743776083587079E-4</v>
      </c>
      <c r="I606" s="496">
        <f t="shared" si="29"/>
        <v>99.997369026589382</v>
      </c>
      <c r="J606" s="443" t="str">
        <f t="shared" si="28"/>
        <v>C</v>
      </c>
    </row>
    <row r="607" spans="1:10" s="220" customFormat="1" ht="14.25">
      <c r="A607" s="446" t="s">
        <v>3207</v>
      </c>
      <c r="B607" s="446" t="s">
        <v>119</v>
      </c>
      <c r="C607" s="447" t="s">
        <v>3208</v>
      </c>
      <c r="D607" s="446" t="s">
        <v>144</v>
      </c>
      <c r="E607" s="448">
        <v>1</v>
      </c>
      <c r="F607" s="448">
        <v>7.31</v>
      </c>
      <c r="G607" s="445">
        <f>E607*F607</f>
        <v>7.31</v>
      </c>
      <c r="H607" s="496">
        <f t="shared" si="27"/>
        <v>2.4616376929905879E-4</v>
      </c>
      <c r="I607" s="496">
        <f t="shared" si="29"/>
        <v>99.997615190358687</v>
      </c>
      <c r="J607" s="443" t="str">
        <f t="shared" si="28"/>
        <v>C</v>
      </c>
    </row>
    <row r="608" spans="1:10" s="220" customFormat="1" ht="14.25">
      <c r="A608" s="446" t="s">
        <v>1625</v>
      </c>
      <c r="B608" s="446" t="s">
        <v>119</v>
      </c>
      <c r="C608" s="447" t="s">
        <v>1626</v>
      </c>
      <c r="D608" s="446" t="s">
        <v>144</v>
      </c>
      <c r="E608" s="448">
        <v>7</v>
      </c>
      <c r="F608" s="448">
        <v>1.02</v>
      </c>
      <c r="G608" s="445">
        <f>E608*F608</f>
        <v>7.1400000000000006</v>
      </c>
      <c r="H608" s="496">
        <f t="shared" si="27"/>
        <v>2.4043903047815047E-4</v>
      </c>
      <c r="I608" s="496">
        <f t="shared" si="29"/>
        <v>99.997855629389164</v>
      </c>
      <c r="J608" s="443" t="str">
        <f t="shared" si="28"/>
        <v>C</v>
      </c>
    </row>
    <row r="609" spans="1:10" s="220" customFormat="1" ht="28.5">
      <c r="A609" s="446" t="s">
        <v>3209</v>
      </c>
      <c r="B609" s="446" t="s">
        <v>149</v>
      </c>
      <c r="C609" s="447" t="s">
        <v>3110</v>
      </c>
      <c r="D609" s="446" t="s">
        <v>107</v>
      </c>
      <c r="E609" s="448">
        <v>0.97315743119999998</v>
      </c>
      <c r="F609" s="448">
        <v>5.86</v>
      </c>
      <c r="G609" s="445">
        <f>E609*F609</f>
        <v>5.7027025468320005</v>
      </c>
      <c r="H609" s="496">
        <f t="shared" si="27"/>
        <v>1.9203813325848257E-4</v>
      </c>
      <c r="I609" s="496">
        <f t="shared" si="29"/>
        <v>99.998047667522428</v>
      </c>
      <c r="J609" s="443" t="str">
        <f t="shared" si="28"/>
        <v>C</v>
      </c>
    </row>
    <row r="610" spans="1:10" s="220" customFormat="1" ht="14.25">
      <c r="A610" s="446" t="s">
        <v>3915</v>
      </c>
      <c r="B610" s="446" t="s">
        <v>3396</v>
      </c>
      <c r="C610" s="447" t="s">
        <v>3910</v>
      </c>
      <c r="D610" s="446" t="s">
        <v>200</v>
      </c>
      <c r="E610" s="448">
        <v>0.171432</v>
      </c>
      <c r="F610" s="448">
        <v>31.59</v>
      </c>
      <c r="G610" s="445">
        <f>E610*F610</f>
        <v>5.4155368800000003</v>
      </c>
      <c r="H610" s="496">
        <f t="shared" si="27"/>
        <v>1.8236784831174622E-4</v>
      </c>
      <c r="I610" s="496">
        <f t="shared" si="29"/>
        <v>99.998230035370739</v>
      </c>
      <c r="J610" s="443" t="str">
        <f t="shared" si="28"/>
        <v>C</v>
      </c>
    </row>
    <row r="611" spans="1:10" s="220" customFormat="1" ht="28.5">
      <c r="A611" s="446" t="s">
        <v>3244</v>
      </c>
      <c r="B611" s="446" t="s">
        <v>119</v>
      </c>
      <c r="C611" s="447" t="s">
        <v>3245</v>
      </c>
      <c r="D611" s="446" t="s">
        <v>173</v>
      </c>
      <c r="E611" s="448">
        <v>1.08</v>
      </c>
      <c r="F611" s="448">
        <v>4.91</v>
      </c>
      <c r="G611" s="445">
        <f>E611*F611</f>
        <v>5.3028000000000004</v>
      </c>
      <c r="H611" s="496">
        <f t="shared" si="27"/>
        <v>1.785714412912516E-4</v>
      </c>
      <c r="I611" s="496">
        <f t="shared" si="29"/>
        <v>99.998408606812035</v>
      </c>
      <c r="J611" s="443" t="str">
        <f t="shared" si="28"/>
        <v>C</v>
      </c>
    </row>
    <row r="612" spans="1:10" s="220" customFormat="1" ht="14.25">
      <c r="A612" s="446" t="s">
        <v>3213</v>
      </c>
      <c r="B612" s="446" t="s">
        <v>119</v>
      </c>
      <c r="C612" s="447" t="s">
        <v>3214</v>
      </c>
      <c r="D612" s="446" t="s">
        <v>144</v>
      </c>
      <c r="E612" s="448">
        <v>1</v>
      </c>
      <c r="F612" s="448">
        <v>4.9400000000000004</v>
      </c>
      <c r="G612" s="445">
        <f>E612*F612</f>
        <v>4.9400000000000004</v>
      </c>
      <c r="H612" s="496">
        <f t="shared" si="27"/>
        <v>1.6635417514874838E-4</v>
      </c>
      <c r="I612" s="496">
        <f t="shared" si="29"/>
        <v>99.998574960987185</v>
      </c>
      <c r="J612" s="443" t="str">
        <f t="shared" si="28"/>
        <v>C</v>
      </c>
    </row>
    <row r="613" spans="1:10" s="220" customFormat="1" ht="14.25">
      <c r="A613" s="446" t="s">
        <v>1621</v>
      </c>
      <c r="B613" s="446" t="s">
        <v>119</v>
      </c>
      <c r="C613" s="447" t="s">
        <v>1622</v>
      </c>
      <c r="D613" s="446" t="s">
        <v>144</v>
      </c>
      <c r="E613" s="448">
        <v>3</v>
      </c>
      <c r="F613" s="448">
        <v>1.61</v>
      </c>
      <c r="G613" s="445">
        <f>E613*F613</f>
        <v>4.83</v>
      </c>
      <c r="H613" s="496">
        <f t="shared" si="27"/>
        <v>1.6264993238227824E-4</v>
      </c>
      <c r="I613" s="496">
        <f t="shared" si="29"/>
        <v>99.998737610919562</v>
      </c>
      <c r="J613" s="443" t="str">
        <f t="shared" si="28"/>
        <v>C</v>
      </c>
    </row>
    <row r="614" spans="1:10" s="220" customFormat="1" ht="14.25">
      <c r="A614" s="446" t="s">
        <v>1321</v>
      </c>
      <c r="B614" s="446" t="s">
        <v>119</v>
      </c>
      <c r="C614" s="447" t="s">
        <v>1322</v>
      </c>
      <c r="D614" s="446" t="s">
        <v>200</v>
      </c>
      <c r="E614" s="448">
        <v>0.1356</v>
      </c>
      <c r="F614" s="448">
        <v>35.6</v>
      </c>
      <c r="G614" s="445">
        <f>E614*F614</f>
        <v>4.8273600000000005</v>
      </c>
      <c r="H614" s="496">
        <f t="shared" si="27"/>
        <v>1.62561030555883E-4</v>
      </c>
      <c r="I614" s="496">
        <f t="shared" si="29"/>
        <v>99.998900171950112</v>
      </c>
      <c r="J614" s="443" t="str">
        <f t="shared" si="28"/>
        <v>C</v>
      </c>
    </row>
    <row r="615" spans="1:10" s="220" customFormat="1" ht="28.5">
      <c r="A615" s="446" t="s">
        <v>3212</v>
      </c>
      <c r="B615" s="446" t="s">
        <v>149</v>
      </c>
      <c r="C615" s="447" t="s">
        <v>3012</v>
      </c>
      <c r="D615" s="446" t="s">
        <v>107</v>
      </c>
      <c r="E615" s="448">
        <v>0.82389674879999997</v>
      </c>
      <c r="F615" s="448">
        <v>5.8</v>
      </c>
      <c r="G615" s="445">
        <f>E615*F615</f>
        <v>4.7786011430399995</v>
      </c>
      <c r="H615" s="496">
        <f t="shared" si="27"/>
        <v>1.609190792541063E-4</v>
      </c>
      <c r="I615" s="496">
        <f t="shared" si="29"/>
        <v>99.999061091029361</v>
      </c>
      <c r="J615" s="443" t="str">
        <f t="shared" si="28"/>
        <v>C</v>
      </c>
    </row>
    <row r="616" spans="1:10" s="220" customFormat="1" ht="14.25">
      <c r="A616" s="446" t="s">
        <v>3211</v>
      </c>
      <c r="B616" s="446" t="s">
        <v>119</v>
      </c>
      <c r="C616" s="447" t="s">
        <v>3795</v>
      </c>
      <c r="D616" s="446" t="s">
        <v>144</v>
      </c>
      <c r="E616" s="448">
        <v>1.0970862272E-2</v>
      </c>
      <c r="F616" s="448">
        <v>411.72</v>
      </c>
      <c r="G616" s="445">
        <f>E616*F616</f>
        <v>4.5169234146278407</v>
      </c>
      <c r="H616" s="496">
        <f t="shared" si="27"/>
        <v>1.5210709895758753E-4</v>
      </c>
      <c r="I616" s="496">
        <f t="shared" si="29"/>
        <v>99.999213198128317</v>
      </c>
      <c r="J616" s="443" t="str">
        <f t="shared" si="28"/>
        <v>C</v>
      </c>
    </row>
    <row r="617" spans="1:10" s="220" customFormat="1" ht="14.25">
      <c r="A617" s="446" t="s">
        <v>1248</v>
      </c>
      <c r="B617" s="446" t="s">
        <v>119</v>
      </c>
      <c r="C617" s="447" t="s">
        <v>1249</v>
      </c>
      <c r="D617" s="446" t="s">
        <v>144</v>
      </c>
      <c r="E617" s="448">
        <v>0.06</v>
      </c>
      <c r="F617" s="448">
        <v>61.6</v>
      </c>
      <c r="G617" s="445">
        <f>E617*F617</f>
        <v>3.6959999999999997</v>
      </c>
      <c r="H617" s="496">
        <f t="shared" si="27"/>
        <v>1.2446255695339553E-4</v>
      </c>
      <c r="I617" s="496">
        <f t="shared" si="29"/>
        <v>99.999337660685271</v>
      </c>
      <c r="J617" s="443" t="str">
        <f t="shared" si="28"/>
        <v>C</v>
      </c>
    </row>
    <row r="618" spans="1:10" s="220" customFormat="1" ht="14.25">
      <c r="A618" s="446" t="s">
        <v>3853</v>
      </c>
      <c r="B618" s="446" t="s">
        <v>158</v>
      </c>
      <c r="C618" s="447" t="s">
        <v>3856</v>
      </c>
      <c r="D618" s="446" t="s">
        <v>200</v>
      </c>
      <c r="E618" s="448">
        <v>0.12096</v>
      </c>
      <c r="F618" s="448">
        <v>27.1</v>
      </c>
      <c r="G618" s="445">
        <f>E618*F618</f>
        <v>3.278016</v>
      </c>
      <c r="H618" s="496">
        <f t="shared" si="27"/>
        <v>1.1038697323975698E-4</v>
      </c>
      <c r="I618" s="496">
        <f t="shared" si="29"/>
        <v>99.999448047658504</v>
      </c>
      <c r="J618" s="443" t="str">
        <f t="shared" si="28"/>
        <v>C</v>
      </c>
    </row>
    <row r="619" spans="1:10" s="220" customFormat="1" ht="28.5">
      <c r="A619" s="446" t="s">
        <v>3215</v>
      </c>
      <c r="B619" s="446" t="s">
        <v>149</v>
      </c>
      <c r="C619" s="447" t="s">
        <v>3216</v>
      </c>
      <c r="D619" s="446" t="s">
        <v>144</v>
      </c>
      <c r="E619" s="448">
        <v>1</v>
      </c>
      <c r="F619" s="448">
        <v>3.17</v>
      </c>
      <c r="G619" s="445">
        <f>E619*F619</f>
        <v>3.17</v>
      </c>
      <c r="H619" s="496">
        <f t="shared" si="27"/>
        <v>1.067495415428203E-4</v>
      </c>
      <c r="I619" s="496">
        <f t="shared" si="29"/>
        <v>99.999554797200048</v>
      </c>
      <c r="J619" s="443" t="str">
        <f t="shared" si="28"/>
        <v>C</v>
      </c>
    </row>
    <row r="620" spans="1:10" s="220" customFormat="1" ht="14.25">
      <c r="A620" s="446" t="s">
        <v>3916</v>
      </c>
      <c r="B620" s="446" t="s">
        <v>3396</v>
      </c>
      <c r="C620" s="447" t="s">
        <v>3907</v>
      </c>
      <c r="D620" s="446" t="s">
        <v>200</v>
      </c>
      <c r="E620" s="448">
        <v>9.9071999999999993E-2</v>
      </c>
      <c r="F620" s="448">
        <v>27.4</v>
      </c>
      <c r="G620" s="445">
        <f>E620*F620</f>
        <v>2.7145727999999996</v>
      </c>
      <c r="H620" s="496">
        <f t="shared" si="27"/>
        <v>9.1413060531422716E-5</v>
      </c>
      <c r="I620" s="496">
        <f t="shared" si="29"/>
        <v>99.999646210260579</v>
      </c>
      <c r="J620" s="443" t="str">
        <f t="shared" si="28"/>
        <v>C</v>
      </c>
    </row>
    <row r="621" spans="1:10" s="220" customFormat="1" ht="14.25">
      <c r="A621" s="446" t="s">
        <v>2574</v>
      </c>
      <c r="B621" s="446" t="s">
        <v>158</v>
      </c>
      <c r="C621" s="447" t="s">
        <v>3217</v>
      </c>
      <c r="D621" s="446" t="s">
        <v>173</v>
      </c>
      <c r="E621" s="448">
        <v>10.95</v>
      </c>
      <c r="F621" s="448">
        <v>0.22</v>
      </c>
      <c r="G621" s="445">
        <f>E621*F621</f>
        <v>2.4089999999999998</v>
      </c>
      <c r="H621" s="496">
        <f t="shared" si="27"/>
        <v>8.1122916585695296E-5</v>
      </c>
      <c r="I621" s="496">
        <f t="shared" si="29"/>
        <v>99.999727333177162</v>
      </c>
      <c r="J621" s="443" t="str">
        <f t="shared" si="28"/>
        <v>C</v>
      </c>
    </row>
    <row r="622" spans="1:10" s="220" customFormat="1" ht="14.25">
      <c r="A622" s="446" t="s">
        <v>3218</v>
      </c>
      <c r="B622" s="446" t="s">
        <v>119</v>
      </c>
      <c r="C622" s="447" t="s">
        <v>3219</v>
      </c>
      <c r="D622" s="446" t="s">
        <v>144</v>
      </c>
      <c r="E622" s="448">
        <v>1</v>
      </c>
      <c r="F622" s="448">
        <v>1.97</v>
      </c>
      <c r="G622" s="445">
        <f>E622*F622</f>
        <v>1.97</v>
      </c>
      <c r="H622" s="496">
        <f t="shared" si="27"/>
        <v>6.6339620454055514E-5</v>
      </c>
      <c r="I622" s="496">
        <f t="shared" si="29"/>
        <v>99.999793672797622</v>
      </c>
      <c r="J622" s="443" t="str">
        <f t="shared" si="28"/>
        <v>C</v>
      </c>
    </row>
    <row r="623" spans="1:10" s="220" customFormat="1" ht="14.25">
      <c r="A623" s="446" t="s">
        <v>3901</v>
      </c>
      <c r="B623" s="446" t="s">
        <v>3396</v>
      </c>
      <c r="C623" s="447" t="s">
        <v>3902</v>
      </c>
      <c r="D623" s="446" t="s">
        <v>167</v>
      </c>
      <c r="E623" s="448">
        <v>1.0296E-2</v>
      </c>
      <c r="F623" s="448">
        <v>183.55</v>
      </c>
      <c r="G623" s="445">
        <f>E623*F623</f>
        <v>1.8898308000000001</v>
      </c>
      <c r="H623" s="496">
        <f t="shared" si="27"/>
        <v>6.3639927915931015E-5</v>
      </c>
      <c r="I623" s="496">
        <f t="shared" si="29"/>
        <v>99.999857312725538</v>
      </c>
      <c r="J623" s="443" t="str">
        <f t="shared" si="28"/>
        <v>C</v>
      </c>
    </row>
    <row r="624" spans="1:10" s="220" customFormat="1" ht="14.25">
      <c r="A624" s="446" t="s">
        <v>3917</v>
      </c>
      <c r="B624" s="446" t="s">
        <v>3396</v>
      </c>
      <c r="C624" s="447" t="s">
        <v>3905</v>
      </c>
      <c r="D624" s="446" t="s">
        <v>144</v>
      </c>
      <c r="E624" s="448">
        <v>0.13975199999999999</v>
      </c>
      <c r="F624" s="448">
        <v>11.03</v>
      </c>
      <c r="G624" s="445">
        <f>E624*F624</f>
        <v>1.5414645599999999</v>
      </c>
      <c r="H624" s="496">
        <f t="shared" si="27"/>
        <v>5.190871769227294E-5</v>
      </c>
      <c r="I624" s="496">
        <f t="shared" si="29"/>
        <v>99.999909221443232</v>
      </c>
      <c r="J624" s="443" t="str">
        <f t="shared" si="28"/>
        <v>C</v>
      </c>
    </row>
    <row r="625" spans="1:10" s="220" customFormat="1" ht="14.25">
      <c r="A625" s="446" t="s">
        <v>3629</v>
      </c>
      <c r="B625" s="446" t="s">
        <v>119</v>
      </c>
      <c r="C625" s="447" t="s">
        <v>3628</v>
      </c>
      <c r="D625" s="446" t="s">
        <v>144</v>
      </c>
      <c r="E625" s="448">
        <v>2</v>
      </c>
      <c r="F625" s="448">
        <v>0.64</v>
      </c>
      <c r="G625" s="445">
        <f>E625*F625</f>
        <v>1.28</v>
      </c>
      <c r="H625" s="496">
        <f t="shared" si="27"/>
        <v>4.310391582801577E-5</v>
      </c>
      <c r="I625" s="496">
        <f t="shared" si="29"/>
        <v>99.999952325359061</v>
      </c>
      <c r="J625" s="443" t="str">
        <f t="shared" si="28"/>
        <v>C</v>
      </c>
    </row>
    <row r="626" spans="1:10" s="220" customFormat="1" ht="14.25">
      <c r="A626" s="446" t="s">
        <v>3918</v>
      </c>
      <c r="B626" s="446" t="s">
        <v>3396</v>
      </c>
      <c r="C626" s="447" t="s">
        <v>3906</v>
      </c>
      <c r="D626" s="446" t="s">
        <v>144</v>
      </c>
      <c r="E626" s="448">
        <v>4.2840000000000003E-2</v>
      </c>
      <c r="F626" s="448">
        <v>15.02</v>
      </c>
      <c r="G626" s="445">
        <f>E626*F626</f>
        <v>0.64345680000000005</v>
      </c>
      <c r="H626" s="496">
        <f t="shared" si="27"/>
        <v>2.1668365426690921E-5</v>
      </c>
      <c r="I626" s="496">
        <f t="shared" si="29"/>
        <v>99.999973993724481</v>
      </c>
      <c r="J626" s="443" t="str">
        <f t="shared" si="28"/>
        <v>C</v>
      </c>
    </row>
    <row r="627" spans="1:10" s="220" customFormat="1" ht="14.25">
      <c r="A627" s="446" t="s">
        <v>3919</v>
      </c>
      <c r="B627" s="446" t="s">
        <v>3396</v>
      </c>
      <c r="C627" s="447" t="s">
        <v>3909</v>
      </c>
      <c r="D627" s="446" t="s">
        <v>144</v>
      </c>
      <c r="E627" s="448">
        <v>0.21427199999999999</v>
      </c>
      <c r="F627" s="448">
        <v>2.99</v>
      </c>
      <c r="G627" s="445">
        <f>E627*F627</f>
        <v>0.64067328000000001</v>
      </c>
      <c r="H627" s="496">
        <f t="shared" si="27"/>
        <v>2.157463057373342E-5</v>
      </c>
      <c r="I627" s="496">
        <f t="shared" si="29"/>
        <v>99.999995568355061</v>
      </c>
      <c r="J627" s="443" t="str">
        <f t="shared" si="28"/>
        <v>C</v>
      </c>
    </row>
    <row r="628" spans="1:10" s="220" customFormat="1" ht="28.5">
      <c r="A628" s="446" t="s">
        <v>3220</v>
      </c>
      <c r="B628" s="446" t="s">
        <v>119</v>
      </c>
      <c r="C628" s="447" t="s">
        <v>3221</v>
      </c>
      <c r="D628" s="446" t="s">
        <v>107</v>
      </c>
      <c r="E628" s="448">
        <v>1.59516E-2</v>
      </c>
      <c r="F628" s="448">
        <v>8.25</v>
      </c>
      <c r="G628" s="445">
        <f>E628*F628</f>
        <v>0.13160069999999999</v>
      </c>
      <c r="H628" s="496">
        <f t="shared" si="27"/>
        <v>4.4316449185218398E-6</v>
      </c>
      <c r="I628" s="496">
        <f t="shared" si="29"/>
        <v>99.999999999999986</v>
      </c>
      <c r="J628" s="443" t="str">
        <f t="shared" si="28"/>
        <v>C</v>
      </c>
    </row>
    <row r="629" spans="1:10" s="479" customFormat="1" ht="14.25">
      <c r="A629" s="482"/>
      <c r="B629" s="482"/>
      <c r="C629" s="483"/>
      <c r="D629" s="482"/>
      <c r="E629" s="484"/>
      <c r="F629" s="484"/>
      <c r="G629" s="485"/>
      <c r="H629" s="486"/>
      <c r="I629" s="486"/>
      <c r="J629" s="486"/>
    </row>
    <row r="630" spans="1:10" ht="141" customHeight="1">
      <c r="A630" s="686" t="s">
        <v>1818</v>
      </c>
      <c r="B630" s="686"/>
      <c r="C630" s="686"/>
      <c r="D630" s="686"/>
      <c r="E630" s="686"/>
      <c r="F630" s="686"/>
      <c r="G630" s="686"/>
      <c r="H630" s="686"/>
      <c r="I630" s="686"/>
      <c r="J630" s="686"/>
    </row>
  </sheetData>
  <sortState xmlns:xlrd2="http://schemas.microsoft.com/office/spreadsheetml/2017/richdata2" ref="A8:J628">
    <sortCondition descending="1" ref="G8:G628"/>
  </sortState>
  <mergeCells count="13">
    <mergeCell ref="A630:J630"/>
    <mergeCell ref="I6:I7"/>
    <mergeCell ref="J6:J7"/>
    <mergeCell ref="A1:J4"/>
    <mergeCell ref="A5:J5"/>
    <mergeCell ref="A6:A7"/>
    <mergeCell ref="B6:B7"/>
    <mergeCell ref="C6:C7"/>
    <mergeCell ref="D6:D7"/>
    <mergeCell ref="E6:E7"/>
    <mergeCell ref="F6:F7"/>
    <mergeCell ref="G6:G7"/>
    <mergeCell ref="H6:H7"/>
  </mergeCells>
  <phoneticPr fontId="32" type="noConversion"/>
  <conditionalFormatting sqref="A8:J628">
    <cfRule type="expression" dxfId="2" priority="1">
      <formula>$J8="C"</formula>
    </cfRule>
    <cfRule type="expression" dxfId="1" priority="2">
      <formula>$J8="B"</formula>
    </cfRule>
    <cfRule type="expression" dxfId="0" priority="3">
      <formula>$J8="A"</formula>
    </cfRule>
  </conditionalFormatting>
  <pageMargins left="0.25" right="0.25" top="0.75" bottom="0.75" header="0.3" footer="0.3"/>
  <pageSetup paperSize="9" scale="58"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794A-745C-4C51-B4B2-7034A1C82B67}">
  <sheetPr>
    <tabColor rgb="FF00B0F0"/>
    <pageSetUpPr fitToPage="1"/>
  </sheetPr>
  <dimension ref="A1:G339"/>
  <sheetViews>
    <sheetView view="pageBreakPreview" zoomScale="85" zoomScaleNormal="85" zoomScaleSheetLayoutView="85" workbookViewId="0">
      <selection activeCell="E45" sqref="E45:F45"/>
    </sheetView>
  </sheetViews>
  <sheetFormatPr defaultColWidth="9.140625" defaultRowHeight="15"/>
  <cols>
    <col min="1" max="1" width="9" style="118" customWidth="1"/>
    <col min="2" max="2" width="61.42578125" style="118" customWidth="1"/>
    <col min="3" max="3" width="9.5703125" style="118" customWidth="1"/>
    <col min="4" max="4" width="8.85546875" style="118" customWidth="1"/>
    <col min="5" max="5" width="9" style="118" customWidth="1"/>
    <col min="6" max="6" width="11.85546875" style="118" customWidth="1"/>
    <col min="7" max="7" width="13.5703125" style="118" customWidth="1"/>
    <col min="8" max="16384" width="9.140625" style="118"/>
  </cols>
  <sheetData>
    <row r="1" spans="1:7" ht="18" customHeight="1">
      <c r="A1" s="695"/>
      <c r="B1" s="665" t="s">
        <v>62</v>
      </c>
      <c r="C1" s="665"/>
      <c r="D1" s="665"/>
      <c r="E1" s="665"/>
      <c r="F1" s="665"/>
      <c r="G1" s="665"/>
    </row>
    <row r="2" spans="1:7" ht="23.25" customHeight="1">
      <c r="A2" s="695"/>
      <c r="B2" s="665"/>
      <c r="C2" s="665"/>
      <c r="D2" s="665"/>
      <c r="E2" s="665"/>
      <c r="F2" s="665"/>
      <c r="G2" s="665"/>
    </row>
    <row r="3" spans="1:7">
      <c r="A3" s="695"/>
      <c r="B3" s="665"/>
      <c r="C3" s="665"/>
      <c r="D3" s="665"/>
      <c r="E3" s="665"/>
      <c r="F3" s="665"/>
      <c r="G3" s="665"/>
    </row>
    <row r="4" spans="1:7">
      <c r="A4" s="695"/>
      <c r="B4" s="665"/>
      <c r="C4" s="665"/>
      <c r="D4" s="665"/>
      <c r="E4" s="665"/>
      <c r="F4" s="665"/>
      <c r="G4" s="665"/>
    </row>
    <row r="5" spans="1:7" ht="16.5" customHeight="1">
      <c r="A5" s="696"/>
      <c r="B5" s="697" t="s">
        <v>737</v>
      </c>
      <c r="C5" s="697"/>
      <c r="D5" s="697"/>
      <c r="E5" s="697"/>
      <c r="F5" s="697"/>
      <c r="G5" s="697"/>
    </row>
    <row r="6" spans="1:7" ht="30" customHeight="1">
      <c r="A6" s="119"/>
      <c r="B6" s="120"/>
      <c r="C6" s="120"/>
      <c r="D6" s="121"/>
      <c r="E6" s="121"/>
      <c r="F6" s="121"/>
      <c r="G6" s="121"/>
    </row>
    <row r="7" spans="1:7" ht="15.75" customHeight="1">
      <c r="A7" s="105"/>
      <c r="B7" s="687" t="s">
        <v>4017</v>
      </c>
      <c r="C7" s="687"/>
      <c r="D7" s="105"/>
      <c r="E7" s="105"/>
      <c r="F7" s="105"/>
      <c r="G7" s="105"/>
    </row>
    <row r="8" spans="1:7" ht="15.75" customHeight="1">
      <c r="A8" s="131" t="s">
        <v>798</v>
      </c>
      <c r="B8" s="131" t="s">
        <v>33</v>
      </c>
      <c r="C8" s="688" t="s">
        <v>799</v>
      </c>
      <c r="D8" s="688"/>
      <c r="E8" s="688" t="s">
        <v>800</v>
      </c>
      <c r="F8" s="688"/>
      <c r="G8" s="105"/>
    </row>
    <row r="9" spans="1:7" ht="15.75" customHeight="1">
      <c r="A9" s="105"/>
      <c r="B9" s="689" t="s">
        <v>801</v>
      </c>
      <c r="C9" s="689"/>
      <c r="D9" s="105"/>
      <c r="E9" s="105"/>
      <c r="F9" s="105"/>
      <c r="G9" s="105"/>
    </row>
    <row r="10" spans="1:7">
      <c r="A10" s="132" t="s">
        <v>71</v>
      </c>
      <c r="B10" s="133" t="s">
        <v>802</v>
      </c>
      <c r="C10" s="105"/>
      <c r="D10" s="105"/>
      <c r="E10" s="105"/>
      <c r="F10" s="105"/>
      <c r="G10" s="105"/>
    </row>
    <row r="11" spans="1:7">
      <c r="A11" s="130" t="s">
        <v>803</v>
      </c>
      <c r="B11" s="134" t="s">
        <v>804</v>
      </c>
      <c r="C11" s="698">
        <v>20</v>
      </c>
      <c r="D11" s="698"/>
      <c r="E11" s="694">
        <v>20</v>
      </c>
      <c r="F11" s="694"/>
      <c r="G11" s="105"/>
    </row>
    <row r="12" spans="1:7">
      <c r="A12" s="130" t="s">
        <v>805</v>
      </c>
      <c r="B12" s="134" t="s">
        <v>806</v>
      </c>
      <c r="C12" s="698">
        <v>1.5</v>
      </c>
      <c r="D12" s="698"/>
      <c r="E12" s="694">
        <v>1.5</v>
      </c>
      <c r="F12" s="694"/>
      <c r="G12" s="105"/>
    </row>
    <row r="13" spans="1:7">
      <c r="A13" s="130" t="s">
        <v>807</v>
      </c>
      <c r="B13" s="134" t="s">
        <v>808</v>
      </c>
      <c r="C13" s="698">
        <v>1</v>
      </c>
      <c r="D13" s="698"/>
      <c r="E13" s="694">
        <v>1</v>
      </c>
      <c r="F13" s="694"/>
      <c r="G13" s="105"/>
    </row>
    <row r="14" spans="1:7">
      <c r="A14" s="130" t="s">
        <v>809</v>
      </c>
      <c r="B14" s="134" t="s">
        <v>810</v>
      </c>
      <c r="C14" s="698">
        <v>0.2</v>
      </c>
      <c r="D14" s="698"/>
      <c r="E14" s="694">
        <v>0.2</v>
      </c>
      <c r="F14" s="694"/>
      <c r="G14" s="105"/>
    </row>
    <row r="15" spans="1:7">
      <c r="A15" s="130" t="s">
        <v>811</v>
      </c>
      <c r="B15" s="134" t="s">
        <v>812</v>
      </c>
      <c r="C15" s="698">
        <v>0.6</v>
      </c>
      <c r="D15" s="698"/>
      <c r="E15" s="694">
        <v>0.6</v>
      </c>
      <c r="F15" s="694"/>
      <c r="G15" s="105"/>
    </row>
    <row r="16" spans="1:7">
      <c r="A16" s="130" t="s">
        <v>813</v>
      </c>
      <c r="B16" s="134" t="s">
        <v>814</v>
      </c>
      <c r="C16" s="698">
        <v>2.5</v>
      </c>
      <c r="D16" s="698"/>
      <c r="E16" s="694">
        <v>2.5</v>
      </c>
      <c r="F16" s="694"/>
      <c r="G16" s="105"/>
    </row>
    <row r="17" spans="1:7">
      <c r="A17" s="130" t="s">
        <v>815</v>
      </c>
      <c r="B17" s="134" t="s">
        <v>816</v>
      </c>
      <c r="C17" s="698">
        <v>3</v>
      </c>
      <c r="D17" s="698"/>
      <c r="E17" s="694">
        <v>3</v>
      </c>
      <c r="F17" s="694"/>
      <c r="G17" s="105"/>
    </row>
    <row r="18" spans="1:7">
      <c r="A18" s="130" t="s">
        <v>817</v>
      </c>
      <c r="B18" s="134" t="s">
        <v>818</v>
      </c>
      <c r="C18" s="698">
        <v>8</v>
      </c>
      <c r="D18" s="698"/>
      <c r="E18" s="694">
        <v>8</v>
      </c>
      <c r="F18" s="694"/>
      <c r="G18" s="105"/>
    </row>
    <row r="19" spans="1:7">
      <c r="A19" s="130" t="s">
        <v>819</v>
      </c>
      <c r="B19" s="134" t="s">
        <v>820</v>
      </c>
      <c r="C19" s="698">
        <v>1</v>
      </c>
      <c r="D19" s="698"/>
      <c r="E19" s="694">
        <v>1</v>
      </c>
      <c r="F19" s="694"/>
      <c r="G19" s="105"/>
    </row>
    <row r="20" spans="1:7" ht="15" customHeight="1">
      <c r="A20" s="105"/>
      <c r="B20" s="122" t="s">
        <v>583</v>
      </c>
      <c r="C20" s="692">
        <f>SUM(C11:D19)</f>
        <v>37.799999999999997</v>
      </c>
      <c r="D20" s="692"/>
      <c r="E20" s="692">
        <f>SUM(E11:F19)</f>
        <v>37.799999999999997</v>
      </c>
      <c r="F20" s="692"/>
      <c r="G20" s="105"/>
    </row>
    <row r="21" spans="1:7" ht="15.75" customHeight="1">
      <c r="A21" s="105"/>
      <c r="B21" s="689" t="s">
        <v>801</v>
      </c>
      <c r="C21" s="689"/>
      <c r="D21" s="105"/>
      <c r="E21" s="105"/>
      <c r="F21" s="105"/>
      <c r="G21" s="105"/>
    </row>
    <row r="22" spans="1:7">
      <c r="A22" s="132" t="s">
        <v>78</v>
      </c>
      <c r="B22" s="133" t="s">
        <v>821</v>
      </c>
      <c r="C22" s="105"/>
      <c r="D22" s="105"/>
      <c r="E22" s="105"/>
      <c r="F22" s="105"/>
      <c r="G22" s="105"/>
    </row>
    <row r="23" spans="1:7">
      <c r="A23" s="130" t="s">
        <v>822</v>
      </c>
      <c r="B23" s="134" t="s">
        <v>823</v>
      </c>
      <c r="C23" s="690">
        <v>17.73</v>
      </c>
      <c r="D23" s="690"/>
      <c r="E23" s="691">
        <v>0</v>
      </c>
      <c r="F23" s="691"/>
      <c r="G23" s="105"/>
    </row>
    <row r="24" spans="1:7">
      <c r="A24" s="130" t="s">
        <v>824</v>
      </c>
      <c r="B24" s="134" t="s">
        <v>825</v>
      </c>
      <c r="C24" s="690">
        <v>3.4</v>
      </c>
      <c r="D24" s="690"/>
      <c r="E24" s="691">
        <v>0</v>
      </c>
      <c r="F24" s="691"/>
      <c r="G24" s="105"/>
    </row>
    <row r="25" spans="1:7">
      <c r="A25" s="130" t="s">
        <v>826</v>
      </c>
      <c r="B25" s="134" t="s">
        <v>827</v>
      </c>
      <c r="C25" s="690">
        <v>0.83</v>
      </c>
      <c r="D25" s="690"/>
      <c r="E25" s="691">
        <v>0.65</v>
      </c>
      <c r="F25" s="691"/>
      <c r="G25" s="105"/>
    </row>
    <row r="26" spans="1:7">
      <c r="A26" s="130" t="s">
        <v>828</v>
      </c>
      <c r="B26" s="134" t="s">
        <v>829</v>
      </c>
      <c r="C26" s="690">
        <v>10.68</v>
      </c>
      <c r="D26" s="690"/>
      <c r="E26" s="691">
        <v>8.33</v>
      </c>
      <c r="F26" s="691"/>
      <c r="G26" s="105"/>
    </row>
    <row r="27" spans="1:7">
      <c r="A27" s="130" t="s">
        <v>830</v>
      </c>
      <c r="B27" s="134" t="s">
        <v>831</v>
      </c>
      <c r="C27" s="690">
        <v>0.06</v>
      </c>
      <c r="D27" s="690"/>
      <c r="E27" s="691">
        <v>0.05</v>
      </c>
      <c r="F27" s="691"/>
      <c r="G27" s="105"/>
    </row>
    <row r="28" spans="1:7">
      <c r="A28" s="130" t="s">
        <v>832</v>
      </c>
      <c r="B28" s="134" t="s">
        <v>833</v>
      </c>
      <c r="C28" s="690">
        <v>0.71</v>
      </c>
      <c r="D28" s="690"/>
      <c r="E28" s="691">
        <v>0.56000000000000005</v>
      </c>
      <c r="F28" s="691"/>
      <c r="G28" s="105"/>
    </row>
    <row r="29" spans="1:7">
      <c r="A29" s="130" t="s">
        <v>834</v>
      </c>
      <c r="B29" s="134" t="s">
        <v>835</v>
      </c>
      <c r="C29" s="690">
        <v>1.26</v>
      </c>
      <c r="D29" s="690"/>
      <c r="E29" s="691">
        <v>0</v>
      </c>
      <c r="F29" s="691"/>
      <c r="G29" s="105"/>
    </row>
    <row r="30" spans="1:7">
      <c r="A30" s="130" t="s">
        <v>836</v>
      </c>
      <c r="B30" s="134" t="s">
        <v>837</v>
      </c>
      <c r="C30" s="690">
        <v>0.09</v>
      </c>
      <c r="D30" s="690"/>
      <c r="E30" s="691">
        <v>7.0000000000000007E-2</v>
      </c>
      <c r="F30" s="691"/>
      <c r="G30" s="105"/>
    </row>
    <row r="31" spans="1:7">
      <c r="A31" s="130" t="s">
        <v>838</v>
      </c>
      <c r="B31" s="134" t="s">
        <v>839</v>
      </c>
      <c r="C31" s="690">
        <v>7.81</v>
      </c>
      <c r="D31" s="690"/>
      <c r="E31" s="691">
        <v>6.1</v>
      </c>
      <c r="F31" s="691"/>
      <c r="G31" s="105"/>
    </row>
    <row r="32" spans="1:7">
      <c r="A32" s="130" t="s">
        <v>840</v>
      </c>
      <c r="B32" s="134" t="s">
        <v>841</v>
      </c>
      <c r="C32" s="690">
        <v>0.03</v>
      </c>
      <c r="D32" s="690"/>
      <c r="E32" s="691">
        <v>0.03</v>
      </c>
      <c r="F32" s="691"/>
      <c r="G32" s="105"/>
    </row>
    <row r="33" spans="1:7" ht="15" customHeight="1">
      <c r="A33" s="105"/>
      <c r="B33" s="122" t="s">
        <v>583</v>
      </c>
      <c r="C33" s="692">
        <f>SUM(C23:D32)</f>
        <v>42.600000000000009</v>
      </c>
      <c r="D33" s="692"/>
      <c r="E33" s="692">
        <f>SUM(E23:F32)</f>
        <v>15.790000000000001</v>
      </c>
      <c r="F33" s="692"/>
      <c r="G33" s="105"/>
    </row>
    <row r="34" spans="1:7" ht="15.75" customHeight="1">
      <c r="A34" s="105"/>
      <c r="B34" s="689" t="s">
        <v>801</v>
      </c>
      <c r="C34" s="689"/>
      <c r="D34" s="105"/>
      <c r="E34" s="105"/>
      <c r="F34" s="105"/>
      <c r="G34" s="105"/>
    </row>
    <row r="35" spans="1:7">
      <c r="A35" s="132" t="s">
        <v>85</v>
      </c>
      <c r="B35" s="133" t="s">
        <v>842</v>
      </c>
      <c r="C35" s="105"/>
      <c r="D35" s="105"/>
      <c r="E35" s="105"/>
      <c r="F35" s="105"/>
      <c r="G35" s="105"/>
    </row>
    <row r="36" spans="1:7">
      <c r="A36" s="130" t="s">
        <v>843</v>
      </c>
      <c r="B36" s="134" t="s">
        <v>844</v>
      </c>
      <c r="C36" s="690">
        <v>4.1500000000000004</v>
      </c>
      <c r="D36" s="690"/>
      <c r="E36" s="691">
        <v>3.24</v>
      </c>
      <c r="F36" s="691"/>
      <c r="G36" s="105"/>
    </row>
    <row r="37" spans="1:7">
      <c r="A37" s="130" t="s">
        <v>845</v>
      </c>
      <c r="B37" s="134" t="s">
        <v>846</v>
      </c>
      <c r="C37" s="690">
        <v>0.1</v>
      </c>
      <c r="D37" s="690"/>
      <c r="E37" s="691">
        <v>0.08</v>
      </c>
      <c r="F37" s="691"/>
      <c r="G37" s="105"/>
    </row>
    <row r="38" spans="1:7">
      <c r="A38" s="130" t="s">
        <v>847</v>
      </c>
      <c r="B38" s="134" t="s">
        <v>848</v>
      </c>
      <c r="C38" s="690">
        <v>5.34</v>
      </c>
      <c r="D38" s="690"/>
      <c r="E38" s="691">
        <v>4.17</v>
      </c>
      <c r="F38" s="691"/>
      <c r="G38" s="105"/>
    </row>
    <row r="39" spans="1:7">
      <c r="A39" s="130" t="s">
        <v>849</v>
      </c>
      <c r="B39" s="134" t="s">
        <v>850</v>
      </c>
      <c r="C39" s="690">
        <v>3.3</v>
      </c>
      <c r="D39" s="690"/>
      <c r="E39" s="691">
        <v>2.58</v>
      </c>
      <c r="F39" s="691"/>
      <c r="G39" s="105"/>
    </row>
    <row r="40" spans="1:7">
      <c r="A40" s="130" t="s">
        <v>851</v>
      </c>
      <c r="B40" s="134" t="s">
        <v>852</v>
      </c>
      <c r="C40" s="690">
        <v>0.35</v>
      </c>
      <c r="D40" s="690"/>
      <c r="E40" s="691">
        <v>0.27</v>
      </c>
      <c r="F40" s="691"/>
      <c r="G40" s="105"/>
    </row>
    <row r="41" spans="1:7" ht="15" customHeight="1">
      <c r="A41" s="105"/>
      <c r="B41" s="122" t="s">
        <v>583</v>
      </c>
      <c r="C41" s="692">
        <f>SUM(C36:D40)</f>
        <v>13.24</v>
      </c>
      <c r="D41" s="692"/>
      <c r="E41" s="692">
        <f>SUM(E36:F40)</f>
        <v>10.34</v>
      </c>
      <c r="F41" s="692"/>
      <c r="G41" s="105"/>
    </row>
    <row r="42" spans="1:7" ht="15.75" customHeight="1">
      <c r="A42" s="105"/>
      <c r="B42" s="689" t="s">
        <v>801</v>
      </c>
      <c r="C42" s="689"/>
      <c r="D42" s="105"/>
      <c r="E42" s="105"/>
      <c r="F42" s="105"/>
      <c r="G42" s="105"/>
    </row>
    <row r="43" spans="1:7">
      <c r="A43" s="132" t="s">
        <v>853</v>
      </c>
      <c r="B43" s="133" t="s">
        <v>854</v>
      </c>
      <c r="C43" s="105"/>
      <c r="D43" s="105"/>
      <c r="E43" s="105"/>
      <c r="F43" s="105"/>
      <c r="G43" s="105"/>
    </row>
    <row r="44" spans="1:7">
      <c r="A44" s="130" t="s">
        <v>855</v>
      </c>
      <c r="B44" s="134" t="s">
        <v>856</v>
      </c>
      <c r="C44" s="690">
        <v>16.100000000000001</v>
      </c>
      <c r="D44" s="690"/>
      <c r="E44" s="691">
        <v>5.97</v>
      </c>
      <c r="F44" s="691"/>
      <c r="G44" s="105"/>
    </row>
    <row r="45" spans="1:7" ht="38.25">
      <c r="A45" s="130" t="s">
        <v>857</v>
      </c>
      <c r="B45" s="134" t="s">
        <v>858</v>
      </c>
      <c r="C45" s="690">
        <v>0.37</v>
      </c>
      <c r="D45" s="690"/>
      <c r="E45" s="691">
        <v>0.28999999999999998</v>
      </c>
      <c r="F45" s="691"/>
      <c r="G45" s="105"/>
    </row>
    <row r="46" spans="1:7" ht="15" customHeight="1">
      <c r="A46" s="105"/>
      <c r="B46" s="122" t="s">
        <v>583</v>
      </c>
      <c r="C46" s="692">
        <f>SUM(C44:D45)</f>
        <v>16.470000000000002</v>
      </c>
      <c r="D46" s="692"/>
      <c r="E46" s="692">
        <f>SUM(E44:F45)</f>
        <v>6.26</v>
      </c>
      <c r="F46" s="692"/>
      <c r="G46" s="105"/>
    </row>
    <row r="47" spans="1:7" ht="15.75" customHeight="1">
      <c r="A47" s="105"/>
      <c r="B47" s="689" t="s">
        <v>801</v>
      </c>
      <c r="C47" s="689"/>
      <c r="D47" s="689"/>
      <c r="E47" s="105"/>
      <c r="F47" s="105"/>
      <c r="G47" s="105"/>
    </row>
    <row r="48" spans="1:7" ht="15" customHeight="1">
      <c r="A48" s="105"/>
      <c r="B48" s="111" t="s">
        <v>859</v>
      </c>
      <c r="C48" s="693">
        <f>C20+C33+C41+C46</f>
        <v>110.11</v>
      </c>
      <c r="D48" s="693"/>
      <c r="E48" s="693">
        <f>E20+E33+E41+E46</f>
        <v>70.19</v>
      </c>
      <c r="F48" s="693"/>
      <c r="G48" s="105"/>
    </row>
    <row r="49" spans="1:7" ht="15.75" customHeight="1">
      <c r="A49" s="105"/>
      <c r="B49" s="689" t="s">
        <v>801</v>
      </c>
      <c r="C49" s="689"/>
      <c r="D49" s="689"/>
      <c r="E49" s="689"/>
      <c r="F49" s="105"/>
      <c r="G49" s="105"/>
    </row>
    <row r="50" spans="1:7" ht="15" customHeight="1">
      <c r="A50" s="105"/>
      <c r="B50" s="687" t="s">
        <v>3796</v>
      </c>
      <c r="C50" s="687"/>
      <c r="D50" s="105"/>
      <c r="E50" s="105"/>
      <c r="F50" s="105"/>
      <c r="G50" s="105"/>
    </row>
    <row r="51" spans="1:7" ht="15.75" customHeight="1">
      <c r="A51" s="131" t="s">
        <v>798</v>
      </c>
      <c r="B51" s="131" t="s">
        <v>33</v>
      </c>
      <c r="C51" s="688" t="s">
        <v>799</v>
      </c>
      <c r="D51" s="688"/>
      <c r="E51" s="688" t="s">
        <v>800</v>
      </c>
      <c r="F51" s="688"/>
      <c r="G51" s="105"/>
    </row>
    <row r="52" spans="1:7" ht="15.75" customHeight="1">
      <c r="A52" s="105"/>
      <c r="B52" s="689" t="s">
        <v>801</v>
      </c>
      <c r="C52" s="689"/>
      <c r="D52" s="105"/>
      <c r="E52" s="105"/>
      <c r="F52" s="105"/>
      <c r="G52" s="105"/>
    </row>
    <row r="53" spans="1:7">
      <c r="A53" s="132" t="s">
        <v>71</v>
      </c>
      <c r="B53" s="133" t="s">
        <v>802</v>
      </c>
      <c r="C53" s="105"/>
      <c r="D53" s="105"/>
      <c r="E53" s="105"/>
      <c r="F53" s="105"/>
      <c r="G53" s="105"/>
    </row>
    <row r="54" spans="1:7">
      <c r="A54" s="130" t="s">
        <v>803</v>
      </c>
      <c r="B54" s="134" t="s">
        <v>869</v>
      </c>
      <c r="C54" s="690">
        <v>20</v>
      </c>
      <c r="D54" s="690"/>
      <c r="E54" s="691">
        <v>0</v>
      </c>
      <c r="F54" s="691"/>
      <c r="G54" s="105"/>
    </row>
    <row r="55" spans="1:7">
      <c r="A55" s="130" t="s">
        <v>805</v>
      </c>
      <c r="B55" s="134" t="s">
        <v>870</v>
      </c>
      <c r="C55" s="690">
        <v>8</v>
      </c>
      <c r="D55" s="690"/>
      <c r="E55" s="691">
        <v>0</v>
      </c>
      <c r="F55" s="691"/>
      <c r="G55" s="105"/>
    </row>
    <row r="56" spans="1:7">
      <c r="A56" s="130" t="s">
        <v>807</v>
      </c>
      <c r="B56" s="134" t="s">
        <v>871</v>
      </c>
      <c r="C56" s="690">
        <v>2.5</v>
      </c>
      <c r="D56" s="690"/>
      <c r="E56" s="691">
        <v>0</v>
      </c>
      <c r="F56" s="691"/>
      <c r="G56" s="105"/>
    </row>
    <row r="57" spans="1:7">
      <c r="A57" s="130" t="s">
        <v>809</v>
      </c>
      <c r="B57" s="134" t="s">
        <v>872</v>
      </c>
      <c r="C57" s="690">
        <v>1.5</v>
      </c>
      <c r="D57" s="690"/>
      <c r="E57" s="691">
        <v>0</v>
      </c>
      <c r="F57" s="691"/>
      <c r="G57" s="105"/>
    </row>
    <row r="58" spans="1:7">
      <c r="A58" s="130" t="s">
        <v>811</v>
      </c>
      <c r="B58" s="134" t="s">
        <v>874</v>
      </c>
      <c r="C58" s="690">
        <v>1</v>
      </c>
      <c r="D58" s="690"/>
      <c r="E58" s="691">
        <v>0</v>
      </c>
      <c r="F58" s="691"/>
      <c r="G58" s="105"/>
    </row>
    <row r="59" spans="1:7">
      <c r="A59" s="130" t="s">
        <v>813</v>
      </c>
      <c r="B59" s="134" t="s">
        <v>875</v>
      </c>
      <c r="C59" s="690">
        <v>0.6</v>
      </c>
      <c r="D59" s="690"/>
      <c r="E59" s="691">
        <v>0</v>
      </c>
      <c r="F59" s="691"/>
      <c r="G59" s="105"/>
    </row>
    <row r="60" spans="1:7">
      <c r="A60" s="130" t="s">
        <v>815</v>
      </c>
      <c r="B60" s="134" t="s">
        <v>876</v>
      </c>
      <c r="C60" s="690">
        <v>0.2</v>
      </c>
      <c r="D60" s="690"/>
      <c r="E60" s="691">
        <v>0</v>
      </c>
      <c r="F60" s="691"/>
      <c r="G60" s="105"/>
    </row>
    <row r="61" spans="1:7">
      <c r="A61" s="130" t="s">
        <v>817</v>
      </c>
      <c r="B61" s="134" t="s">
        <v>1819</v>
      </c>
      <c r="C61" s="690">
        <v>3</v>
      </c>
      <c r="D61" s="690"/>
      <c r="E61" s="691">
        <v>0</v>
      </c>
      <c r="F61" s="691"/>
      <c r="G61" s="105"/>
    </row>
    <row r="62" spans="1:7" ht="15" customHeight="1">
      <c r="A62" s="130" t="s">
        <v>819</v>
      </c>
      <c r="B62" s="134" t="s">
        <v>873</v>
      </c>
      <c r="C62" s="690">
        <v>1</v>
      </c>
      <c r="D62" s="690"/>
      <c r="E62" s="691">
        <v>0</v>
      </c>
      <c r="F62" s="691"/>
      <c r="G62" s="105"/>
    </row>
    <row r="63" spans="1:7">
      <c r="A63" s="105"/>
      <c r="B63" s="122" t="s">
        <v>583</v>
      </c>
      <c r="C63" s="692">
        <f>SUM(C54:D62)</f>
        <v>37.800000000000004</v>
      </c>
      <c r="D63" s="692"/>
      <c r="E63" s="692">
        <f>SUM(E54:F62)</f>
        <v>0</v>
      </c>
      <c r="F63" s="692"/>
      <c r="G63" s="105"/>
    </row>
    <row r="64" spans="1:7" ht="15.75" customHeight="1">
      <c r="A64" s="105"/>
      <c r="B64" s="689" t="s">
        <v>801</v>
      </c>
      <c r="C64" s="689"/>
      <c r="D64" s="105"/>
      <c r="E64" s="105"/>
      <c r="F64" s="105"/>
      <c r="G64" s="105"/>
    </row>
    <row r="65" spans="1:7">
      <c r="A65" s="132" t="s">
        <v>78</v>
      </c>
      <c r="B65" s="133" t="s">
        <v>821</v>
      </c>
      <c r="C65" s="105"/>
      <c r="D65" s="105"/>
      <c r="E65" s="105"/>
      <c r="F65" s="105"/>
      <c r="G65" s="105"/>
    </row>
    <row r="66" spans="1:7">
      <c r="A66" s="130" t="s">
        <v>822</v>
      </c>
      <c r="B66" s="134" t="s">
        <v>878</v>
      </c>
      <c r="C66" s="690">
        <v>0.79</v>
      </c>
      <c r="D66" s="690"/>
      <c r="E66" s="691">
        <v>0</v>
      </c>
      <c r="F66" s="691"/>
      <c r="G66" s="105"/>
    </row>
    <row r="67" spans="1:7">
      <c r="A67" s="130" t="s">
        <v>824</v>
      </c>
      <c r="B67" s="134" t="s">
        <v>860</v>
      </c>
      <c r="C67" s="690">
        <v>22.9</v>
      </c>
      <c r="D67" s="690"/>
      <c r="E67" s="691">
        <v>0</v>
      </c>
      <c r="F67" s="691"/>
      <c r="G67" s="105"/>
    </row>
    <row r="68" spans="1:7">
      <c r="A68" s="130" t="s">
        <v>826</v>
      </c>
      <c r="B68" s="134" t="s">
        <v>861</v>
      </c>
      <c r="C68" s="690">
        <v>0.34</v>
      </c>
      <c r="D68" s="690"/>
      <c r="E68" s="691">
        <v>0</v>
      </c>
      <c r="F68" s="691"/>
      <c r="G68" s="105"/>
    </row>
    <row r="69" spans="1:7">
      <c r="A69" s="130" t="s">
        <v>828</v>
      </c>
      <c r="B69" s="134" t="s">
        <v>862</v>
      </c>
      <c r="C69" s="690">
        <v>10.57</v>
      </c>
      <c r="D69" s="690"/>
      <c r="E69" s="691">
        <v>0</v>
      </c>
      <c r="F69" s="691"/>
      <c r="G69" s="105"/>
    </row>
    <row r="70" spans="1:7" ht="15" customHeight="1">
      <c r="A70" s="130" t="s">
        <v>830</v>
      </c>
      <c r="B70" s="134" t="s">
        <v>863</v>
      </c>
      <c r="C70" s="690">
        <v>4.57</v>
      </c>
      <c r="D70" s="690"/>
      <c r="E70" s="691">
        <v>0</v>
      </c>
      <c r="F70" s="691"/>
      <c r="G70" s="105"/>
    </row>
    <row r="71" spans="1:7">
      <c r="A71" s="105"/>
      <c r="B71" s="122" t="s">
        <v>583</v>
      </c>
      <c r="C71" s="692">
        <f>SUM(C66:D70)</f>
        <v>39.169999999999995</v>
      </c>
      <c r="D71" s="692"/>
      <c r="E71" s="692">
        <f>SUM(E66:F70)</f>
        <v>0</v>
      </c>
      <c r="F71" s="692"/>
      <c r="G71" s="105"/>
    </row>
    <row r="72" spans="1:7" ht="15.75" customHeight="1">
      <c r="A72" s="105"/>
      <c r="B72" s="689" t="s">
        <v>801</v>
      </c>
      <c r="C72" s="689"/>
      <c r="D72" s="105"/>
      <c r="E72" s="105"/>
      <c r="F72" s="105"/>
      <c r="G72" s="105"/>
    </row>
    <row r="73" spans="1:7">
      <c r="A73" s="132" t="s">
        <v>85</v>
      </c>
      <c r="B73" s="133" t="s">
        <v>842</v>
      </c>
      <c r="C73" s="105"/>
      <c r="D73" s="105"/>
      <c r="E73" s="105"/>
      <c r="F73" s="105"/>
      <c r="G73" s="105"/>
    </row>
    <row r="74" spans="1:7">
      <c r="A74" s="130" t="s">
        <v>843</v>
      </c>
      <c r="B74" s="134" t="s">
        <v>864</v>
      </c>
      <c r="C74" s="690">
        <v>4.45</v>
      </c>
      <c r="D74" s="690"/>
      <c r="E74" s="691">
        <v>0</v>
      </c>
      <c r="F74" s="691"/>
      <c r="G74" s="105"/>
    </row>
    <row r="75" spans="1:7">
      <c r="A75" s="130" t="s">
        <v>845</v>
      </c>
      <c r="B75" s="134" t="s">
        <v>865</v>
      </c>
      <c r="C75" s="690">
        <v>14.06</v>
      </c>
      <c r="D75" s="690"/>
      <c r="E75" s="691">
        <v>0</v>
      </c>
      <c r="F75" s="691"/>
      <c r="G75" s="105"/>
    </row>
    <row r="76" spans="1:7" ht="15" customHeight="1">
      <c r="A76" s="130" t="s">
        <v>847</v>
      </c>
      <c r="B76" s="134" t="s">
        <v>866</v>
      </c>
      <c r="C76" s="690">
        <v>13.12</v>
      </c>
      <c r="D76" s="690"/>
      <c r="E76" s="691">
        <v>0</v>
      </c>
      <c r="F76" s="691"/>
      <c r="G76" s="105"/>
    </row>
    <row r="77" spans="1:7">
      <c r="A77" s="105"/>
      <c r="B77" s="122" t="s">
        <v>583</v>
      </c>
      <c r="C77" s="692">
        <f>SUM(C74:D76)</f>
        <v>31.630000000000003</v>
      </c>
      <c r="D77" s="692"/>
      <c r="E77" s="692">
        <f>SUM(E74:F76)</f>
        <v>0</v>
      </c>
      <c r="F77" s="692"/>
      <c r="G77" s="105"/>
    </row>
    <row r="78" spans="1:7" ht="15.75" customHeight="1">
      <c r="A78" s="105"/>
      <c r="B78" s="689" t="s">
        <v>801</v>
      </c>
      <c r="C78" s="689"/>
      <c r="D78" s="105"/>
      <c r="E78" s="105"/>
      <c r="F78" s="105"/>
      <c r="G78" s="105"/>
    </row>
    <row r="79" spans="1:7">
      <c r="A79" s="132" t="s">
        <v>853</v>
      </c>
      <c r="B79" s="133" t="s">
        <v>854</v>
      </c>
      <c r="C79" s="105"/>
      <c r="D79" s="105"/>
      <c r="E79" s="105"/>
      <c r="F79" s="105"/>
      <c r="G79" s="105"/>
    </row>
    <row r="80" spans="1:7">
      <c r="A80" s="130" t="s">
        <v>855</v>
      </c>
      <c r="B80" s="134" t="s">
        <v>867</v>
      </c>
      <c r="C80" s="690">
        <v>14.8</v>
      </c>
      <c r="D80" s="690"/>
      <c r="E80" s="691">
        <v>0</v>
      </c>
      <c r="F80" s="691"/>
      <c r="G80" s="105"/>
    </row>
    <row r="81" spans="1:7" ht="15" customHeight="1">
      <c r="A81" s="130" t="s">
        <v>857</v>
      </c>
      <c r="B81" s="134" t="s">
        <v>868</v>
      </c>
      <c r="C81" s="690">
        <v>4.83</v>
      </c>
      <c r="D81" s="690"/>
      <c r="E81" s="691">
        <v>0</v>
      </c>
      <c r="F81" s="691"/>
      <c r="G81" s="105"/>
    </row>
    <row r="82" spans="1:7">
      <c r="A82" s="105"/>
      <c r="B82" s="122" t="s">
        <v>583</v>
      </c>
      <c r="C82" s="692">
        <f>SUM(C80:D81)</f>
        <v>19.630000000000003</v>
      </c>
      <c r="D82" s="692"/>
      <c r="E82" s="692">
        <f>SUM(E80:F81)</f>
        <v>0</v>
      </c>
      <c r="F82" s="692"/>
      <c r="G82" s="105"/>
    </row>
    <row r="83" spans="1:7" ht="15.75" customHeight="1">
      <c r="A83" s="105"/>
      <c r="B83" s="689" t="s">
        <v>801</v>
      </c>
      <c r="C83" s="689"/>
      <c r="D83" s="689"/>
      <c r="E83" s="105"/>
      <c r="F83" s="105"/>
      <c r="G83" s="105"/>
    </row>
    <row r="84" spans="1:7" ht="15" customHeight="1">
      <c r="A84" s="105"/>
      <c r="B84" s="111" t="s">
        <v>859</v>
      </c>
      <c r="C84" s="693">
        <f>C63+C71+C77+C82</f>
        <v>128.22999999999999</v>
      </c>
      <c r="D84" s="693"/>
      <c r="E84" s="693">
        <f>E63+E71+E77+E82</f>
        <v>0</v>
      </c>
      <c r="F84" s="693"/>
      <c r="G84" s="105"/>
    </row>
    <row r="85" spans="1:7" ht="15.75" customHeight="1">
      <c r="A85" s="105"/>
      <c r="B85" s="689" t="s">
        <v>801</v>
      </c>
      <c r="C85" s="689"/>
      <c r="D85" s="689"/>
      <c r="E85" s="689"/>
      <c r="F85" s="105"/>
      <c r="G85" s="105"/>
    </row>
    <row r="86" spans="1:7" ht="15.75" customHeight="1">
      <c r="A86" s="105"/>
      <c r="B86" s="687" t="s">
        <v>3998</v>
      </c>
      <c r="C86" s="687"/>
      <c r="D86" s="105"/>
      <c r="E86" s="105"/>
      <c r="F86" s="105"/>
      <c r="G86" s="105"/>
    </row>
    <row r="87" spans="1:7" ht="15.75" customHeight="1">
      <c r="A87" s="131" t="s">
        <v>798</v>
      </c>
      <c r="B87" s="131" t="s">
        <v>33</v>
      </c>
      <c r="C87" s="688" t="s">
        <v>799</v>
      </c>
      <c r="D87" s="688"/>
      <c r="E87" s="688" t="s">
        <v>800</v>
      </c>
      <c r="F87" s="688"/>
      <c r="G87" s="105"/>
    </row>
    <row r="88" spans="1:7" ht="15.75" customHeight="1">
      <c r="A88" s="105"/>
      <c r="B88" s="689" t="s">
        <v>801</v>
      </c>
      <c r="C88" s="689"/>
      <c r="D88" s="105"/>
      <c r="E88" s="105"/>
      <c r="F88" s="105"/>
      <c r="G88" s="105"/>
    </row>
    <row r="89" spans="1:7">
      <c r="A89" s="132" t="s">
        <v>71</v>
      </c>
      <c r="B89" s="133" t="s">
        <v>802</v>
      </c>
      <c r="C89" s="105"/>
      <c r="D89" s="105"/>
      <c r="E89" s="105"/>
      <c r="F89" s="105"/>
      <c r="G89" s="105"/>
    </row>
    <row r="90" spans="1:7">
      <c r="A90" s="130" t="s">
        <v>803</v>
      </c>
      <c r="B90" s="134" t="s">
        <v>804</v>
      </c>
      <c r="C90" s="690">
        <v>20</v>
      </c>
      <c r="D90" s="690"/>
      <c r="E90" s="691">
        <v>20</v>
      </c>
      <c r="F90" s="691"/>
      <c r="G90" s="105"/>
    </row>
    <row r="91" spans="1:7">
      <c r="A91" s="130" t="s">
        <v>805</v>
      </c>
      <c r="B91" s="134" t="s">
        <v>806</v>
      </c>
      <c r="C91" s="690">
        <v>1.5</v>
      </c>
      <c r="D91" s="690"/>
      <c r="E91" s="691">
        <v>1.5</v>
      </c>
      <c r="F91" s="691"/>
      <c r="G91" s="105"/>
    </row>
    <row r="92" spans="1:7">
      <c r="A92" s="130" t="s">
        <v>807</v>
      </c>
      <c r="B92" s="134" t="s">
        <v>808</v>
      </c>
      <c r="C92" s="690">
        <v>1</v>
      </c>
      <c r="D92" s="690"/>
      <c r="E92" s="691">
        <v>1</v>
      </c>
      <c r="F92" s="691"/>
      <c r="G92" s="105"/>
    </row>
    <row r="93" spans="1:7">
      <c r="A93" s="130" t="s">
        <v>809</v>
      </c>
      <c r="B93" s="134" t="s">
        <v>810</v>
      </c>
      <c r="C93" s="690">
        <v>0.2</v>
      </c>
      <c r="D93" s="690"/>
      <c r="E93" s="691">
        <v>0.2</v>
      </c>
      <c r="F93" s="691"/>
      <c r="G93" s="105"/>
    </row>
    <row r="94" spans="1:7">
      <c r="A94" s="130" t="s">
        <v>811</v>
      </c>
      <c r="B94" s="134" t="s">
        <v>812</v>
      </c>
      <c r="C94" s="690">
        <v>0.6</v>
      </c>
      <c r="D94" s="690"/>
      <c r="E94" s="691">
        <v>0.6</v>
      </c>
      <c r="F94" s="691"/>
      <c r="G94" s="105"/>
    </row>
    <row r="95" spans="1:7">
      <c r="A95" s="130" t="s">
        <v>813</v>
      </c>
      <c r="B95" s="134" t="s">
        <v>814</v>
      </c>
      <c r="C95" s="690">
        <v>2.5</v>
      </c>
      <c r="D95" s="690"/>
      <c r="E95" s="691">
        <v>2.5</v>
      </c>
      <c r="F95" s="691"/>
      <c r="G95" s="105"/>
    </row>
    <row r="96" spans="1:7">
      <c r="A96" s="130" t="s">
        <v>815</v>
      </c>
      <c r="B96" s="134" t="s">
        <v>816</v>
      </c>
      <c r="C96" s="690">
        <v>3</v>
      </c>
      <c r="D96" s="690"/>
      <c r="E96" s="691">
        <v>3</v>
      </c>
      <c r="F96" s="691"/>
      <c r="G96" s="105"/>
    </row>
    <row r="97" spans="1:7" ht="15" customHeight="1">
      <c r="A97" s="130" t="s">
        <v>817</v>
      </c>
      <c r="B97" s="134" t="s">
        <v>818</v>
      </c>
      <c r="C97" s="690">
        <v>8</v>
      </c>
      <c r="D97" s="690"/>
      <c r="E97" s="691">
        <v>8</v>
      </c>
      <c r="F97" s="691"/>
      <c r="G97" s="105"/>
    </row>
    <row r="98" spans="1:7">
      <c r="A98" s="130" t="s">
        <v>819</v>
      </c>
      <c r="B98" s="134" t="s">
        <v>820</v>
      </c>
      <c r="C98" s="690">
        <v>1</v>
      </c>
      <c r="D98" s="690"/>
      <c r="E98" s="691">
        <v>1</v>
      </c>
      <c r="F98" s="691"/>
      <c r="G98" s="105"/>
    </row>
    <row r="99" spans="1:7">
      <c r="A99" s="105"/>
      <c r="B99" s="122" t="s">
        <v>583</v>
      </c>
      <c r="C99" s="692">
        <f>SUM(C90:D98)</f>
        <v>37.799999999999997</v>
      </c>
      <c r="D99" s="692"/>
      <c r="E99" s="692">
        <f>SUM(E90:F98)</f>
        <v>37.799999999999997</v>
      </c>
      <c r="F99" s="692"/>
      <c r="G99" s="105"/>
    </row>
    <row r="100" spans="1:7" ht="15.75" customHeight="1">
      <c r="A100" s="105"/>
      <c r="B100" s="689" t="s">
        <v>801</v>
      </c>
      <c r="C100" s="689"/>
      <c r="D100" s="105"/>
      <c r="E100" s="105"/>
      <c r="F100" s="105"/>
      <c r="G100" s="105"/>
    </row>
    <row r="101" spans="1:7">
      <c r="A101" s="132" t="s">
        <v>78</v>
      </c>
      <c r="B101" s="133" t="s">
        <v>821</v>
      </c>
      <c r="C101" s="105"/>
      <c r="D101" s="105"/>
      <c r="E101" s="105"/>
      <c r="F101" s="105"/>
      <c r="G101" s="105"/>
    </row>
    <row r="102" spans="1:7">
      <c r="A102" s="130" t="s">
        <v>822</v>
      </c>
      <c r="B102" s="134" t="s">
        <v>823</v>
      </c>
      <c r="C102" s="690">
        <v>17.73</v>
      </c>
      <c r="D102" s="690"/>
      <c r="E102" s="691">
        <v>0</v>
      </c>
      <c r="F102" s="691"/>
      <c r="G102" s="105"/>
    </row>
    <row r="103" spans="1:7">
      <c r="A103" s="130" t="s">
        <v>824</v>
      </c>
      <c r="B103" s="134" t="s">
        <v>825</v>
      </c>
      <c r="C103" s="690">
        <v>3.4</v>
      </c>
      <c r="D103" s="690"/>
      <c r="E103" s="691">
        <v>0</v>
      </c>
      <c r="F103" s="691"/>
      <c r="G103" s="105"/>
    </row>
    <row r="104" spans="1:7">
      <c r="A104" s="130" t="s">
        <v>826</v>
      </c>
      <c r="B104" s="134" t="s">
        <v>827</v>
      </c>
      <c r="C104" s="690">
        <v>0.83</v>
      </c>
      <c r="D104" s="690"/>
      <c r="E104" s="691">
        <v>0.64</v>
      </c>
      <c r="F104" s="691"/>
      <c r="G104" s="105"/>
    </row>
    <row r="105" spans="1:7">
      <c r="A105" s="130" t="s">
        <v>828</v>
      </c>
      <c r="B105" s="134" t="s">
        <v>829</v>
      </c>
      <c r="C105" s="690">
        <v>10.72</v>
      </c>
      <c r="D105" s="690"/>
      <c r="E105" s="691">
        <v>8.33</v>
      </c>
      <c r="F105" s="691"/>
      <c r="G105" s="105"/>
    </row>
    <row r="106" spans="1:7">
      <c r="A106" s="130" t="s">
        <v>830</v>
      </c>
      <c r="B106" s="134" t="s">
        <v>831</v>
      </c>
      <c r="C106" s="690">
        <v>0.06</v>
      </c>
      <c r="D106" s="690"/>
      <c r="E106" s="691">
        <v>0.04</v>
      </c>
      <c r="F106" s="691"/>
      <c r="G106" s="105"/>
    </row>
    <row r="107" spans="1:7">
      <c r="A107" s="130" t="s">
        <v>832</v>
      </c>
      <c r="B107" s="134" t="s">
        <v>833</v>
      </c>
      <c r="C107" s="690">
        <v>0.71</v>
      </c>
      <c r="D107" s="690"/>
      <c r="E107" s="691">
        <v>0.56000000000000005</v>
      </c>
      <c r="F107" s="691"/>
      <c r="G107" s="105"/>
    </row>
    <row r="108" spans="1:7">
      <c r="A108" s="130" t="s">
        <v>834</v>
      </c>
      <c r="B108" s="134" t="s">
        <v>835</v>
      </c>
      <c r="C108" s="690">
        <v>1.27</v>
      </c>
      <c r="D108" s="690"/>
      <c r="E108" s="691">
        <v>0</v>
      </c>
      <c r="F108" s="691"/>
      <c r="G108" s="105"/>
    </row>
    <row r="109" spans="1:7">
      <c r="A109" s="130" t="s">
        <v>836</v>
      </c>
      <c r="B109" s="134" t="s">
        <v>837</v>
      </c>
      <c r="C109" s="690">
        <v>0.1</v>
      </c>
      <c r="D109" s="690"/>
      <c r="E109" s="691">
        <v>0.08</v>
      </c>
      <c r="F109" s="691"/>
      <c r="G109" s="105"/>
    </row>
    <row r="110" spans="1:7" ht="15" customHeight="1">
      <c r="A110" s="130" t="s">
        <v>838</v>
      </c>
      <c r="B110" s="134" t="s">
        <v>839</v>
      </c>
      <c r="C110" s="690">
        <v>8.44</v>
      </c>
      <c r="D110" s="690"/>
      <c r="E110" s="691">
        <v>6.56</v>
      </c>
      <c r="F110" s="691"/>
      <c r="G110" s="105"/>
    </row>
    <row r="111" spans="1:7">
      <c r="A111" s="130" t="s">
        <v>840</v>
      </c>
      <c r="B111" s="134" t="s">
        <v>841</v>
      </c>
      <c r="C111" s="690">
        <v>0.04</v>
      </c>
      <c r="D111" s="690"/>
      <c r="E111" s="691">
        <v>0.03</v>
      </c>
      <c r="F111" s="691"/>
      <c r="G111" s="105"/>
    </row>
    <row r="112" spans="1:7">
      <c r="A112" s="105"/>
      <c r="B112" s="122" t="s">
        <v>583</v>
      </c>
      <c r="C112" s="692">
        <f>SUM(C102:D111)</f>
        <v>43.300000000000004</v>
      </c>
      <c r="D112" s="692"/>
      <c r="E112" s="692">
        <f>SUM(E102:F111)</f>
        <v>16.240000000000002</v>
      </c>
      <c r="F112" s="692"/>
      <c r="G112" s="105"/>
    </row>
    <row r="113" spans="1:7" ht="15.75" customHeight="1">
      <c r="A113" s="105"/>
      <c r="B113" s="689" t="s">
        <v>801</v>
      </c>
      <c r="C113" s="689"/>
      <c r="D113" s="105"/>
      <c r="E113" s="105"/>
      <c r="F113" s="105"/>
      <c r="G113" s="105"/>
    </row>
    <row r="114" spans="1:7">
      <c r="A114" s="132" t="s">
        <v>85</v>
      </c>
      <c r="B114" s="133" t="s">
        <v>842</v>
      </c>
      <c r="C114" s="105"/>
      <c r="D114" s="105"/>
      <c r="E114" s="105"/>
      <c r="F114" s="105"/>
      <c r="G114" s="105"/>
    </row>
    <row r="115" spans="1:7">
      <c r="A115" s="130" t="s">
        <v>843</v>
      </c>
      <c r="B115" s="134" t="s">
        <v>844</v>
      </c>
      <c r="C115" s="690">
        <v>4.16</v>
      </c>
      <c r="D115" s="690"/>
      <c r="E115" s="691">
        <v>3.24</v>
      </c>
      <c r="F115" s="691"/>
      <c r="G115" s="105"/>
    </row>
    <row r="116" spans="1:7">
      <c r="A116" s="130" t="s">
        <v>845</v>
      </c>
      <c r="B116" s="134" t="s">
        <v>846</v>
      </c>
      <c r="C116" s="690">
        <v>0.1</v>
      </c>
      <c r="D116" s="690"/>
      <c r="E116" s="691">
        <v>0.08</v>
      </c>
      <c r="F116" s="691"/>
      <c r="G116" s="105"/>
    </row>
    <row r="117" spans="1:7">
      <c r="A117" s="130" t="s">
        <v>847</v>
      </c>
      <c r="B117" s="134" t="s">
        <v>848</v>
      </c>
      <c r="C117" s="690">
        <v>4.6100000000000003</v>
      </c>
      <c r="D117" s="690"/>
      <c r="E117" s="691">
        <v>3.59</v>
      </c>
      <c r="F117" s="691"/>
      <c r="G117" s="105"/>
    </row>
    <row r="118" spans="1:7" ht="15" customHeight="1">
      <c r="A118" s="130" t="s">
        <v>849</v>
      </c>
      <c r="B118" s="134" t="s">
        <v>850</v>
      </c>
      <c r="C118" s="690">
        <v>3.08</v>
      </c>
      <c r="D118" s="690"/>
      <c r="E118" s="691">
        <v>2.39</v>
      </c>
      <c r="F118" s="691"/>
      <c r="G118" s="105"/>
    </row>
    <row r="119" spans="1:7">
      <c r="A119" s="130" t="s">
        <v>851</v>
      </c>
      <c r="B119" s="134" t="s">
        <v>852</v>
      </c>
      <c r="C119" s="690">
        <v>0.35</v>
      </c>
      <c r="D119" s="690"/>
      <c r="E119" s="691">
        <v>0.27</v>
      </c>
      <c r="F119" s="691"/>
      <c r="G119" s="105"/>
    </row>
    <row r="120" spans="1:7">
      <c r="A120" s="105"/>
      <c r="B120" s="122" t="s">
        <v>583</v>
      </c>
      <c r="C120" s="692">
        <f>SUM(C115:D119)</f>
        <v>12.3</v>
      </c>
      <c r="D120" s="692"/>
      <c r="E120" s="692">
        <f>SUM(E115:F119)</f>
        <v>9.57</v>
      </c>
      <c r="F120" s="692"/>
      <c r="G120" s="105"/>
    </row>
    <row r="121" spans="1:7" ht="15.75" customHeight="1">
      <c r="A121" s="105"/>
      <c r="B121" s="689" t="s">
        <v>801</v>
      </c>
      <c r="C121" s="689"/>
      <c r="D121" s="105"/>
      <c r="E121" s="105"/>
      <c r="F121" s="105"/>
      <c r="G121" s="105"/>
    </row>
    <row r="122" spans="1:7">
      <c r="A122" s="132" t="s">
        <v>853</v>
      </c>
      <c r="B122" s="133" t="s">
        <v>854</v>
      </c>
      <c r="C122" s="105"/>
      <c r="D122" s="105"/>
      <c r="E122" s="105"/>
      <c r="F122" s="105"/>
      <c r="G122" s="105"/>
    </row>
    <row r="123" spans="1:7" ht="15" customHeight="1">
      <c r="A123" s="130" t="s">
        <v>855</v>
      </c>
      <c r="B123" s="134" t="s">
        <v>856</v>
      </c>
      <c r="C123" s="690">
        <v>16.37</v>
      </c>
      <c r="D123" s="690"/>
      <c r="E123" s="691">
        <v>6.14</v>
      </c>
      <c r="F123" s="691"/>
      <c r="G123" s="105"/>
    </row>
    <row r="124" spans="1:7" ht="38.25">
      <c r="A124" s="130" t="s">
        <v>857</v>
      </c>
      <c r="B124" s="134" t="s">
        <v>858</v>
      </c>
      <c r="C124" s="690">
        <v>0.37</v>
      </c>
      <c r="D124" s="690"/>
      <c r="E124" s="691">
        <v>0.28999999999999998</v>
      </c>
      <c r="F124" s="691"/>
      <c r="G124" s="105"/>
    </row>
    <row r="125" spans="1:7" ht="15" customHeight="1">
      <c r="A125" s="105"/>
      <c r="B125" s="122" t="s">
        <v>583</v>
      </c>
      <c r="C125" s="692">
        <f>SUM(C123:D124)</f>
        <v>16.740000000000002</v>
      </c>
      <c r="D125" s="692"/>
      <c r="E125" s="692">
        <f>SUM(E123:F124)</f>
        <v>6.43</v>
      </c>
      <c r="F125" s="692"/>
      <c r="G125" s="105"/>
    </row>
    <row r="126" spans="1:7" ht="15.75" customHeight="1">
      <c r="A126" s="105"/>
      <c r="B126" s="689" t="s">
        <v>801</v>
      </c>
      <c r="C126" s="689"/>
      <c r="D126" s="689"/>
      <c r="E126" s="105"/>
      <c r="F126" s="105"/>
      <c r="G126" s="105"/>
    </row>
    <row r="127" spans="1:7" ht="15" customHeight="1">
      <c r="A127" s="105"/>
      <c r="B127" s="111" t="s">
        <v>859</v>
      </c>
      <c r="C127" s="693">
        <f>C99+C112+C120+C125</f>
        <v>110.13999999999999</v>
      </c>
      <c r="D127" s="693"/>
      <c r="E127" s="693">
        <f>E99+E112+E120+E125</f>
        <v>70.039999999999992</v>
      </c>
      <c r="F127" s="693"/>
      <c r="G127" s="105"/>
    </row>
    <row r="128" spans="1:7" ht="15.75" customHeight="1">
      <c r="A128" s="105"/>
      <c r="B128" s="689" t="s">
        <v>801</v>
      </c>
      <c r="C128" s="689"/>
      <c r="D128" s="689"/>
      <c r="E128" s="689"/>
      <c r="F128" s="105"/>
      <c r="G128" s="105"/>
    </row>
    <row r="129" spans="1:7">
      <c r="A129" s="105"/>
      <c r="B129" s="687" t="s">
        <v>4000</v>
      </c>
      <c r="C129" s="687"/>
      <c r="D129" s="105"/>
      <c r="E129" s="105"/>
      <c r="F129" s="105"/>
      <c r="G129" s="105"/>
    </row>
    <row r="130" spans="1:7" ht="15.75" customHeight="1">
      <c r="A130" s="131" t="s">
        <v>798</v>
      </c>
      <c r="B130" s="131" t="s">
        <v>33</v>
      </c>
      <c r="C130" s="688" t="s">
        <v>799</v>
      </c>
      <c r="D130" s="688"/>
      <c r="E130" s="688" t="s">
        <v>800</v>
      </c>
      <c r="F130" s="688"/>
      <c r="G130" s="105"/>
    </row>
    <row r="131" spans="1:7" ht="15.75" customHeight="1">
      <c r="A131" s="105"/>
      <c r="B131" s="689" t="s">
        <v>801</v>
      </c>
      <c r="C131" s="689"/>
      <c r="D131" s="105"/>
      <c r="E131" s="105"/>
      <c r="F131" s="105"/>
      <c r="G131" s="105"/>
    </row>
    <row r="132" spans="1:7">
      <c r="A132" s="132" t="s">
        <v>71</v>
      </c>
      <c r="B132" s="133" t="s">
        <v>802</v>
      </c>
      <c r="C132" s="156"/>
      <c r="D132" s="156"/>
      <c r="E132" s="156"/>
      <c r="F132" s="156"/>
      <c r="G132" s="105"/>
    </row>
    <row r="133" spans="1:7">
      <c r="A133" s="130" t="s">
        <v>803</v>
      </c>
      <c r="B133" s="134" t="s">
        <v>804</v>
      </c>
      <c r="C133" s="690">
        <v>20</v>
      </c>
      <c r="D133" s="690"/>
      <c r="E133" s="691">
        <v>20</v>
      </c>
      <c r="F133" s="691"/>
      <c r="G133" s="105"/>
    </row>
    <row r="134" spans="1:7">
      <c r="A134" s="130" t="s">
        <v>805</v>
      </c>
      <c r="B134" s="134" t="s">
        <v>806</v>
      </c>
      <c r="C134" s="690">
        <v>1.5</v>
      </c>
      <c r="D134" s="690"/>
      <c r="E134" s="691">
        <v>1.5</v>
      </c>
      <c r="F134" s="691"/>
      <c r="G134" s="105"/>
    </row>
    <row r="135" spans="1:7">
      <c r="A135" s="130" t="s">
        <v>807</v>
      </c>
      <c r="B135" s="134" t="s">
        <v>808</v>
      </c>
      <c r="C135" s="690">
        <v>1</v>
      </c>
      <c r="D135" s="690"/>
      <c r="E135" s="691">
        <v>1</v>
      </c>
      <c r="F135" s="691"/>
      <c r="G135" s="105"/>
    </row>
    <row r="136" spans="1:7">
      <c r="A136" s="130" t="s">
        <v>809</v>
      </c>
      <c r="B136" s="134" t="s">
        <v>810</v>
      </c>
      <c r="C136" s="690">
        <v>0.2</v>
      </c>
      <c r="D136" s="690"/>
      <c r="E136" s="691">
        <v>0.2</v>
      </c>
      <c r="F136" s="691"/>
      <c r="G136" s="105"/>
    </row>
    <row r="137" spans="1:7">
      <c r="A137" s="130" t="s">
        <v>811</v>
      </c>
      <c r="B137" s="134" t="s">
        <v>812</v>
      </c>
      <c r="C137" s="690">
        <v>0.6</v>
      </c>
      <c r="D137" s="690"/>
      <c r="E137" s="691">
        <v>0.6</v>
      </c>
      <c r="F137" s="691"/>
      <c r="G137" s="105"/>
    </row>
    <row r="138" spans="1:7">
      <c r="A138" s="130" t="s">
        <v>813</v>
      </c>
      <c r="B138" s="134" t="s">
        <v>814</v>
      </c>
      <c r="C138" s="690">
        <v>2.5</v>
      </c>
      <c r="D138" s="690"/>
      <c r="E138" s="691">
        <v>2.5</v>
      </c>
      <c r="F138" s="691"/>
      <c r="G138" s="105"/>
    </row>
    <row r="139" spans="1:7" ht="15" customHeight="1">
      <c r="A139" s="130" t="s">
        <v>815</v>
      </c>
      <c r="B139" s="134" t="s">
        <v>816</v>
      </c>
      <c r="C139" s="690">
        <v>3</v>
      </c>
      <c r="D139" s="690"/>
      <c r="E139" s="691">
        <v>3</v>
      </c>
      <c r="F139" s="691"/>
      <c r="G139" s="105"/>
    </row>
    <row r="140" spans="1:7">
      <c r="A140" s="130" t="s">
        <v>817</v>
      </c>
      <c r="B140" s="134" t="s">
        <v>818</v>
      </c>
      <c r="C140" s="690">
        <v>8</v>
      </c>
      <c r="D140" s="690"/>
      <c r="E140" s="691">
        <v>8</v>
      </c>
      <c r="F140" s="691"/>
      <c r="G140" s="105"/>
    </row>
    <row r="141" spans="1:7">
      <c r="A141" s="130" t="s">
        <v>819</v>
      </c>
      <c r="B141" s="134" t="s">
        <v>820</v>
      </c>
      <c r="C141" s="690">
        <v>0</v>
      </c>
      <c r="D141" s="690"/>
      <c r="E141" s="691">
        <v>0</v>
      </c>
      <c r="F141" s="691"/>
      <c r="G141" s="105"/>
    </row>
    <row r="142" spans="1:7">
      <c r="A142" s="156"/>
      <c r="B142" s="122" t="s">
        <v>583</v>
      </c>
      <c r="C142" s="692">
        <f>SUM(C133:D141)</f>
        <v>36.799999999999997</v>
      </c>
      <c r="D142" s="692"/>
      <c r="E142" s="692">
        <f>SUM(E133:F141)</f>
        <v>36.799999999999997</v>
      </c>
      <c r="F142" s="692"/>
      <c r="G142" s="105"/>
    </row>
    <row r="143" spans="1:7" ht="15.75" customHeight="1">
      <c r="A143" s="156"/>
      <c r="B143" s="689" t="s">
        <v>801</v>
      </c>
      <c r="C143" s="689"/>
      <c r="D143" s="156"/>
      <c r="E143" s="156"/>
      <c r="F143" s="156"/>
      <c r="G143" s="105"/>
    </row>
    <row r="144" spans="1:7">
      <c r="A144" s="132" t="s">
        <v>78</v>
      </c>
      <c r="B144" s="133" t="s">
        <v>821</v>
      </c>
      <c r="C144" s="156"/>
      <c r="D144" s="156"/>
      <c r="E144" s="156"/>
      <c r="F144" s="156"/>
      <c r="G144" s="105"/>
    </row>
    <row r="145" spans="1:7">
      <c r="A145" s="130" t="s">
        <v>822</v>
      </c>
      <c r="B145" s="134" t="s">
        <v>823</v>
      </c>
      <c r="C145" s="690">
        <v>17.87</v>
      </c>
      <c r="D145" s="690"/>
      <c r="E145" s="691">
        <v>0</v>
      </c>
      <c r="F145" s="691"/>
      <c r="G145" s="105"/>
    </row>
    <row r="146" spans="1:7">
      <c r="A146" s="130" t="s">
        <v>824</v>
      </c>
      <c r="B146" s="134" t="s">
        <v>825</v>
      </c>
      <c r="C146" s="690">
        <v>3.93</v>
      </c>
      <c r="D146" s="690"/>
      <c r="E146" s="691">
        <v>0</v>
      </c>
      <c r="F146" s="691"/>
      <c r="G146" s="105"/>
    </row>
    <row r="147" spans="1:7">
      <c r="A147" s="130" t="s">
        <v>826</v>
      </c>
      <c r="B147" s="134" t="s">
        <v>827</v>
      </c>
      <c r="C147" s="690">
        <v>0.85</v>
      </c>
      <c r="D147" s="690"/>
      <c r="E147" s="691">
        <v>0.64</v>
      </c>
      <c r="F147" s="691"/>
      <c r="G147" s="105"/>
    </row>
    <row r="148" spans="1:7">
      <c r="A148" s="130" t="s">
        <v>828</v>
      </c>
      <c r="B148" s="134" t="s">
        <v>829</v>
      </c>
      <c r="C148" s="690">
        <v>10.98</v>
      </c>
      <c r="D148" s="690"/>
      <c r="E148" s="691">
        <v>8.33</v>
      </c>
      <c r="F148" s="691"/>
      <c r="G148" s="105"/>
    </row>
    <row r="149" spans="1:7">
      <c r="A149" s="130" t="s">
        <v>830</v>
      </c>
      <c r="B149" s="134" t="s">
        <v>831</v>
      </c>
      <c r="C149" s="690">
        <v>0.06</v>
      </c>
      <c r="D149" s="690"/>
      <c r="E149" s="691">
        <v>0.04</v>
      </c>
      <c r="F149" s="691"/>
      <c r="G149" s="105"/>
    </row>
    <row r="150" spans="1:7">
      <c r="A150" s="130" t="s">
        <v>832</v>
      </c>
      <c r="B150" s="134" t="s">
        <v>833</v>
      </c>
      <c r="C150" s="690">
        <v>0.73</v>
      </c>
      <c r="D150" s="690"/>
      <c r="E150" s="691">
        <v>0.56000000000000005</v>
      </c>
      <c r="F150" s="691"/>
      <c r="G150" s="105"/>
    </row>
    <row r="151" spans="1:7">
      <c r="A151" s="130" t="s">
        <v>834</v>
      </c>
      <c r="B151" s="134" t="s">
        <v>835</v>
      </c>
      <c r="C151" s="690">
        <v>1.51</v>
      </c>
      <c r="D151" s="690"/>
      <c r="E151" s="691">
        <v>0</v>
      </c>
      <c r="F151" s="691"/>
      <c r="G151" s="105"/>
    </row>
    <row r="152" spans="1:7" ht="15" customHeight="1">
      <c r="A152" s="130" t="s">
        <v>836</v>
      </c>
      <c r="B152" s="134" t="s">
        <v>837</v>
      </c>
      <c r="C152" s="690">
        <v>0.1</v>
      </c>
      <c r="D152" s="690"/>
      <c r="E152" s="691">
        <v>0.08</v>
      </c>
      <c r="F152" s="691"/>
      <c r="G152" s="105"/>
    </row>
    <row r="153" spans="1:7">
      <c r="A153" s="130" t="s">
        <v>838</v>
      </c>
      <c r="B153" s="134" t="s">
        <v>839</v>
      </c>
      <c r="C153" s="690">
        <v>11.37</v>
      </c>
      <c r="D153" s="690"/>
      <c r="E153" s="691">
        <v>8.64</v>
      </c>
      <c r="F153" s="691"/>
      <c r="G153" s="105"/>
    </row>
    <row r="154" spans="1:7">
      <c r="A154" s="130" t="s">
        <v>840</v>
      </c>
      <c r="B154" s="134" t="s">
        <v>841</v>
      </c>
      <c r="C154" s="690">
        <v>0.04</v>
      </c>
      <c r="D154" s="690"/>
      <c r="E154" s="691">
        <v>0.03</v>
      </c>
      <c r="F154" s="691"/>
      <c r="G154" s="105"/>
    </row>
    <row r="155" spans="1:7">
      <c r="A155" s="156"/>
      <c r="B155" s="122" t="s">
        <v>583</v>
      </c>
      <c r="C155" s="692">
        <f>SUM(C145:D154)</f>
        <v>47.44</v>
      </c>
      <c r="D155" s="692"/>
      <c r="E155" s="692">
        <f>SUM(E145:F154)</f>
        <v>18.32</v>
      </c>
      <c r="F155" s="692"/>
      <c r="G155" s="105"/>
    </row>
    <row r="156" spans="1:7" ht="15.75" customHeight="1">
      <c r="A156" s="156"/>
      <c r="B156" s="689" t="s">
        <v>801</v>
      </c>
      <c r="C156" s="689"/>
      <c r="D156" s="156"/>
      <c r="E156" s="156"/>
      <c r="F156" s="156"/>
      <c r="G156" s="105"/>
    </row>
    <row r="157" spans="1:7">
      <c r="A157" s="132" t="s">
        <v>85</v>
      </c>
      <c r="B157" s="133" t="s">
        <v>842</v>
      </c>
      <c r="C157" s="156"/>
      <c r="D157" s="156"/>
      <c r="E157" s="156"/>
      <c r="F157" s="156"/>
      <c r="G157" s="105"/>
    </row>
    <row r="158" spans="1:7">
      <c r="A158" s="130" t="s">
        <v>843</v>
      </c>
      <c r="B158" s="134" t="s">
        <v>844</v>
      </c>
      <c r="C158" s="690">
        <v>4.83</v>
      </c>
      <c r="D158" s="690"/>
      <c r="E158" s="691">
        <v>3.67</v>
      </c>
      <c r="F158" s="691"/>
      <c r="G158" s="105"/>
    </row>
    <row r="159" spans="1:7">
      <c r="A159" s="130" t="s">
        <v>845</v>
      </c>
      <c r="B159" s="134" t="s">
        <v>846</v>
      </c>
      <c r="C159" s="690">
        <v>0.11</v>
      </c>
      <c r="D159" s="690"/>
      <c r="E159" s="691">
        <v>0.09</v>
      </c>
      <c r="F159" s="691"/>
      <c r="G159" s="105"/>
    </row>
    <row r="160" spans="1:7" ht="15" customHeight="1">
      <c r="A160" s="130" t="s">
        <v>847</v>
      </c>
      <c r="B160" s="134" t="s">
        <v>848</v>
      </c>
      <c r="C160" s="690">
        <v>2.35</v>
      </c>
      <c r="D160" s="690"/>
      <c r="E160" s="691">
        <v>1.79</v>
      </c>
      <c r="F160" s="691"/>
      <c r="G160" s="105"/>
    </row>
    <row r="161" spans="1:7">
      <c r="A161" s="130" t="s">
        <v>849</v>
      </c>
      <c r="B161" s="134" t="s">
        <v>850</v>
      </c>
      <c r="C161" s="690">
        <v>2.71</v>
      </c>
      <c r="D161" s="690"/>
      <c r="E161" s="691">
        <v>2.06</v>
      </c>
      <c r="F161" s="691"/>
      <c r="G161" s="105"/>
    </row>
    <row r="162" spans="1:7">
      <c r="A162" s="130" t="s">
        <v>851</v>
      </c>
      <c r="B162" s="134" t="s">
        <v>852</v>
      </c>
      <c r="C162" s="690">
        <v>0.41</v>
      </c>
      <c r="D162" s="690"/>
      <c r="E162" s="691">
        <v>0.31</v>
      </c>
      <c r="F162" s="691"/>
      <c r="G162" s="105"/>
    </row>
    <row r="163" spans="1:7">
      <c r="A163" s="156"/>
      <c r="B163" s="122" t="s">
        <v>583</v>
      </c>
      <c r="C163" s="692">
        <f>SUM(C158:D162)</f>
        <v>10.41</v>
      </c>
      <c r="D163" s="692"/>
      <c r="E163" s="692">
        <f>SUM(E158:F162)</f>
        <v>7.919999999999999</v>
      </c>
      <c r="F163" s="692"/>
      <c r="G163" s="105"/>
    </row>
    <row r="164" spans="1:7" ht="15.75" customHeight="1">
      <c r="A164" s="156"/>
      <c r="B164" s="689" t="s">
        <v>801</v>
      </c>
      <c r="C164" s="689"/>
      <c r="D164" s="156"/>
      <c r="E164" s="156"/>
      <c r="F164" s="156"/>
      <c r="G164" s="105"/>
    </row>
    <row r="165" spans="1:7" ht="15" customHeight="1">
      <c r="A165" s="132" t="s">
        <v>853</v>
      </c>
      <c r="B165" s="133" t="s">
        <v>854</v>
      </c>
      <c r="C165" s="156"/>
      <c r="D165" s="156"/>
      <c r="E165" s="156"/>
      <c r="F165" s="156"/>
      <c r="G165" s="105"/>
    </row>
    <row r="166" spans="1:7">
      <c r="A166" s="130" t="s">
        <v>855</v>
      </c>
      <c r="B166" s="134" t="s">
        <v>856</v>
      </c>
      <c r="C166" s="690">
        <v>17.46</v>
      </c>
      <c r="D166" s="690"/>
      <c r="E166" s="691">
        <v>6.74</v>
      </c>
      <c r="F166" s="691"/>
      <c r="G166" s="105"/>
    </row>
    <row r="167" spans="1:7" ht="15" customHeight="1">
      <c r="A167" s="130" t="s">
        <v>857</v>
      </c>
      <c r="B167" s="134" t="s">
        <v>858</v>
      </c>
      <c r="C167" s="690">
        <v>0.43</v>
      </c>
      <c r="D167" s="690"/>
      <c r="E167" s="691">
        <v>0.33</v>
      </c>
      <c r="F167" s="691"/>
      <c r="G167" s="105"/>
    </row>
    <row r="168" spans="1:7" ht="15" customHeight="1">
      <c r="A168" s="156"/>
      <c r="B168" s="122" t="s">
        <v>583</v>
      </c>
      <c r="C168" s="692">
        <f>SUM(C166:D167)</f>
        <v>17.89</v>
      </c>
      <c r="D168" s="692"/>
      <c r="E168" s="692">
        <f>SUM(E166:F167)</f>
        <v>7.07</v>
      </c>
      <c r="F168" s="692"/>
      <c r="G168" s="105"/>
    </row>
    <row r="169" spans="1:7" ht="15.75" customHeight="1">
      <c r="A169" s="156"/>
      <c r="B169" s="689" t="s">
        <v>801</v>
      </c>
      <c r="C169" s="689"/>
      <c r="D169" s="689"/>
      <c r="E169" s="156"/>
      <c r="F169" s="156"/>
      <c r="G169" s="105"/>
    </row>
    <row r="170" spans="1:7">
      <c r="A170" s="156"/>
      <c r="B170" s="111" t="s">
        <v>859</v>
      </c>
      <c r="C170" s="693">
        <f>C142+C155+C163+C168</f>
        <v>112.53999999999999</v>
      </c>
      <c r="D170" s="693"/>
      <c r="E170" s="693">
        <f>E142+E155+E163+E168</f>
        <v>70.11</v>
      </c>
      <c r="F170" s="693"/>
      <c r="G170" s="105"/>
    </row>
    <row r="171" spans="1:7" ht="15.75" customHeight="1">
      <c r="A171" s="105"/>
      <c r="B171" s="689" t="s">
        <v>801</v>
      </c>
      <c r="C171" s="689"/>
      <c r="D171" s="689"/>
      <c r="E171" s="689"/>
      <c r="F171" s="105"/>
      <c r="G171" s="105"/>
    </row>
    <row r="172" spans="1:7">
      <c r="A172" s="105"/>
      <c r="B172" s="687" t="s">
        <v>3797</v>
      </c>
      <c r="C172" s="687"/>
      <c r="D172" s="105"/>
      <c r="E172" s="105"/>
      <c r="F172" s="105"/>
      <c r="G172" s="105"/>
    </row>
    <row r="173" spans="1:7" ht="15.75" customHeight="1">
      <c r="A173" s="131" t="s">
        <v>798</v>
      </c>
      <c r="B173" s="131" t="s">
        <v>33</v>
      </c>
      <c r="C173" s="688" t="s">
        <v>799</v>
      </c>
      <c r="D173" s="688"/>
      <c r="E173" s="688" t="s">
        <v>800</v>
      </c>
      <c r="F173" s="688"/>
      <c r="G173" s="105"/>
    </row>
    <row r="174" spans="1:7" ht="15.75" customHeight="1">
      <c r="A174" s="105"/>
      <c r="B174" s="689" t="s">
        <v>801</v>
      </c>
      <c r="C174" s="689"/>
      <c r="D174" s="105"/>
      <c r="E174" s="105"/>
      <c r="F174" s="105"/>
      <c r="G174" s="105"/>
    </row>
    <row r="175" spans="1:7">
      <c r="A175" s="132" t="s">
        <v>71</v>
      </c>
      <c r="B175" s="133" t="s">
        <v>802</v>
      </c>
      <c r="C175" s="105"/>
      <c r="D175" s="105"/>
      <c r="E175" s="105"/>
      <c r="F175" s="105"/>
      <c r="G175" s="105"/>
    </row>
    <row r="176" spans="1:7">
      <c r="A176" s="130" t="s">
        <v>803</v>
      </c>
      <c r="B176" s="134" t="s">
        <v>869</v>
      </c>
      <c r="C176" s="690">
        <v>20</v>
      </c>
      <c r="D176" s="690"/>
      <c r="E176" s="691">
        <v>0</v>
      </c>
      <c r="F176" s="691"/>
      <c r="G176" s="105"/>
    </row>
    <row r="177" spans="1:7">
      <c r="A177" s="130" t="s">
        <v>805</v>
      </c>
      <c r="B177" s="134" t="s">
        <v>870</v>
      </c>
      <c r="C177" s="690">
        <v>1.5</v>
      </c>
      <c r="D177" s="690"/>
      <c r="E177" s="691">
        <v>0</v>
      </c>
      <c r="F177" s="691"/>
      <c r="G177" s="105"/>
    </row>
    <row r="178" spans="1:7">
      <c r="A178" s="130" t="s">
        <v>807</v>
      </c>
      <c r="B178" s="134" t="s">
        <v>871</v>
      </c>
      <c r="C178" s="690">
        <v>1</v>
      </c>
      <c r="D178" s="690"/>
      <c r="E178" s="691">
        <v>0</v>
      </c>
      <c r="F178" s="691"/>
      <c r="G178" s="105"/>
    </row>
    <row r="179" spans="1:7">
      <c r="A179" s="130" t="s">
        <v>809</v>
      </c>
      <c r="B179" s="134" t="s">
        <v>872</v>
      </c>
      <c r="C179" s="690">
        <v>0.2</v>
      </c>
      <c r="D179" s="690"/>
      <c r="E179" s="691">
        <v>0</v>
      </c>
      <c r="F179" s="691"/>
      <c r="G179" s="105"/>
    </row>
    <row r="180" spans="1:7">
      <c r="A180" s="130" t="s">
        <v>811</v>
      </c>
      <c r="B180" s="134" t="s">
        <v>873</v>
      </c>
      <c r="C180" s="690">
        <v>0.6</v>
      </c>
      <c r="D180" s="690"/>
      <c r="E180" s="691">
        <v>0</v>
      </c>
      <c r="F180" s="691"/>
      <c r="G180" s="105"/>
    </row>
    <row r="181" spans="1:7" ht="15" customHeight="1">
      <c r="A181" s="130" t="s">
        <v>813</v>
      </c>
      <c r="B181" s="134" t="s">
        <v>874</v>
      </c>
      <c r="C181" s="690">
        <v>2.5</v>
      </c>
      <c r="D181" s="690"/>
      <c r="E181" s="691">
        <v>0</v>
      </c>
      <c r="F181" s="691"/>
      <c r="G181" s="105"/>
    </row>
    <row r="182" spans="1:7">
      <c r="A182" s="130" t="s">
        <v>815</v>
      </c>
      <c r="B182" s="134" t="s">
        <v>875</v>
      </c>
      <c r="C182" s="690">
        <v>3</v>
      </c>
      <c r="D182" s="690"/>
      <c r="E182" s="691">
        <v>0</v>
      </c>
      <c r="F182" s="691"/>
      <c r="G182" s="105"/>
    </row>
    <row r="183" spans="1:7">
      <c r="A183" s="130" t="s">
        <v>817</v>
      </c>
      <c r="B183" s="134" t="s">
        <v>876</v>
      </c>
      <c r="C183" s="690">
        <v>8</v>
      </c>
      <c r="D183" s="690"/>
      <c r="E183" s="691">
        <v>0</v>
      </c>
      <c r="F183" s="691"/>
      <c r="G183" s="105"/>
    </row>
    <row r="184" spans="1:7">
      <c r="A184" s="130" t="s">
        <v>819</v>
      </c>
      <c r="B184" s="134" t="s">
        <v>877</v>
      </c>
      <c r="C184" s="690">
        <v>1</v>
      </c>
      <c r="D184" s="690"/>
      <c r="E184" s="691">
        <v>0</v>
      </c>
      <c r="F184" s="691"/>
      <c r="G184" s="105"/>
    </row>
    <row r="185" spans="1:7">
      <c r="A185" s="105"/>
      <c r="B185" s="122" t="s">
        <v>583</v>
      </c>
      <c r="C185" s="692">
        <f>SUM(C176:D184)</f>
        <v>37.799999999999997</v>
      </c>
      <c r="D185" s="692"/>
      <c r="E185" s="692">
        <f>SUM(E176:F184)</f>
        <v>0</v>
      </c>
      <c r="F185" s="692"/>
      <c r="G185" s="105"/>
    </row>
    <row r="186" spans="1:7" ht="15.75" customHeight="1">
      <c r="A186" s="105"/>
      <c r="B186" s="689" t="s">
        <v>801</v>
      </c>
      <c r="C186" s="689"/>
      <c r="D186" s="105"/>
      <c r="E186" s="105"/>
      <c r="F186" s="105"/>
      <c r="G186" s="105"/>
    </row>
    <row r="187" spans="1:7">
      <c r="A187" s="132" t="s">
        <v>78</v>
      </c>
      <c r="B187" s="133" t="s">
        <v>821</v>
      </c>
      <c r="C187" s="105"/>
      <c r="D187" s="105"/>
      <c r="E187" s="105"/>
      <c r="F187" s="105"/>
      <c r="G187" s="105"/>
    </row>
    <row r="188" spans="1:7">
      <c r="A188" s="130" t="s">
        <v>822</v>
      </c>
      <c r="B188" s="134" t="s">
        <v>3803</v>
      </c>
      <c r="C188" s="690">
        <v>22.9</v>
      </c>
      <c r="D188" s="690"/>
      <c r="E188" s="691">
        <v>0</v>
      </c>
      <c r="F188" s="691"/>
      <c r="G188" s="105"/>
    </row>
    <row r="189" spans="1:7">
      <c r="A189" s="130" t="s">
        <v>824</v>
      </c>
      <c r="B189" s="134" t="s">
        <v>3804</v>
      </c>
      <c r="C189" s="690">
        <v>1.71</v>
      </c>
      <c r="D189" s="690"/>
      <c r="E189" s="691">
        <v>0</v>
      </c>
      <c r="F189" s="691"/>
      <c r="G189" s="105"/>
    </row>
    <row r="190" spans="1:7">
      <c r="A190" s="130" t="s">
        <v>826</v>
      </c>
      <c r="B190" s="134" t="s">
        <v>3805</v>
      </c>
      <c r="C190" s="690">
        <v>1.71</v>
      </c>
      <c r="D190" s="690"/>
      <c r="E190" s="691">
        <v>0</v>
      </c>
      <c r="F190" s="691"/>
      <c r="G190" s="105"/>
    </row>
    <row r="191" spans="1:7">
      <c r="A191" s="130" t="s">
        <v>828</v>
      </c>
      <c r="B191" s="134" t="s">
        <v>3806</v>
      </c>
      <c r="C191" s="690">
        <v>10.57</v>
      </c>
      <c r="D191" s="690"/>
      <c r="E191" s="691">
        <v>0</v>
      </c>
      <c r="F191" s="691"/>
      <c r="G191" s="105"/>
    </row>
    <row r="192" spans="1:7" ht="38.25">
      <c r="A192" s="130" t="s">
        <v>830</v>
      </c>
      <c r="B192" s="134" t="s">
        <v>3807</v>
      </c>
      <c r="C192" s="690">
        <v>4.91</v>
      </c>
      <c r="D192" s="690"/>
      <c r="E192" s="691">
        <v>0</v>
      </c>
      <c r="F192" s="691"/>
      <c r="G192" s="105"/>
    </row>
    <row r="193" spans="1:7">
      <c r="A193" s="105"/>
      <c r="B193" s="122" t="s">
        <v>583</v>
      </c>
      <c r="C193" s="692">
        <f>SUM(C188:D192)</f>
        <v>41.8</v>
      </c>
      <c r="D193" s="692"/>
      <c r="E193" s="692">
        <f>SUM(E188:F192)</f>
        <v>0</v>
      </c>
      <c r="F193" s="692"/>
      <c r="G193" s="105"/>
    </row>
    <row r="194" spans="1:7" ht="15.75" customHeight="1">
      <c r="A194" s="105"/>
      <c r="B194" s="689" t="s">
        <v>801</v>
      </c>
      <c r="C194" s="689"/>
      <c r="D194" s="105"/>
      <c r="E194" s="105"/>
      <c r="F194" s="105"/>
      <c r="G194" s="105"/>
    </row>
    <row r="195" spans="1:7">
      <c r="A195" s="132" t="s">
        <v>85</v>
      </c>
      <c r="B195" s="133" t="s">
        <v>842</v>
      </c>
      <c r="C195" s="105"/>
      <c r="D195" s="105"/>
      <c r="E195" s="105"/>
      <c r="F195" s="105"/>
      <c r="G195" s="105"/>
    </row>
    <row r="196" spans="1:7">
      <c r="A196" s="130" t="s">
        <v>843</v>
      </c>
      <c r="B196" s="134" t="s">
        <v>3801</v>
      </c>
      <c r="C196" s="690">
        <v>5.67</v>
      </c>
      <c r="D196" s="690"/>
      <c r="E196" s="691">
        <v>0</v>
      </c>
      <c r="F196" s="691"/>
      <c r="G196" s="105"/>
    </row>
    <row r="197" spans="1:7" ht="15" customHeight="1">
      <c r="A197" s="130" t="s">
        <v>845</v>
      </c>
      <c r="B197" s="134" t="s">
        <v>3802</v>
      </c>
      <c r="C197" s="690">
        <v>6.36</v>
      </c>
      <c r="D197" s="690"/>
      <c r="E197" s="691">
        <v>0</v>
      </c>
      <c r="F197" s="691"/>
      <c r="G197" s="105"/>
    </row>
    <row r="198" spans="1:7">
      <c r="A198" s="130" t="s">
        <v>847</v>
      </c>
      <c r="B198" s="134" t="s">
        <v>848</v>
      </c>
      <c r="C198" s="690">
        <v>14.06</v>
      </c>
      <c r="D198" s="690"/>
      <c r="E198" s="691">
        <v>0</v>
      </c>
      <c r="F198" s="691"/>
      <c r="G198" s="105"/>
    </row>
    <row r="199" spans="1:7">
      <c r="A199" s="105"/>
      <c r="B199" s="122" t="s">
        <v>583</v>
      </c>
      <c r="C199" s="692">
        <f>SUM(C196:D198)</f>
        <v>26.090000000000003</v>
      </c>
      <c r="D199" s="692"/>
      <c r="E199" s="692">
        <f>SUM(E196:F198)</f>
        <v>0</v>
      </c>
      <c r="F199" s="692"/>
      <c r="G199" s="105"/>
    </row>
    <row r="200" spans="1:7" ht="15.75" customHeight="1">
      <c r="A200" s="105"/>
      <c r="B200" s="689" t="s">
        <v>801</v>
      </c>
      <c r="C200" s="689"/>
      <c r="D200" s="105"/>
      <c r="E200" s="105"/>
      <c r="F200" s="105"/>
      <c r="G200" s="105"/>
    </row>
    <row r="201" spans="1:7">
      <c r="A201" s="132" t="s">
        <v>853</v>
      </c>
      <c r="B201" s="133" t="s">
        <v>854</v>
      </c>
      <c r="C201" s="105"/>
      <c r="D201" s="105"/>
      <c r="E201" s="105"/>
      <c r="F201" s="105"/>
      <c r="G201" s="105"/>
    </row>
    <row r="202" spans="1:7" ht="15" customHeight="1">
      <c r="A202" s="130" t="s">
        <v>855</v>
      </c>
      <c r="B202" s="134" t="s">
        <v>880</v>
      </c>
      <c r="C202" s="690">
        <v>15.8</v>
      </c>
      <c r="D202" s="690"/>
      <c r="E202" s="691">
        <v>0</v>
      </c>
      <c r="F202" s="691"/>
      <c r="G202" s="105"/>
    </row>
    <row r="203" spans="1:7" ht="38.25">
      <c r="A203" s="130" t="s">
        <v>857</v>
      </c>
      <c r="B203" s="134" t="s">
        <v>881</v>
      </c>
      <c r="C203" s="690">
        <v>0.51</v>
      </c>
      <c r="D203" s="690"/>
      <c r="E203" s="691">
        <v>0</v>
      </c>
      <c r="F203" s="691"/>
      <c r="G203" s="105"/>
    </row>
    <row r="204" spans="1:7">
      <c r="A204" s="105"/>
      <c r="B204" s="122" t="s">
        <v>583</v>
      </c>
      <c r="C204" s="692">
        <f>SUM(C202:D203)</f>
        <v>16.310000000000002</v>
      </c>
      <c r="D204" s="692"/>
      <c r="E204" s="692">
        <f>SUM(E202:F203)</f>
        <v>0</v>
      </c>
      <c r="F204" s="692"/>
      <c r="G204" s="105"/>
    </row>
    <row r="205" spans="1:7" ht="15.75" customHeight="1">
      <c r="A205" s="105"/>
      <c r="B205" s="689" t="s">
        <v>801</v>
      </c>
      <c r="C205" s="689"/>
      <c r="D205" s="689"/>
      <c r="E205" s="105"/>
      <c r="F205" s="105"/>
      <c r="G205" s="105"/>
    </row>
    <row r="206" spans="1:7">
      <c r="A206" s="105"/>
      <c r="B206" s="111" t="s">
        <v>859</v>
      </c>
      <c r="C206" s="693">
        <f>C185+C193+C199+C204</f>
        <v>122</v>
      </c>
      <c r="D206" s="693"/>
      <c r="E206" s="693">
        <f>E185+E193+E199+E204</f>
        <v>0</v>
      </c>
      <c r="F206" s="693"/>
      <c r="G206" s="105"/>
    </row>
    <row r="207" spans="1:7">
      <c r="A207" s="105"/>
      <c r="B207" s="361"/>
      <c r="C207" s="364"/>
      <c r="D207" s="364"/>
      <c r="E207" s="364"/>
      <c r="F207" s="364"/>
      <c r="G207" s="105"/>
    </row>
    <row r="208" spans="1:7">
      <c r="A208" s="105"/>
      <c r="B208" s="687" t="s">
        <v>3798</v>
      </c>
      <c r="C208" s="687"/>
      <c r="D208" s="105"/>
      <c r="E208" s="105"/>
      <c r="F208" s="105"/>
      <c r="G208" s="105"/>
    </row>
    <row r="209" spans="1:7">
      <c r="A209" s="363" t="s">
        <v>798</v>
      </c>
      <c r="B209" s="363" t="s">
        <v>33</v>
      </c>
      <c r="C209" s="688" t="s">
        <v>799</v>
      </c>
      <c r="D209" s="688"/>
      <c r="E209" s="688" t="s">
        <v>800</v>
      </c>
      <c r="F209" s="688"/>
      <c r="G209" s="105"/>
    </row>
    <row r="210" spans="1:7">
      <c r="A210" s="105"/>
      <c r="B210" s="689" t="s">
        <v>801</v>
      </c>
      <c r="C210" s="689"/>
      <c r="D210" s="105"/>
      <c r="E210" s="105"/>
      <c r="F210" s="105"/>
      <c r="G210" s="105"/>
    </row>
    <row r="211" spans="1:7">
      <c r="A211" s="362" t="s">
        <v>71</v>
      </c>
      <c r="B211" s="133" t="s">
        <v>802</v>
      </c>
      <c r="C211" s="105"/>
      <c r="D211" s="105"/>
      <c r="E211" s="105"/>
      <c r="F211" s="105"/>
      <c r="G211" s="105"/>
    </row>
    <row r="212" spans="1:7">
      <c r="A212" s="130" t="s">
        <v>803</v>
      </c>
      <c r="B212" s="134" t="s">
        <v>804</v>
      </c>
      <c r="C212" s="690">
        <v>20</v>
      </c>
      <c r="D212" s="690"/>
      <c r="E212" s="691">
        <v>20</v>
      </c>
      <c r="F212" s="691"/>
      <c r="G212" s="105"/>
    </row>
    <row r="213" spans="1:7">
      <c r="A213" s="130" t="s">
        <v>805</v>
      </c>
      <c r="B213" s="134" t="s">
        <v>806</v>
      </c>
      <c r="C213" s="690">
        <v>1.5</v>
      </c>
      <c r="D213" s="690"/>
      <c r="E213" s="691">
        <v>1.5</v>
      </c>
      <c r="F213" s="691"/>
      <c r="G213" s="105"/>
    </row>
    <row r="214" spans="1:7">
      <c r="A214" s="130" t="s">
        <v>807</v>
      </c>
      <c r="B214" s="134" t="s">
        <v>808</v>
      </c>
      <c r="C214" s="690">
        <v>1</v>
      </c>
      <c r="D214" s="690"/>
      <c r="E214" s="691">
        <v>1</v>
      </c>
      <c r="F214" s="691"/>
      <c r="G214" s="105"/>
    </row>
    <row r="215" spans="1:7">
      <c r="A215" s="130" t="s">
        <v>809</v>
      </c>
      <c r="B215" s="134" t="s">
        <v>810</v>
      </c>
      <c r="C215" s="690">
        <v>0.2</v>
      </c>
      <c r="D215" s="690"/>
      <c r="E215" s="691">
        <v>0.2</v>
      </c>
      <c r="F215" s="691"/>
      <c r="G215" s="105"/>
    </row>
    <row r="216" spans="1:7">
      <c r="A216" s="130" t="s">
        <v>811</v>
      </c>
      <c r="B216" s="134" t="s">
        <v>812</v>
      </c>
      <c r="C216" s="690">
        <v>0.6</v>
      </c>
      <c r="D216" s="690"/>
      <c r="E216" s="691">
        <v>0.6</v>
      </c>
      <c r="F216" s="691"/>
      <c r="G216" s="105"/>
    </row>
    <row r="217" spans="1:7">
      <c r="A217" s="130" t="s">
        <v>813</v>
      </c>
      <c r="B217" s="134" t="s">
        <v>814</v>
      </c>
      <c r="C217" s="690">
        <v>2.5</v>
      </c>
      <c r="D217" s="690"/>
      <c r="E217" s="691">
        <v>2.5</v>
      </c>
      <c r="F217" s="691"/>
      <c r="G217" s="105"/>
    </row>
    <row r="218" spans="1:7">
      <c r="A218" s="130" t="s">
        <v>815</v>
      </c>
      <c r="B218" s="134" t="s">
        <v>816</v>
      </c>
      <c r="C218" s="690">
        <v>3</v>
      </c>
      <c r="D218" s="690"/>
      <c r="E218" s="691">
        <v>3</v>
      </c>
      <c r="F218" s="691"/>
      <c r="G218" s="105"/>
    </row>
    <row r="219" spans="1:7">
      <c r="A219" s="130" t="s">
        <v>817</v>
      </c>
      <c r="B219" s="134" t="s">
        <v>818</v>
      </c>
      <c r="C219" s="690">
        <v>8</v>
      </c>
      <c r="D219" s="690"/>
      <c r="E219" s="691">
        <v>8</v>
      </c>
      <c r="F219" s="691"/>
      <c r="G219" s="105"/>
    </row>
    <row r="220" spans="1:7">
      <c r="A220" s="130" t="s">
        <v>819</v>
      </c>
      <c r="B220" s="134" t="s">
        <v>820</v>
      </c>
      <c r="C220" s="690">
        <v>1.2</v>
      </c>
      <c r="D220" s="690"/>
      <c r="E220" s="691">
        <v>1.2</v>
      </c>
      <c r="F220" s="691"/>
      <c r="G220" s="105"/>
    </row>
    <row r="221" spans="1:7">
      <c r="A221" s="105"/>
      <c r="B221" s="360" t="s">
        <v>583</v>
      </c>
      <c r="C221" s="692">
        <f>SUM(C212:D220)</f>
        <v>38</v>
      </c>
      <c r="D221" s="692"/>
      <c r="E221" s="692">
        <f>SUM(E212:F220)</f>
        <v>38</v>
      </c>
      <c r="F221" s="692"/>
      <c r="G221" s="105"/>
    </row>
    <row r="222" spans="1:7">
      <c r="A222" s="105"/>
      <c r="B222" s="689" t="s">
        <v>801</v>
      </c>
      <c r="C222" s="689"/>
      <c r="D222" s="105"/>
      <c r="E222" s="105"/>
      <c r="F222" s="105"/>
      <c r="G222" s="105"/>
    </row>
    <row r="223" spans="1:7">
      <c r="A223" s="362" t="s">
        <v>78</v>
      </c>
      <c r="B223" s="133" t="s">
        <v>821</v>
      </c>
      <c r="C223" s="105"/>
      <c r="D223" s="105"/>
      <c r="E223" s="105"/>
      <c r="F223" s="105"/>
      <c r="G223" s="105"/>
    </row>
    <row r="224" spans="1:7">
      <c r="A224" s="130" t="s">
        <v>822</v>
      </c>
      <c r="B224" s="134" t="s">
        <v>823</v>
      </c>
      <c r="C224" s="690">
        <v>17.77</v>
      </c>
      <c r="D224" s="690"/>
      <c r="E224" s="691">
        <v>0</v>
      </c>
      <c r="F224" s="691"/>
      <c r="G224" s="105"/>
    </row>
    <row r="225" spans="1:7">
      <c r="A225" s="130" t="s">
        <v>824</v>
      </c>
      <c r="B225" s="134" t="s">
        <v>825</v>
      </c>
      <c r="C225" s="690">
        <v>3.68</v>
      </c>
      <c r="D225" s="690"/>
      <c r="E225" s="691">
        <v>0</v>
      </c>
      <c r="F225" s="691"/>
      <c r="G225" s="105"/>
    </row>
    <row r="226" spans="1:7">
      <c r="A226" s="130" t="s">
        <v>826</v>
      </c>
      <c r="B226" s="134" t="s">
        <v>3401</v>
      </c>
      <c r="C226" s="690">
        <v>0.88</v>
      </c>
      <c r="D226" s="690"/>
      <c r="E226" s="691">
        <v>0.66</v>
      </c>
      <c r="F226" s="691"/>
      <c r="G226" s="105"/>
    </row>
    <row r="227" spans="1:7">
      <c r="A227" s="130" t="s">
        <v>828</v>
      </c>
      <c r="B227" s="134" t="s">
        <v>829</v>
      </c>
      <c r="C227" s="690">
        <v>11.1</v>
      </c>
      <c r="D227" s="690"/>
      <c r="E227" s="691">
        <v>8.33</v>
      </c>
      <c r="F227" s="691"/>
      <c r="G227" s="105"/>
    </row>
    <row r="228" spans="1:7">
      <c r="A228" s="130" t="s">
        <v>830</v>
      </c>
      <c r="B228" s="134" t="s">
        <v>831</v>
      </c>
      <c r="C228" s="690">
        <v>7.0000000000000007E-2</v>
      </c>
      <c r="D228" s="690"/>
      <c r="E228" s="691">
        <v>0.05</v>
      </c>
      <c r="F228" s="691"/>
      <c r="G228" s="105"/>
    </row>
    <row r="229" spans="1:7">
      <c r="A229" s="130" t="s">
        <v>832</v>
      </c>
      <c r="B229" s="134" t="s">
        <v>833</v>
      </c>
      <c r="C229" s="690">
        <v>0.74</v>
      </c>
      <c r="D229" s="690"/>
      <c r="E229" s="691">
        <v>0.56000000000000005</v>
      </c>
      <c r="F229" s="691"/>
      <c r="G229" s="105"/>
    </row>
    <row r="230" spans="1:7">
      <c r="A230" s="130" t="s">
        <v>834</v>
      </c>
      <c r="B230" s="134" t="s">
        <v>835</v>
      </c>
      <c r="C230" s="690">
        <v>1.0900000000000001</v>
      </c>
      <c r="D230" s="690"/>
      <c r="E230" s="691">
        <v>0</v>
      </c>
      <c r="F230" s="691"/>
      <c r="G230" s="105"/>
    </row>
    <row r="231" spans="1:7">
      <c r="A231" s="130" t="s">
        <v>836</v>
      </c>
      <c r="B231" s="134" t="s">
        <v>3402</v>
      </c>
      <c r="C231" s="690">
        <v>0.11</v>
      </c>
      <c r="D231" s="690"/>
      <c r="E231" s="691">
        <v>0.08</v>
      </c>
      <c r="F231" s="691"/>
      <c r="G231" s="105"/>
    </row>
    <row r="232" spans="1:7">
      <c r="A232" s="130" t="s">
        <v>838</v>
      </c>
      <c r="B232" s="134" t="s">
        <v>839</v>
      </c>
      <c r="C232" s="690">
        <v>14.35</v>
      </c>
      <c r="D232" s="690"/>
      <c r="E232" s="691">
        <v>10.77</v>
      </c>
      <c r="F232" s="691"/>
      <c r="G232" s="105"/>
    </row>
    <row r="233" spans="1:7">
      <c r="A233" s="130" t="s">
        <v>840</v>
      </c>
      <c r="B233" s="134" t="s">
        <v>841</v>
      </c>
      <c r="C233" s="690">
        <v>0.04</v>
      </c>
      <c r="D233" s="690"/>
      <c r="E233" s="691">
        <v>0.03</v>
      </c>
      <c r="F233" s="691"/>
      <c r="G233" s="105"/>
    </row>
    <row r="234" spans="1:7">
      <c r="A234" s="105"/>
      <c r="B234" s="360" t="s">
        <v>583</v>
      </c>
      <c r="C234" s="692">
        <f>SUM(C224:D233)</f>
        <v>49.830000000000005</v>
      </c>
      <c r="D234" s="692"/>
      <c r="E234" s="692">
        <f>SUM(E224:F233)</f>
        <v>20.480000000000004</v>
      </c>
      <c r="F234" s="692"/>
      <c r="G234" s="105"/>
    </row>
    <row r="235" spans="1:7">
      <c r="A235" s="105"/>
      <c r="B235" s="689" t="s">
        <v>801</v>
      </c>
      <c r="C235" s="689"/>
      <c r="D235" s="105"/>
      <c r="E235" s="105"/>
      <c r="F235" s="105"/>
      <c r="G235" s="105"/>
    </row>
    <row r="236" spans="1:7">
      <c r="A236" s="362" t="s">
        <v>85</v>
      </c>
      <c r="B236" s="133" t="s">
        <v>842</v>
      </c>
      <c r="C236" s="105"/>
      <c r="D236" s="105"/>
      <c r="E236" s="105"/>
      <c r="F236" s="105"/>
      <c r="G236" s="105"/>
    </row>
    <row r="237" spans="1:7">
      <c r="A237" s="130" t="s">
        <v>843</v>
      </c>
      <c r="B237" s="134" t="s">
        <v>844</v>
      </c>
      <c r="C237" s="690">
        <v>5.99</v>
      </c>
      <c r="D237" s="690"/>
      <c r="E237" s="691">
        <v>4.5</v>
      </c>
      <c r="F237" s="691"/>
      <c r="G237" s="105"/>
    </row>
    <row r="238" spans="1:7">
      <c r="A238" s="130" t="s">
        <v>845</v>
      </c>
      <c r="B238" s="134" t="s">
        <v>846</v>
      </c>
      <c r="C238" s="690">
        <v>0.14000000000000001</v>
      </c>
      <c r="D238" s="690"/>
      <c r="E238" s="691">
        <v>0.11</v>
      </c>
      <c r="F238" s="691"/>
      <c r="G238" s="105"/>
    </row>
    <row r="239" spans="1:7">
      <c r="A239" s="130" t="s">
        <v>847</v>
      </c>
      <c r="B239" s="134" t="s">
        <v>848</v>
      </c>
      <c r="C239" s="690">
        <v>0</v>
      </c>
      <c r="D239" s="690"/>
      <c r="E239" s="691">
        <v>0</v>
      </c>
      <c r="F239" s="691"/>
      <c r="G239" s="105"/>
    </row>
    <row r="240" spans="1:7">
      <c r="A240" s="130" t="s">
        <v>849</v>
      </c>
      <c r="B240" s="134" t="s">
        <v>850</v>
      </c>
      <c r="C240" s="690">
        <v>2.7</v>
      </c>
      <c r="D240" s="690"/>
      <c r="E240" s="691">
        <v>2.0299999999999998</v>
      </c>
      <c r="F240" s="691"/>
      <c r="G240" s="105"/>
    </row>
    <row r="241" spans="1:7">
      <c r="A241" s="130" t="s">
        <v>851</v>
      </c>
      <c r="B241" s="134" t="s">
        <v>852</v>
      </c>
      <c r="C241" s="690">
        <v>0.5</v>
      </c>
      <c r="D241" s="690"/>
      <c r="E241" s="691">
        <v>0.38</v>
      </c>
      <c r="F241" s="691"/>
      <c r="G241" s="105"/>
    </row>
    <row r="242" spans="1:7">
      <c r="A242" s="105"/>
      <c r="B242" s="360" t="s">
        <v>583</v>
      </c>
      <c r="C242" s="692">
        <f>SUM(C237:D241)</f>
        <v>9.33</v>
      </c>
      <c r="D242" s="692"/>
      <c r="E242" s="692">
        <f>SUM(E237:F241)</f>
        <v>7.0200000000000005</v>
      </c>
      <c r="F242" s="692"/>
      <c r="G242" s="105"/>
    </row>
    <row r="243" spans="1:7">
      <c r="A243" s="105"/>
      <c r="B243" s="689" t="s">
        <v>801</v>
      </c>
      <c r="C243" s="689"/>
      <c r="D243" s="105"/>
      <c r="E243" s="105"/>
      <c r="F243" s="105"/>
      <c r="G243" s="105"/>
    </row>
    <row r="244" spans="1:7">
      <c r="A244" s="362" t="s">
        <v>853</v>
      </c>
      <c r="B244" s="133" t="s">
        <v>854</v>
      </c>
      <c r="C244" s="105"/>
      <c r="D244" s="105"/>
      <c r="E244" s="105"/>
      <c r="F244" s="105"/>
      <c r="G244" s="105"/>
    </row>
    <row r="245" spans="1:7">
      <c r="A245" s="130" t="s">
        <v>855</v>
      </c>
      <c r="B245" s="134" t="s">
        <v>856</v>
      </c>
      <c r="C245" s="690">
        <v>18.940000000000001</v>
      </c>
      <c r="D245" s="690"/>
      <c r="E245" s="691">
        <v>7.78</v>
      </c>
      <c r="F245" s="691"/>
      <c r="G245" s="105"/>
    </row>
    <row r="246" spans="1:7" ht="38.25">
      <c r="A246" s="130" t="s">
        <v>857</v>
      </c>
      <c r="B246" s="134" t="s">
        <v>858</v>
      </c>
      <c r="C246" s="690">
        <v>0.53</v>
      </c>
      <c r="D246" s="690"/>
      <c r="E246" s="691">
        <v>0.4</v>
      </c>
      <c r="F246" s="691"/>
      <c r="G246" s="105"/>
    </row>
    <row r="247" spans="1:7">
      <c r="A247" s="105"/>
      <c r="B247" s="360" t="s">
        <v>583</v>
      </c>
      <c r="C247" s="692">
        <f>SUM(C245:D246)</f>
        <v>19.470000000000002</v>
      </c>
      <c r="D247" s="692"/>
      <c r="E247" s="692">
        <f>SUM(E245:F246)</f>
        <v>8.18</v>
      </c>
      <c r="F247" s="692"/>
      <c r="G247" s="105"/>
    </row>
    <row r="248" spans="1:7">
      <c r="A248" s="105"/>
      <c r="B248" s="689" t="s">
        <v>801</v>
      </c>
      <c r="C248" s="689"/>
      <c r="D248" s="689"/>
      <c r="E248" s="105"/>
      <c r="F248" s="105"/>
      <c r="G248" s="105"/>
    </row>
    <row r="249" spans="1:7">
      <c r="A249" s="105"/>
      <c r="B249" s="361" t="s">
        <v>859</v>
      </c>
      <c r="C249" s="693">
        <f>C221+C234+C242+C247</f>
        <v>116.63000000000001</v>
      </c>
      <c r="D249" s="693"/>
      <c r="E249" s="693">
        <f>E221+E234+E242+E247</f>
        <v>73.680000000000007</v>
      </c>
      <c r="F249" s="693"/>
      <c r="G249" s="105"/>
    </row>
    <row r="250" spans="1:7">
      <c r="A250" s="105"/>
      <c r="B250" s="689" t="s">
        <v>801</v>
      </c>
      <c r="C250" s="689"/>
      <c r="D250" s="689"/>
      <c r="E250" s="689"/>
      <c r="F250" s="105"/>
      <c r="G250" s="105"/>
    </row>
    <row r="251" spans="1:7">
      <c r="A251" s="105"/>
      <c r="B251" s="687" t="s">
        <v>3799</v>
      </c>
      <c r="C251" s="687"/>
      <c r="D251" s="105"/>
      <c r="E251" s="105"/>
      <c r="F251" s="105"/>
      <c r="G251" s="105"/>
    </row>
    <row r="252" spans="1:7">
      <c r="A252" s="363" t="s">
        <v>798</v>
      </c>
      <c r="B252" s="363" t="s">
        <v>33</v>
      </c>
      <c r="C252" s="688" t="s">
        <v>799</v>
      </c>
      <c r="D252" s="688"/>
      <c r="E252" s="688" t="s">
        <v>800</v>
      </c>
      <c r="F252" s="688"/>
      <c r="G252" s="105"/>
    </row>
    <row r="253" spans="1:7">
      <c r="A253" s="105"/>
      <c r="B253" s="689" t="s">
        <v>801</v>
      </c>
      <c r="C253" s="689"/>
      <c r="D253" s="105"/>
      <c r="E253" s="105"/>
      <c r="F253" s="105"/>
      <c r="G253" s="105"/>
    </row>
    <row r="254" spans="1:7">
      <c r="A254" s="362" t="s">
        <v>71</v>
      </c>
      <c r="B254" s="133" t="s">
        <v>802</v>
      </c>
      <c r="C254" s="105"/>
      <c r="D254" s="105"/>
      <c r="E254" s="105"/>
      <c r="F254" s="105"/>
      <c r="G254" s="105"/>
    </row>
    <row r="255" spans="1:7">
      <c r="A255" s="130" t="s">
        <v>803</v>
      </c>
      <c r="B255" s="134" t="s">
        <v>804</v>
      </c>
      <c r="C255" s="690">
        <v>20</v>
      </c>
      <c r="D255" s="690"/>
      <c r="E255" s="691">
        <v>20</v>
      </c>
      <c r="F255" s="691"/>
      <c r="G255" s="105"/>
    </row>
    <row r="256" spans="1:7">
      <c r="A256" s="130" t="s">
        <v>805</v>
      </c>
      <c r="B256" s="134" t="s">
        <v>818</v>
      </c>
      <c r="C256" s="690">
        <v>8</v>
      </c>
      <c r="D256" s="690"/>
      <c r="E256" s="691">
        <v>8</v>
      </c>
      <c r="F256" s="691"/>
      <c r="G256" s="105"/>
    </row>
    <row r="257" spans="1:7">
      <c r="A257" s="130" t="s">
        <v>807</v>
      </c>
      <c r="B257" s="134" t="s">
        <v>870</v>
      </c>
      <c r="C257" s="690">
        <v>1.5</v>
      </c>
      <c r="D257" s="690"/>
      <c r="E257" s="691">
        <v>1.5</v>
      </c>
      <c r="F257" s="691"/>
      <c r="G257" s="105"/>
    </row>
    <row r="258" spans="1:7">
      <c r="A258" s="130" t="s">
        <v>809</v>
      </c>
      <c r="B258" s="134" t="s">
        <v>871</v>
      </c>
      <c r="C258" s="690">
        <v>1</v>
      </c>
      <c r="D258" s="690"/>
      <c r="E258" s="691">
        <v>1</v>
      </c>
      <c r="F258" s="691"/>
      <c r="G258" s="105"/>
    </row>
    <row r="259" spans="1:7">
      <c r="A259" s="130" t="s">
        <v>811</v>
      </c>
      <c r="B259" s="134" t="s">
        <v>872</v>
      </c>
      <c r="C259" s="690">
        <v>0.2</v>
      </c>
      <c r="D259" s="690"/>
      <c r="E259" s="691">
        <v>0.2</v>
      </c>
      <c r="F259" s="691"/>
      <c r="G259" s="105"/>
    </row>
    <row r="260" spans="1:7">
      <c r="A260" s="130" t="s">
        <v>813</v>
      </c>
      <c r="B260" s="134" t="s">
        <v>814</v>
      </c>
      <c r="C260" s="690">
        <v>2.5</v>
      </c>
      <c r="D260" s="690"/>
      <c r="E260" s="691">
        <v>2.5</v>
      </c>
      <c r="F260" s="691"/>
      <c r="G260" s="105"/>
    </row>
    <row r="261" spans="1:7">
      <c r="A261" s="130" t="s">
        <v>815</v>
      </c>
      <c r="B261" s="134" t="s">
        <v>816</v>
      </c>
      <c r="C261" s="690">
        <v>3</v>
      </c>
      <c r="D261" s="690"/>
      <c r="E261" s="691">
        <v>3</v>
      </c>
      <c r="F261" s="691"/>
      <c r="G261" s="105"/>
    </row>
    <row r="262" spans="1:7">
      <c r="A262" s="130" t="s">
        <v>817</v>
      </c>
      <c r="B262" s="134" t="s">
        <v>873</v>
      </c>
      <c r="C262" s="690">
        <v>0.6</v>
      </c>
      <c r="D262" s="690"/>
      <c r="E262" s="691">
        <v>0.6</v>
      </c>
      <c r="F262" s="691"/>
      <c r="G262" s="105"/>
    </row>
    <row r="263" spans="1:7">
      <c r="A263" s="130" t="s">
        <v>819</v>
      </c>
      <c r="B263" s="134" t="s">
        <v>820</v>
      </c>
      <c r="C263" s="690">
        <v>1</v>
      </c>
      <c r="D263" s="690"/>
      <c r="E263" s="691">
        <v>1</v>
      </c>
      <c r="F263" s="691"/>
      <c r="G263" s="105"/>
    </row>
    <row r="264" spans="1:7">
      <c r="A264" s="105"/>
      <c r="B264" s="360" t="s">
        <v>583</v>
      </c>
      <c r="C264" s="692">
        <f>SUM(C255:D263)</f>
        <v>37.800000000000004</v>
      </c>
      <c r="D264" s="692"/>
      <c r="E264" s="692">
        <f>SUM(E255:F263)</f>
        <v>37.800000000000004</v>
      </c>
      <c r="F264" s="692"/>
      <c r="G264" s="105"/>
    </row>
    <row r="265" spans="1:7">
      <c r="A265" s="105"/>
      <c r="B265" s="689" t="s">
        <v>801</v>
      </c>
      <c r="C265" s="689"/>
      <c r="D265" s="105"/>
      <c r="E265" s="105"/>
      <c r="F265" s="105"/>
      <c r="G265" s="105"/>
    </row>
    <row r="266" spans="1:7">
      <c r="A266" s="362" t="s">
        <v>78</v>
      </c>
      <c r="B266" s="133" t="s">
        <v>821</v>
      </c>
      <c r="C266" s="105"/>
      <c r="D266" s="105"/>
      <c r="E266" s="105"/>
      <c r="F266" s="105"/>
      <c r="G266" s="105"/>
    </row>
    <row r="267" spans="1:7">
      <c r="A267" s="130" t="s">
        <v>822</v>
      </c>
      <c r="B267" s="134" t="s">
        <v>823</v>
      </c>
      <c r="C267" s="690">
        <v>18.16</v>
      </c>
      <c r="D267" s="690"/>
      <c r="E267" s="691">
        <v>0</v>
      </c>
      <c r="F267" s="691"/>
      <c r="G267" s="105"/>
    </row>
    <row r="268" spans="1:7">
      <c r="A268" s="130" t="s">
        <v>824</v>
      </c>
      <c r="B268" s="134" t="s">
        <v>825</v>
      </c>
      <c r="C268" s="690">
        <v>4.17</v>
      </c>
      <c r="D268" s="690"/>
      <c r="E268" s="691">
        <v>0</v>
      </c>
      <c r="F268" s="691"/>
      <c r="G268" s="105"/>
    </row>
    <row r="269" spans="1:7">
      <c r="A269" s="130" t="s">
        <v>826</v>
      </c>
      <c r="B269" s="134" t="s">
        <v>3401</v>
      </c>
      <c r="C269" s="690">
        <v>0.94</v>
      </c>
      <c r="D269" s="690"/>
      <c r="E269" s="691">
        <v>0.7</v>
      </c>
      <c r="F269" s="691"/>
      <c r="G269" s="105"/>
    </row>
    <row r="270" spans="1:7">
      <c r="A270" s="130" t="s">
        <v>828</v>
      </c>
      <c r="B270" s="134" t="s">
        <v>3402</v>
      </c>
      <c r="C270" s="690">
        <v>0.05</v>
      </c>
      <c r="D270" s="690"/>
      <c r="E270" s="691">
        <v>0.04</v>
      </c>
      <c r="F270" s="691"/>
      <c r="G270" s="105"/>
    </row>
    <row r="271" spans="1:7">
      <c r="A271" s="130" t="s">
        <v>830</v>
      </c>
      <c r="B271" s="134" t="s">
        <v>831</v>
      </c>
      <c r="C271" s="690">
        <v>0.06</v>
      </c>
      <c r="D271" s="690"/>
      <c r="E271" s="691">
        <v>0.05</v>
      </c>
      <c r="F271" s="691"/>
      <c r="G271" s="105"/>
    </row>
    <row r="272" spans="1:7">
      <c r="A272" s="130" t="s">
        <v>832</v>
      </c>
      <c r="B272" s="134" t="s">
        <v>833</v>
      </c>
      <c r="C272" s="690">
        <v>0.75</v>
      </c>
      <c r="D272" s="690"/>
      <c r="E272" s="691">
        <v>0.56000000000000005</v>
      </c>
      <c r="F272" s="691"/>
      <c r="G272" s="105"/>
    </row>
    <row r="273" spans="1:7">
      <c r="A273" s="130" t="s">
        <v>834</v>
      </c>
      <c r="B273" s="134" t="s">
        <v>839</v>
      </c>
      <c r="C273" s="690">
        <v>11.9</v>
      </c>
      <c r="D273" s="690"/>
      <c r="E273" s="691">
        <v>8.8800000000000008</v>
      </c>
      <c r="F273" s="691"/>
      <c r="G273" s="105"/>
    </row>
    <row r="274" spans="1:7">
      <c r="A274" s="130" t="s">
        <v>836</v>
      </c>
      <c r="B274" s="134" t="s">
        <v>841</v>
      </c>
      <c r="C274" s="690">
        <v>0.01</v>
      </c>
      <c r="D274" s="690"/>
      <c r="E274" s="691">
        <v>0.01</v>
      </c>
      <c r="F274" s="691"/>
      <c r="G274" s="105"/>
    </row>
    <row r="275" spans="1:7">
      <c r="A275" s="130" t="s">
        <v>838</v>
      </c>
      <c r="B275" s="134" t="s">
        <v>879</v>
      </c>
      <c r="C275" s="690">
        <v>11.17</v>
      </c>
      <c r="D275" s="690"/>
      <c r="E275" s="691">
        <v>8.33</v>
      </c>
      <c r="F275" s="691"/>
      <c r="G275" s="105"/>
    </row>
    <row r="276" spans="1:7">
      <c r="A276" s="105"/>
      <c r="B276" s="360" t="s">
        <v>583</v>
      </c>
      <c r="C276" s="692">
        <f>SUM(C267:D275)</f>
        <v>47.21</v>
      </c>
      <c r="D276" s="692"/>
      <c r="E276" s="692">
        <f>SUM(E267:F275)</f>
        <v>18.57</v>
      </c>
      <c r="F276" s="692"/>
      <c r="G276" s="105"/>
    </row>
    <row r="277" spans="1:7">
      <c r="A277" s="105"/>
      <c r="B277" s="689" t="s">
        <v>801</v>
      </c>
      <c r="C277" s="689"/>
      <c r="D277" s="105"/>
      <c r="E277" s="105"/>
      <c r="F277" s="105"/>
      <c r="G277" s="105"/>
    </row>
    <row r="278" spans="1:7">
      <c r="A278" s="362" t="s">
        <v>85</v>
      </c>
      <c r="B278" s="133" t="s">
        <v>842</v>
      </c>
      <c r="C278" s="105"/>
      <c r="D278" s="105"/>
      <c r="E278" s="105"/>
      <c r="F278" s="105"/>
      <c r="G278" s="105"/>
    </row>
    <row r="279" spans="1:7">
      <c r="A279" s="130" t="s">
        <v>843</v>
      </c>
      <c r="B279" s="134" t="s">
        <v>844</v>
      </c>
      <c r="C279" s="690">
        <v>6.98</v>
      </c>
      <c r="D279" s="690"/>
      <c r="E279" s="691">
        <v>5.2</v>
      </c>
      <c r="F279" s="691"/>
      <c r="G279" s="105"/>
    </row>
    <row r="280" spans="1:7">
      <c r="A280" s="130" t="s">
        <v>845</v>
      </c>
      <c r="B280" s="134" t="s">
        <v>846</v>
      </c>
      <c r="C280" s="690">
        <v>0.16</v>
      </c>
      <c r="D280" s="690"/>
      <c r="E280" s="691">
        <v>0.12</v>
      </c>
      <c r="F280" s="691"/>
      <c r="G280" s="105"/>
    </row>
    <row r="281" spans="1:7">
      <c r="A281" s="130" t="s">
        <v>847</v>
      </c>
      <c r="B281" s="134" t="s">
        <v>848</v>
      </c>
      <c r="C281" s="690">
        <v>2.35</v>
      </c>
      <c r="D281" s="690"/>
      <c r="E281" s="691">
        <v>1.74</v>
      </c>
      <c r="F281" s="691"/>
      <c r="G281" s="105"/>
    </row>
    <row r="282" spans="1:7">
      <c r="A282" s="130" t="s">
        <v>849</v>
      </c>
      <c r="B282" s="134" t="s">
        <v>850</v>
      </c>
      <c r="C282" s="690">
        <v>3.81</v>
      </c>
      <c r="D282" s="690"/>
      <c r="E282" s="691">
        <v>2.83</v>
      </c>
      <c r="F282" s="691"/>
      <c r="G282" s="105"/>
    </row>
    <row r="283" spans="1:7">
      <c r="A283" s="130" t="s">
        <v>851</v>
      </c>
      <c r="B283" s="134" t="s">
        <v>852</v>
      </c>
      <c r="C283" s="690">
        <v>0.59</v>
      </c>
      <c r="D283" s="690"/>
      <c r="E283" s="691">
        <v>0.44</v>
      </c>
      <c r="F283" s="691"/>
      <c r="G283" s="105"/>
    </row>
    <row r="284" spans="1:7">
      <c r="A284" s="105"/>
      <c r="B284" s="360" t="s">
        <v>583</v>
      </c>
      <c r="C284" s="692">
        <f>SUM(C279:D283)</f>
        <v>13.89</v>
      </c>
      <c r="D284" s="692"/>
      <c r="E284" s="692">
        <f>SUM(E279:F283)</f>
        <v>10.33</v>
      </c>
      <c r="F284" s="692"/>
      <c r="G284" s="105"/>
    </row>
    <row r="285" spans="1:7">
      <c r="A285" s="105"/>
      <c r="B285" s="689" t="s">
        <v>801</v>
      </c>
      <c r="C285" s="689"/>
      <c r="D285" s="105"/>
      <c r="E285" s="105"/>
      <c r="F285" s="105"/>
      <c r="G285" s="105"/>
    </row>
    <row r="286" spans="1:7">
      <c r="A286" s="362" t="s">
        <v>853</v>
      </c>
      <c r="B286" s="133" t="s">
        <v>854</v>
      </c>
      <c r="C286" s="105"/>
      <c r="D286" s="105"/>
      <c r="E286" s="105"/>
      <c r="F286" s="105"/>
      <c r="G286" s="105"/>
    </row>
    <row r="287" spans="1:7">
      <c r="A287" s="130" t="s">
        <v>855</v>
      </c>
      <c r="B287" s="134" t="s">
        <v>856</v>
      </c>
      <c r="C287" s="690">
        <v>17.850000000000001</v>
      </c>
      <c r="D287" s="690"/>
      <c r="E287" s="691">
        <v>7.02</v>
      </c>
      <c r="F287" s="691"/>
      <c r="G287" s="105"/>
    </row>
    <row r="288" spans="1:7" ht="38.25">
      <c r="A288" s="130" t="s">
        <v>857</v>
      </c>
      <c r="B288" s="134" t="s">
        <v>858</v>
      </c>
      <c r="C288" s="690">
        <v>0.62</v>
      </c>
      <c r="D288" s="690"/>
      <c r="E288" s="691">
        <v>0.47</v>
      </c>
      <c r="F288" s="691"/>
      <c r="G288" s="105"/>
    </row>
    <row r="289" spans="1:7">
      <c r="A289" s="105"/>
      <c r="B289" s="360" t="s">
        <v>583</v>
      </c>
      <c r="C289" s="692">
        <f>C287+C288</f>
        <v>18.470000000000002</v>
      </c>
      <c r="D289" s="692"/>
      <c r="E289" s="692">
        <f>E287+E288</f>
        <v>7.4899999999999993</v>
      </c>
      <c r="F289" s="692"/>
      <c r="G289" s="105"/>
    </row>
    <row r="290" spans="1:7">
      <c r="A290" s="105"/>
      <c r="B290" s="689" t="s">
        <v>801</v>
      </c>
      <c r="C290" s="689"/>
      <c r="D290" s="689"/>
      <c r="E290" s="105"/>
      <c r="F290" s="105"/>
      <c r="G290" s="105"/>
    </row>
    <row r="291" spans="1:7">
      <c r="A291" s="105"/>
      <c r="B291" s="361" t="s">
        <v>859</v>
      </c>
      <c r="C291" s="693">
        <f>C264+C276+C284+C289</f>
        <v>117.37</v>
      </c>
      <c r="D291" s="693"/>
      <c r="E291" s="693">
        <f>E264+E276+E284+E289</f>
        <v>74.19</v>
      </c>
      <c r="F291" s="693"/>
      <c r="G291" s="105"/>
    </row>
    <row r="292" spans="1:7">
      <c r="A292" s="105"/>
      <c r="B292" s="361"/>
      <c r="C292" s="364"/>
      <c r="D292" s="364"/>
      <c r="E292" s="364"/>
      <c r="F292" s="364"/>
      <c r="G292" s="105"/>
    </row>
    <row r="293" spans="1:7">
      <c r="A293" s="105"/>
      <c r="B293" s="687" t="s">
        <v>3747</v>
      </c>
      <c r="C293" s="687"/>
      <c r="D293" s="105"/>
      <c r="E293" s="105"/>
      <c r="F293" s="105"/>
      <c r="G293" s="105"/>
    </row>
    <row r="294" spans="1:7">
      <c r="A294" s="419" t="s">
        <v>798</v>
      </c>
      <c r="B294" s="419" t="s">
        <v>33</v>
      </c>
      <c r="C294" s="688" t="s">
        <v>799</v>
      </c>
      <c r="D294" s="688"/>
      <c r="E294" s="688" t="s">
        <v>800</v>
      </c>
      <c r="F294" s="688"/>
      <c r="G294" s="105"/>
    </row>
    <row r="295" spans="1:7">
      <c r="A295" s="105"/>
      <c r="B295" s="689" t="s">
        <v>801</v>
      </c>
      <c r="C295" s="689"/>
      <c r="D295" s="105"/>
      <c r="E295" s="105"/>
      <c r="F295" s="105"/>
      <c r="G295" s="105"/>
    </row>
    <row r="296" spans="1:7">
      <c r="A296" s="420" t="s">
        <v>71</v>
      </c>
      <c r="B296" s="133" t="s">
        <v>802</v>
      </c>
      <c r="C296" s="105"/>
      <c r="D296" s="105"/>
      <c r="E296" s="105"/>
      <c r="F296" s="105"/>
      <c r="G296" s="105"/>
    </row>
    <row r="297" spans="1:7">
      <c r="A297" s="130" t="s">
        <v>803</v>
      </c>
      <c r="B297" s="134" t="s">
        <v>804</v>
      </c>
      <c r="C297" s="690">
        <v>20</v>
      </c>
      <c r="D297" s="690"/>
      <c r="E297" s="691">
        <v>20</v>
      </c>
      <c r="F297" s="691"/>
      <c r="G297" s="105"/>
    </row>
    <row r="298" spans="1:7">
      <c r="A298" s="130" t="s">
        <v>805</v>
      </c>
      <c r="B298" s="134" t="s">
        <v>818</v>
      </c>
      <c r="C298" s="690">
        <v>8</v>
      </c>
      <c r="D298" s="690"/>
      <c r="E298" s="691">
        <v>8</v>
      </c>
      <c r="F298" s="691"/>
      <c r="G298" s="105"/>
    </row>
    <row r="299" spans="1:7">
      <c r="A299" s="130" t="s">
        <v>807</v>
      </c>
      <c r="B299" s="134" t="s">
        <v>870</v>
      </c>
      <c r="C299" s="690">
        <v>1.5</v>
      </c>
      <c r="D299" s="690"/>
      <c r="E299" s="691">
        <v>1.5</v>
      </c>
      <c r="F299" s="691"/>
      <c r="G299" s="105"/>
    </row>
    <row r="300" spans="1:7">
      <c r="A300" s="130" t="s">
        <v>809</v>
      </c>
      <c r="B300" s="134" t="s">
        <v>871</v>
      </c>
      <c r="C300" s="690">
        <v>1</v>
      </c>
      <c r="D300" s="690"/>
      <c r="E300" s="691">
        <v>1</v>
      </c>
      <c r="F300" s="691"/>
      <c r="G300" s="105"/>
    </row>
    <row r="301" spans="1:7">
      <c r="A301" s="130" t="s">
        <v>811</v>
      </c>
      <c r="B301" s="134" t="s">
        <v>872</v>
      </c>
      <c r="C301" s="690">
        <v>0.2</v>
      </c>
      <c r="D301" s="690"/>
      <c r="E301" s="691">
        <v>0.2</v>
      </c>
      <c r="F301" s="691"/>
      <c r="G301" s="105"/>
    </row>
    <row r="302" spans="1:7">
      <c r="A302" s="130" t="s">
        <v>813</v>
      </c>
      <c r="B302" s="134" t="s">
        <v>814</v>
      </c>
      <c r="C302" s="690">
        <v>2.5</v>
      </c>
      <c r="D302" s="690"/>
      <c r="E302" s="691">
        <v>2.5</v>
      </c>
      <c r="F302" s="691"/>
      <c r="G302" s="105"/>
    </row>
    <row r="303" spans="1:7">
      <c r="A303" s="130" t="s">
        <v>815</v>
      </c>
      <c r="B303" s="134" t="s">
        <v>816</v>
      </c>
      <c r="C303" s="690">
        <v>3</v>
      </c>
      <c r="D303" s="690"/>
      <c r="E303" s="691">
        <v>3</v>
      </c>
      <c r="F303" s="691"/>
      <c r="G303" s="105"/>
    </row>
    <row r="304" spans="1:7">
      <c r="A304" s="130" t="s">
        <v>817</v>
      </c>
      <c r="B304" s="134" t="s">
        <v>873</v>
      </c>
      <c r="C304" s="690">
        <v>0.6</v>
      </c>
      <c r="D304" s="690"/>
      <c r="E304" s="691">
        <v>0.6</v>
      </c>
      <c r="F304" s="691"/>
      <c r="G304" s="105"/>
    </row>
    <row r="305" spans="1:7">
      <c r="A305" s="130" t="s">
        <v>819</v>
      </c>
      <c r="B305" s="134" t="s">
        <v>820</v>
      </c>
      <c r="C305" s="690">
        <v>1</v>
      </c>
      <c r="D305" s="690"/>
      <c r="E305" s="691">
        <v>1</v>
      </c>
      <c r="F305" s="691"/>
      <c r="G305" s="105"/>
    </row>
    <row r="306" spans="1:7">
      <c r="A306" s="105"/>
      <c r="B306" s="417" t="s">
        <v>583</v>
      </c>
      <c r="C306" s="692">
        <f>SUM(C297:D305)</f>
        <v>37.800000000000004</v>
      </c>
      <c r="D306" s="692"/>
      <c r="E306" s="692">
        <f>SUM(E297:F305)</f>
        <v>37.800000000000004</v>
      </c>
      <c r="F306" s="692"/>
      <c r="G306" s="105"/>
    </row>
    <row r="307" spans="1:7">
      <c r="A307" s="105"/>
      <c r="B307" s="689" t="s">
        <v>801</v>
      </c>
      <c r="C307" s="689"/>
      <c r="D307" s="105"/>
      <c r="E307" s="105"/>
      <c r="F307" s="105"/>
      <c r="G307" s="105"/>
    </row>
    <row r="308" spans="1:7">
      <c r="A308" s="420" t="s">
        <v>78</v>
      </c>
      <c r="B308" s="133" t="s">
        <v>821</v>
      </c>
      <c r="C308" s="105"/>
      <c r="D308" s="105"/>
      <c r="E308" s="105"/>
      <c r="F308" s="105"/>
      <c r="G308" s="105"/>
    </row>
    <row r="309" spans="1:7">
      <c r="A309" s="130" t="s">
        <v>822</v>
      </c>
      <c r="B309" s="134" t="s">
        <v>823</v>
      </c>
      <c r="C309" s="690">
        <v>17.5</v>
      </c>
      <c r="D309" s="690"/>
      <c r="E309" s="691">
        <v>0</v>
      </c>
      <c r="F309" s="691"/>
      <c r="G309" s="105"/>
    </row>
    <row r="310" spans="1:7">
      <c r="A310" s="130" t="s">
        <v>824</v>
      </c>
      <c r="B310" s="134" t="s">
        <v>825</v>
      </c>
      <c r="C310" s="690">
        <v>3.86</v>
      </c>
      <c r="D310" s="690"/>
      <c r="E310" s="691">
        <v>0</v>
      </c>
      <c r="F310" s="691"/>
      <c r="G310" s="105"/>
    </row>
    <row r="311" spans="1:7">
      <c r="A311" s="130" t="s">
        <v>826</v>
      </c>
      <c r="B311" s="134" t="s">
        <v>3401</v>
      </c>
      <c r="C311" s="690">
        <v>0.23</v>
      </c>
      <c r="D311" s="690"/>
      <c r="E311" s="691">
        <v>0.22</v>
      </c>
      <c r="F311" s="691"/>
      <c r="G311" s="105"/>
    </row>
    <row r="312" spans="1:7">
      <c r="A312" s="130" t="s">
        <v>828</v>
      </c>
      <c r="B312" s="134" t="s">
        <v>3402</v>
      </c>
      <c r="C312" s="690">
        <v>2.59</v>
      </c>
      <c r="D312" s="690"/>
      <c r="E312" s="691">
        <v>0</v>
      </c>
      <c r="F312" s="691"/>
      <c r="G312" s="105"/>
    </row>
    <row r="313" spans="1:7">
      <c r="A313" s="130" t="s">
        <v>830</v>
      </c>
      <c r="B313" s="134" t="s">
        <v>831</v>
      </c>
      <c r="C313" s="690">
        <v>0.24</v>
      </c>
      <c r="D313" s="690"/>
      <c r="E313" s="691">
        <v>0.24</v>
      </c>
      <c r="F313" s="691"/>
      <c r="G313" s="105"/>
    </row>
    <row r="314" spans="1:7">
      <c r="A314" s="130" t="s">
        <v>832</v>
      </c>
      <c r="B314" s="134" t="s">
        <v>833</v>
      </c>
      <c r="C314" s="690">
        <v>0.73</v>
      </c>
      <c r="D314" s="690"/>
      <c r="E314" s="691">
        <v>0.84</v>
      </c>
      <c r="F314" s="691"/>
      <c r="G314" s="105"/>
    </row>
    <row r="315" spans="1:7">
      <c r="A315" s="130" t="s">
        <v>834</v>
      </c>
      <c r="B315" s="134" t="s">
        <v>3733</v>
      </c>
      <c r="C315" s="690">
        <v>1.49</v>
      </c>
      <c r="D315" s="690"/>
      <c r="E315" s="691">
        <v>0</v>
      </c>
      <c r="F315" s="691"/>
      <c r="G315" s="105"/>
    </row>
    <row r="316" spans="1:7">
      <c r="A316" s="130" t="s">
        <v>836</v>
      </c>
      <c r="B316" s="134" t="s">
        <v>879</v>
      </c>
      <c r="C316" s="690">
        <v>10.97</v>
      </c>
      <c r="D316" s="690"/>
      <c r="E316" s="691">
        <v>12.6</v>
      </c>
      <c r="F316" s="691"/>
      <c r="G316" s="105"/>
    </row>
    <row r="317" spans="1:7">
      <c r="A317" s="105"/>
      <c r="B317" s="417" t="s">
        <v>583</v>
      </c>
      <c r="C317" s="692">
        <f>SUM(C309:D316)</f>
        <v>37.61</v>
      </c>
      <c r="D317" s="692"/>
      <c r="E317" s="692">
        <f>SUM(E309:F316)</f>
        <v>13.899999999999999</v>
      </c>
      <c r="F317" s="692"/>
      <c r="G317" s="105"/>
    </row>
    <row r="318" spans="1:7">
      <c r="A318" s="105"/>
      <c r="B318" s="689" t="s">
        <v>801</v>
      </c>
      <c r="C318" s="689"/>
      <c r="D318" s="105"/>
      <c r="E318" s="105"/>
      <c r="F318" s="105"/>
      <c r="G318" s="105"/>
    </row>
    <row r="319" spans="1:7">
      <c r="A319" s="420" t="s">
        <v>85</v>
      </c>
      <c r="B319" s="133" t="s">
        <v>842</v>
      </c>
      <c r="C319" s="105"/>
      <c r="D319" s="105"/>
      <c r="E319" s="105"/>
      <c r="F319" s="105"/>
      <c r="G319" s="105"/>
    </row>
    <row r="320" spans="1:7">
      <c r="A320" s="130" t="s">
        <v>843</v>
      </c>
      <c r="B320" s="134" t="s">
        <v>844</v>
      </c>
      <c r="C320" s="690">
        <v>13.36</v>
      </c>
      <c r="D320" s="690"/>
      <c r="E320" s="691">
        <v>1.36</v>
      </c>
      <c r="F320" s="691"/>
      <c r="G320" s="105"/>
    </row>
    <row r="321" spans="1:7">
      <c r="A321" s="130" t="s">
        <v>845</v>
      </c>
      <c r="B321" s="134" t="s">
        <v>848</v>
      </c>
      <c r="C321" s="690">
        <v>14.62</v>
      </c>
      <c r="D321" s="690"/>
      <c r="E321" s="691">
        <v>16.8</v>
      </c>
      <c r="F321" s="691"/>
      <c r="G321" s="105"/>
    </row>
    <row r="322" spans="1:7">
      <c r="A322" s="130" t="s">
        <v>847</v>
      </c>
      <c r="B322" s="134" t="s">
        <v>850</v>
      </c>
      <c r="C322" s="690">
        <v>4.4000000000000004</v>
      </c>
      <c r="D322" s="690"/>
      <c r="E322" s="691">
        <v>4.22</v>
      </c>
      <c r="F322" s="691"/>
      <c r="G322" s="105"/>
    </row>
    <row r="323" spans="1:7">
      <c r="A323" s="130" t="s">
        <v>849</v>
      </c>
      <c r="B323" s="134" t="s">
        <v>852</v>
      </c>
      <c r="C323" s="690">
        <v>1.1100000000000001</v>
      </c>
      <c r="D323" s="690"/>
      <c r="E323" s="691">
        <v>1.05</v>
      </c>
      <c r="F323" s="691"/>
      <c r="G323" s="105"/>
    </row>
    <row r="324" spans="1:7">
      <c r="A324" s="105"/>
      <c r="B324" s="417" t="s">
        <v>583</v>
      </c>
      <c r="C324" s="692">
        <f>SUM(C320:D323)</f>
        <v>33.489999999999995</v>
      </c>
      <c r="D324" s="692"/>
      <c r="E324" s="692">
        <f>SUM(E320:F323)</f>
        <v>23.43</v>
      </c>
      <c r="F324" s="692"/>
      <c r="G324" s="105"/>
    </row>
    <row r="325" spans="1:7">
      <c r="A325" s="105"/>
      <c r="B325" s="689" t="s">
        <v>801</v>
      </c>
      <c r="C325" s="689"/>
      <c r="D325" s="105"/>
      <c r="E325" s="105"/>
      <c r="F325" s="105"/>
      <c r="G325" s="105"/>
    </row>
    <row r="326" spans="1:7">
      <c r="A326" s="420" t="s">
        <v>853</v>
      </c>
      <c r="B326" s="133" t="s">
        <v>854</v>
      </c>
      <c r="C326" s="105"/>
      <c r="D326" s="105"/>
      <c r="E326" s="105"/>
      <c r="F326" s="105"/>
      <c r="G326" s="105"/>
    </row>
    <row r="327" spans="1:7">
      <c r="A327" s="130" t="s">
        <v>855</v>
      </c>
      <c r="B327" s="134" t="s">
        <v>856</v>
      </c>
      <c r="C327" s="690">
        <v>14.22</v>
      </c>
      <c r="D327" s="690"/>
      <c r="E327" s="691">
        <v>12.12</v>
      </c>
      <c r="F327" s="691"/>
      <c r="G327" s="105"/>
    </row>
    <row r="328" spans="1:7">
      <c r="A328" s="105"/>
      <c r="B328" s="417" t="s">
        <v>583</v>
      </c>
      <c r="C328" s="692">
        <f>C327</f>
        <v>14.22</v>
      </c>
      <c r="D328" s="692"/>
      <c r="E328" s="692">
        <f>E327</f>
        <v>12.12</v>
      </c>
      <c r="F328" s="692"/>
      <c r="G328" s="105"/>
    </row>
    <row r="329" spans="1:7">
      <c r="A329" s="105"/>
      <c r="B329" s="689" t="s">
        <v>801</v>
      </c>
      <c r="C329" s="689"/>
      <c r="D329" s="689"/>
      <c r="E329" s="105"/>
      <c r="F329" s="105"/>
      <c r="G329" s="105"/>
    </row>
    <row r="330" spans="1:7">
      <c r="A330" s="420" t="s">
        <v>3734</v>
      </c>
      <c r="B330" s="133" t="s">
        <v>3735</v>
      </c>
      <c r="C330" s="105"/>
      <c r="D330" s="105"/>
      <c r="E330" s="105"/>
      <c r="F330" s="105"/>
      <c r="G330" s="105"/>
    </row>
    <row r="331" spans="1:7">
      <c r="A331" s="130" t="s">
        <v>3736</v>
      </c>
      <c r="B331" s="134" t="s">
        <v>3737</v>
      </c>
      <c r="C331" s="690">
        <v>22.53</v>
      </c>
      <c r="D331" s="690"/>
      <c r="E331" s="691">
        <v>9.01</v>
      </c>
      <c r="F331" s="691"/>
      <c r="G331" s="105"/>
    </row>
    <row r="332" spans="1:7">
      <c r="A332" s="130" t="s">
        <v>3738</v>
      </c>
      <c r="B332" s="134" t="s">
        <v>3739</v>
      </c>
      <c r="C332" s="690">
        <v>8.9600000000000009</v>
      </c>
      <c r="D332" s="690"/>
      <c r="E332" s="691">
        <v>1.99</v>
      </c>
      <c r="F332" s="691"/>
      <c r="G332" s="105"/>
    </row>
    <row r="333" spans="1:7">
      <c r="A333" s="130" t="s">
        <v>3740</v>
      </c>
      <c r="B333" s="134" t="s">
        <v>3741</v>
      </c>
      <c r="C333" s="690">
        <v>0.93</v>
      </c>
      <c r="D333" s="690"/>
      <c r="E333" s="691">
        <v>0</v>
      </c>
      <c r="F333" s="691"/>
      <c r="G333" s="105"/>
    </row>
    <row r="334" spans="1:7">
      <c r="A334" s="130" t="s">
        <v>3742</v>
      </c>
      <c r="B334" s="134" t="s">
        <v>3743</v>
      </c>
      <c r="C334" s="690">
        <v>1.1599999999999999</v>
      </c>
      <c r="D334" s="690"/>
      <c r="E334" s="691">
        <v>0.46</v>
      </c>
      <c r="F334" s="691"/>
      <c r="G334" s="105"/>
    </row>
    <row r="335" spans="1:7">
      <c r="A335" s="105"/>
      <c r="B335" s="417" t="s">
        <v>583</v>
      </c>
      <c r="C335" s="692">
        <f>SUM(C331:D334)</f>
        <v>33.58</v>
      </c>
      <c r="D335" s="692"/>
      <c r="E335" s="692">
        <f>SUM(E331:F334)</f>
        <v>11.46</v>
      </c>
      <c r="F335" s="692"/>
      <c r="G335" s="105"/>
    </row>
    <row r="336" spans="1:7">
      <c r="A336" s="105"/>
      <c r="B336" s="418"/>
      <c r="C336" s="418"/>
      <c r="D336" s="418"/>
      <c r="E336" s="105"/>
      <c r="F336" s="105"/>
      <c r="G336" s="105"/>
    </row>
    <row r="337" spans="1:7">
      <c r="A337" s="105"/>
      <c r="B337" s="418" t="s">
        <v>859</v>
      </c>
      <c r="C337" s="693">
        <f>C306+C317+C324+C328+C335</f>
        <v>156.69999999999999</v>
      </c>
      <c r="D337" s="693"/>
      <c r="E337" s="693">
        <f>E306+E317+E324+E328+E335+0.01</f>
        <v>98.720000000000013</v>
      </c>
      <c r="F337" s="693"/>
      <c r="G337" s="105"/>
    </row>
    <row r="338" spans="1:7">
      <c r="A338" s="105"/>
      <c r="B338" s="418"/>
      <c r="C338" s="421"/>
      <c r="D338" s="421"/>
      <c r="E338" s="421"/>
      <c r="F338" s="421"/>
      <c r="G338" s="105"/>
    </row>
    <row r="339" spans="1:7" ht="141.94999999999999" customHeight="1">
      <c r="A339" s="591" t="s">
        <v>765</v>
      </c>
      <c r="B339" s="591"/>
      <c r="C339" s="591"/>
      <c r="D339" s="591"/>
      <c r="E339" s="591"/>
      <c r="F339" s="591"/>
      <c r="G339" s="591"/>
    </row>
  </sheetData>
  <mergeCells count="541">
    <mergeCell ref="C334:D334"/>
    <mergeCell ref="E334:F334"/>
    <mergeCell ref="C335:D335"/>
    <mergeCell ref="E335:F335"/>
    <mergeCell ref="C337:D337"/>
    <mergeCell ref="E337:F337"/>
    <mergeCell ref="C19:D19"/>
    <mergeCell ref="E19:F19"/>
    <mergeCell ref="C16:D16"/>
    <mergeCell ref="E16:F16"/>
    <mergeCell ref="C17:D17"/>
    <mergeCell ref="E17:F17"/>
    <mergeCell ref="C18:D18"/>
    <mergeCell ref="E18:F18"/>
    <mergeCell ref="C328:D328"/>
    <mergeCell ref="E328:F328"/>
    <mergeCell ref="B329:D329"/>
    <mergeCell ref="C331:D331"/>
    <mergeCell ref="E331:F331"/>
    <mergeCell ref="C332:D332"/>
    <mergeCell ref="E332:F332"/>
    <mergeCell ref="C333:D333"/>
    <mergeCell ref="E333:F333"/>
    <mergeCell ref="C322:D322"/>
    <mergeCell ref="C323:D323"/>
    <mergeCell ref="E323:F323"/>
    <mergeCell ref="C324:D324"/>
    <mergeCell ref="E324:F324"/>
    <mergeCell ref="B325:C325"/>
    <mergeCell ref="C327:D327"/>
    <mergeCell ref="E327:F327"/>
    <mergeCell ref="C316:D316"/>
    <mergeCell ref="E316:F316"/>
    <mergeCell ref="C317:D317"/>
    <mergeCell ref="E317:F317"/>
    <mergeCell ref="B318:C318"/>
    <mergeCell ref="C320:D320"/>
    <mergeCell ref="E320:F320"/>
    <mergeCell ref="C321:D321"/>
    <mergeCell ref="E321:F321"/>
    <mergeCell ref="C312:D312"/>
    <mergeCell ref="E312:F312"/>
    <mergeCell ref="C313:D313"/>
    <mergeCell ref="E313:F313"/>
    <mergeCell ref="C314:D314"/>
    <mergeCell ref="E314:F314"/>
    <mergeCell ref="C315:D315"/>
    <mergeCell ref="E315:F315"/>
    <mergeCell ref="E322:F322"/>
    <mergeCell ref="C306:D306"/>
    <mergeCell ref="E306:F306"/>
    <mergeCell ref="B307:C307"/>
    <mergeCell ref="C309:D309"/>
    <mergeCell ref="E309:F309"/>
    <mergeCell ref="C310:D310"/>
    <mergeCell ref="E310:F310"/>
    <mergeCell ref="C311:D311"/>
    <mergeCell ref="E311:F311"/>
    <mergeCell ref="C301:D301"/>
    <mergeCell ref="E301:F301"/>
    <mergeCell ref="C302:D302"/>
    <mergeCell ref="E302:F302"/>
    <mergeCell ref="C303:D303"/>
    <mergeCell ref="E303:F303"/>
    <mergeCell ref="C304:D304"/>
    <mergeCell ref="E304:F304"/>
    <mergeCell ref="C305:D305"/>
    <mergeCell ref="E305:F305"/>
    <mergeCell ref="B200:C200"/>
    <mergeCell ref="C202:D202"/>
    <mergeCell ref="C298:D298"/>
    <mergeCell ref="E298:F298"/>
    <mergeCell ref="C299:D299"/>
    <mergeCell ref="E299:F299"/>
    <mergeCell ref="C300:D300"/>
    <mergeCell ref="E300:F300"/>
    <mergeCell ref="C217:D217"/>
    <mergeCell ref="E217:F217"/>
    <mergeCell ref="C218:D218"/>
    <mergeCell ref="E218:F218"/>
    <mergeCell ref="C219:D219"/>
    <mergeCell ref="E219:F219"/>
    <mergeCell ref="C220:D220"/>
    <mergeCell ref="E220:F220"/>
    <mergeCell ref="C221:D221"/>
    <mergeCell ref="E221:F221"/>
    <mergeCell ref="B222:C222"/>
    <mergeCell ref="C224:D224"/>
    <mergeCell ref="E224:F224"/>
    <mergeCell ref="C225:D225"/>
    <mergeCell ref="E225:F225"/>
    <mergeCell ref="C226:D226"/>
    <mergeCell ref="C148:D148"/>
    <mergeCell ref="E148:F148"/>
    <mergeCell ref="C149:D149"/>
    <mergeCell ref="E149:F149"/>
    <mergeCell ref="B293:C293"/>
    <mergeCell ref="C294:D294"/>
    <mergeCell ref="E294:F294"/>
    <mergeCell ref="C196:D196"/>
    <mergeCell ref="E196:F196"/>
    <mergeCell ref="B194:C194"/>
    <mergeCell ref="E202:F202"/>
    <mergeCell ref="B208:C208"/>
    <mergeCell ref="C209:D209"/>
    <mergeCell ref="E209:F209"/>
    <mergeCell ref="B210:C210"/>
    <mergeCell ref="C212:D212"/>
    <mergeCell ref="E212:F212"/>
    <mergeCell ref="C213:D213"/>
    <mergeCell ref="E213:F213"/>
    <mergeCell ref="C214:D214"/>
    <mergeCell ref="E214:F214"/>
    <mergeCell ref="C215:D215"/>
    <mergeCell ref="C198:D198"/>
    <mergeCell ref="E198:F198"/>
    <mergeCell ref="C59:D59"/>
    <mergeCell ref="E59:F59"/>
    <mergeCell ref="C60:D60"/>
    <mergeCell ref="E60:F60"/>
    <mergeCell ref="C61:D61"/>
    <mergeCell ref="E61:F61"/>
    <mergeCell ref="C140:D140"/>
    <mergeCell ref="E140:F140"/>
    <mergeCell ref="B143:C143"/>
    <mergeCell ref="C62:D62"/>
    <mergeCell ref="E62:F62"/>
    <mergeCell ref="C63:D63"/>
    <mergeCell ref="E63:F63"/>
    <mergeCell ref="B64:C64"/>
    <mergeCell ref="C70:D70"/>
    <mergeCell ref="E70:F70"/>
    <mergeCell ref="C69:D69"/>
    <mergeCell ref="E69:F69"/>
    <mergeCell ref="C66:D66"/>
    <mergeCell ref="E66:F66"/>
    <mergeCell ref="C67:D67"/>
    <mergeCell ref="E67:F67"/>
    <mergeCell ref="C68:D68"/>
    <mergeCell ref="E68:F68"/>
    <mergeCell ref="C46:D46"/>
    <mergeCell ref="E46:F46"/>
    <mergeCell ref="B47:D47"/>
    <mergeCell ref="C48:D48"/>
    <mergeCell ref="E48:F48"/>
    <mergeCell ref="B49:E49"/>
    <mergeCell ref="C51:D51"/>
    <mergeCell ref="E51:F51"/>
    <mergeCell ref="B52:C52"/>
    <mergeCell ref="B50:C50"/>
    <mergeCell ref="C23:D23"/>
    <mergeCell ref="E23:F23"/>
    <mergeCell ref="C36:D36"/>
    <mergeCell ref="E36:F36"/>
    <mergeCell ref="C37:D37"/>
    <mergeCell ref="E37:F37"/>
    <mergeCell ref="C31:D31"/>
    <mergeCell ref="E31:F31"/>
    <mergeCell ref="C32:D32"/>
    <mergeCell ref="E32:F32"/>
    <mergeCell ref="C33:D33"/>
    <mergeCell ref="E33:F33"/>
    <mergeCell ref="B34:C34"/>
    <mergeCell ref="C41:D41"/>
    <mergeCell ref="E41:F41"/>
    <mergeCell ref="B42:C42"/>
    <mergeCell ref="C24:D24"/>
    <mergeCell ref="E24:F24"/>
    <mergeCell ref="C28:D28"/>
    <mergeCell ref="E28:F28"/>
    <mergeCell ref="C29:D29"/>
    <mergeCell ref="C177:D177"/>
    <mergeCell ref="E177:F177"/>
    <mergeCell ref="C167:D167"/>
    <mergeCell ref="E167:F167"/>
    <mergeCell ref="E170:F170"/>
    <mergeCell ref="B171:E171"/>
    <mergeCell ref="B172:C172"/>
    <mergeCell ref="C166:D166"/>
    <mergeCell ref="E166:F166"/>
    <mergeCell ref="C162:D162"/>
    <mergeCell ref="E162:F162"/>
    <mergeCell ref="C163:D163"/>
    <mergeCell ref="E163:F163"/>
    <mergeCell ref="C161:D161"/>
    <mergeCell ref="E161:F161"/>
    <mergeCell ref="B164:C164"/>
    <mergeCell ref="C178:D178"/>
    <mergeCell ref="E178:F178"/>
    <mergeCell ref="A339:G339"/>
    <mergeCell ref="C203:D203"/>
    <mergeCell ref="E203:F203"/>
    <mergeCell ref="C204:D204"/>
    <mergeCell ref="E204:F204"/>
    <mergeCell ref="B295:C295"/>
    <mergeCell ref="C297:D297"/>
    <mergeCell ref="E297:F297"/>
    <mergeCell ref="E215:F215"/>
    <mergeCell ref="C216:D216"/>
    <mergeCell ref="E216:F216"/>
    <mergeCell ref="C193:D193"/>
    <mergeCell ref="E193:F193"/>
    <mergeCell ref="C199:D199"/>
    <mergeCell ref="E199:F199"/>
    <mergeCell ref="B205:D205"/>
    <mergeCell ref="C206:D206"/>
    <mergeCell ref="E206:F206"/>
    <mergeCell ref="C197:D197"/>
    <mergeCell ref="E197:F197"/>
    <mergeCell ref="C191:D191"/>
    <mergeCell ref="E191:F191"/>
    <mergeCell ref="C192:D192"/>
    <mergeCell ref="E192:F192"/>
    <mergeCell ref="B174:C174"/>
    <mergeCell ref="C173:D173"/>
    <mergeCell ref="E173:F173"/>
    <mergeCell ref="C168:D168"/>
    <mergeCell ref="E168:F168"/>
    <mergeCell ref="C181:D181"/>
    <mergeCell ref="E181:F181"/>
    <mergeCell ref="C182:D182"/>
    <mergeCell ref="E182:F182"/>
    <mergeCell ref="B186:C186"/>
    <mergeCell ref="C189:D189"/>
    <mergeCell ref="E189:F189"/>
    <mergeCell ref="C190:D190"/>
    <mergeCell ref="E190:F190"/>
    <mergeCell ref="C179:D179"/>
    <mergeCell ref="E179:F179"/>
    <mergeCell ref="C180:D180"/>
    <mergeCell ref="E180:F180"/>
    <mergeCell ref="C176:D176"/>
    <mergeCell ref="E176:F176"/>
    <mergeCell ref="B169:D169"/>
    <mergeCell ref="C170:D170"/>
    <mergeCell ref="C150:D150"/>
    <mergeCell ref="E150:F150"/>
    <mergeCell ref="C152:D152"/>
    <mergeCell ref="E152:F152"/>
    <mergeCell ref="C153:D153"/>
    <mergeCell ref="E153:F153"/>
    <mergeCell ref="B156:C156"/>
    <mergeCell ref="C160:D160"/>
    <mergeCell ref="E160:F160"/>
    <mergeCell ref="C158:D158"/>
    <mergeCell ref="E158:F158"/>
    <mergeCell ref="C159:D159"/>
    <mergeCell ref="E159:F159"/>
    <mergeCell ref="C154:D154"/>
    <mergeCell ref="E154:F154"/>
    <mergeCell ref="C155:D155"/>
    <mergeCell ref="E155:F155"/>
    <mergeCell ref="C151:D151"/>
    <mergeCell ref="E151:F151"/>
    <mergeCell ref="C145:D145"/>
    <mergeCell ref="E145:F145"/>
    <mergeCell ref="C146:D146"/>
    <mergeCell ref="E146:F146"/>
    <mergeCell ref="C147:D147"/>
    <mergeCell ref="E147:F147"/>
    <mergeCell ref="C141:D141"/>
    <mergeCell ref="E141:F141"/>
    <mergeCell ref="C142:D142"/>
    <mergeCell ref="E142:F142"/>
    <mergeCell ref="C138:D138"/>
    <mergeCell ref="E138:F138"/>
    <mergeCell ref="C135:D135"/>
    <mergeCell ref="E135:F135"/>
    <mergeCell ref="C136:D136"/>
    <mergeCell ref="E136:F136"/>
    <mergeCell ref="C137:D137"/>
    <mergeCell ref="E137:F137"/>
    <mergeCell ref="C139:D139"/>
    <mergeCell ref="E139:F139"/>
    <mergeCell ref="C133:D133"/>
    <mergeCell ref="E133:F133"/>
    <mergeCell ref="C134:D134"/>
    <mergeCell ref="E134:F134"/>
    <mergeCell ref="C130:D130"/>
    <mergeCell ref="E130:F130"/>
    <mergeCell ref="C125:D125"/>
    <mergeCell ref="E125:F125"/>
    <mergeCell ref="B126:D126"/>
    <mergeCell ref="C127:D127"/>
    <mergeCell ref="E127:F127"/>
    <mergeCell ref="B128:E128"/>
    <mergeCell ref="B129:C129"/>
    <mergeCell ref="B131:C131"/>
    <mergeCell ref="C103:D103"/>
    <mergeCell ref="E103:F103"/>
    <mergeCell ref="C124:D124"/>
    <mergeCell ref="E124:F124"/>
    <mergeCell ref="C120:D120"/>
    <mergeCell ref="E120:F120"/>
    <mergeCell ref="C118:D118"/>
    <mergeCell ref="E118:F118"/>
    <mergeCell ref="C119:D119"/>
    <mergeCell ref="E119:F119"/>
    <mergeCell ref="B121:C121"/>
    <mergeCell ref="C123:D123"/>
    <mergeCell ref="E123:F123"/>
    <mergeCell ref="C110:D110"/>
    <mergeCell ref="E110:F110"/>
    <mergeCell ref="C117:D117"/>
    <mergeCell ref="E117:F117"/>
    <mergeCell ref="C115:D115"/>
    <mergeCell ref="E115:F115"/>
    <mergeCell ref="C116:D116"/>
    <mergeCell ref="E116:F116"/>
    <mergeCell ref="B113:C113"/>
    <mergeCell ref="C112:D112"/>
    <mergeCell ref="E112:F112"/>
    <mergeCell ref="C111:D111"/>
    <mergeCell ref="E111:F111"/>
    <mergeCell ref="C107:D107"/>
    <mergeCell ref="E107:F107"/>
    <mergeCell ref="C108:D108"/>
    <mergeCell ref="E108:F108"/>
    <mergeCell ref="C109:D109"/>
    <mergeCell ref="E109:F109"/>
    <mergeCell ref="E94:F94"/>
    <mergeCell ref="C95:D95"/>
    <mergeCell ref="E95:F95"/>
    <mergeCell ref="C96:D96"/>
    <mergeCell ref="E96:F96"/>
    <mergeCell ref="C97:D97"/>
    <mergeCell ref="E97:F97"/>
    <mergeCell ref="C98:D98"/>
    <mergeCell ref="E98:F98"/>
    <mergeCell ref="B100:C100"/>
    <mergeCell ref="C104:D104"/>
    <mergeCell ref="E104:F104"/>
    <mergeCell ref="C105:D105"/>
    <mergeCell ref="E105:F105"/>
    <mergeCell ref="C106:D106"/>
    <mergeCell ref="E106:F106"/>
    <mergeCell ref="C102:D102"/>
    <mergeCell ref="E102:F102"/>
    <mergeCell ref="C56:D56"/>
    <mergeCell ref="E56:F56"/>
    <mergeCell ref="C57:D57"/>
    <mergeCell ref="E57:F57"/>
    <mergeCell ref="C58:D58"/>
    <mergeCell ref="E58:F58"/>
    <mergeCell ref="C54:D54"/>
    <mergeCell ref="E54:F54"/>
    <mergeCell ref="C55:D55"/>
    <mergeCell ref="E55:F55"/>
    <mergeCell ref="C74:D74"/>
    <mergeCell ref="E74:F74"/>
    <mergeCell ref="C75:D75"/>
    <mergeCell ref="E75:F75"/>
    <mergeCell ref="C71:D71"/>
    <mergeCell ref="E71:F71"/>
    <mergeCell ref="B72:C72"/>
    <mergeCell ref="C76:D76"/>
    <mergeCell ref="E76:F76"/>
    <mergeCell ref="C77:D77"/>
    <mergeCell ref="E77:F77"/>
    <mergeCell ref="B78:C78"/>
    <mergeCell ref="E38:F38"/>
    <mergeCell ref="C39:D39"/>
    <mergeCell ref="E39:F39"/>
    <mergeCell ref="C40:D40"/>
    <mergeCell ref="E40:F40"/>
    <mergeCell ref="A1:A5"/>
    <mergeCell ref="B1:G4"/>
    <mergeCell ref="B5:G5"/>
    <mergeCell ref="C13:D13"/>
    <mergeCell ref="E13:F13"/>
    <mergeCell ref="C11:D11"/>
    <mergeCell ref="E11:F11"/>
    <mergeCell ref="C12:D12"/>
    <mergeCell ref="E12:F12"/>
    <mergeCell ref="B7:C7"/>
    <mergeCell ref="C8:D8"/>
    <mergeCell ref="E8:F8"/>
    <mergeCell ref="B9:C9"/>
    <mergeCell ref="C14:D14"/>
    <mergeCell ref="E14:F14"/>
    <mergeCell ref="C15:D15"/>
    <mergeCell ref="C20:D20"/>
    <mergeCell ref="E20:F20"/>
    <mergeCell ref="B21:C21"/>
    <mergeCell ref="E15:F15"/>
    <mergeCell ref="C84:D84"/>
    <mergeCell ref="E84:F84"/>
    <mergeCell ref="C80:D80"/>
    <mergeCell ref="E80:F80"/>
    <mergeCell ref="C82:D82"/>
    <mergeCell ref="E82:F82"/>
    <mergeCell ref="C81:D81"/>
    <mergeCell ref="E81:F81"/>
    <mergeCell ref="B83:D83"/>
    <mergeCell ref="E29:F29"/>
    <mergeCell ref="C30:D30"/>
    <mergeCell ref="E30:F30"/>
    <mergeCell ref="C25:D25"/>
    <mergeCell ref="E25:F25"/>
    <mergeCell ref="C26:D26"/>
    <mergeCell ref="E26:F26"/>
    <mergeCell ref="C27:D27"/>
    <mergeCell ref="E27:F27"/>
    <mergeCell ref="C45:D45"/>
    <mergeCell ref="E45:F45"/>
    <mergeCell ref="C44:D44"/>
    <mergeCell ref="E44:F44"/>
    <mergeCell ref="C38:D38"/>
    <mergeCell ref="B85:E85"/>
    <mergeCell ref="B86:C86"/>
    <mergeCell ref="C185:D185"/>
    <mergeCell ref="E185:F185"/>
    <mergeCell ref="C188:D188"/>
    <mergeCell ref="E188:F188"/>
    <mergeCell ref="C183:D183"/>
    <mergeCell ref="E183:F183"/>
    <mergeCell ref="C184:D184"/>
    <mergeCell ref="E184:F184"/>
    <mergeCell ref="C91:D91"/>
    <mergeCell ref="E91:F91"/>
    <mergeCell ref="C92:D92"/>
    <mergeCell ref="E92:F92"/>
    <mergeCell ref="C93:D93"/>
    <mergeCell ref="E93:F93"/>
    <mergeCell ref="C87:D87"/>
    <mergeCell ref="E87:F87"/>
    <mergeCell ref="C90:D90"/>
    <mergeCell ref="E90:F90"/>
    <mergeCell ref="B88:C88"/>
    <mergeCell ref="C99:D99"/>
    <mergeCell ref="E99:F99"/>
    <mergeCell ref="C94:D94"/>
    <mergeCell ref="E226:F226"/>
    <mergeCell ref="C227:D227"/>
    <mergeCell ref="E227:F227"/>
    <mergeCell ref="C228:D228"/>
    <mergeCell ref="E228:F228"/>
    <mergeCell ref="C229:D229"/>
    <mergeCell ref="E229:F229"/>
    <mergeCell ref="C230:D230"/>
    <mergeCell ref="E230:F230"/>
    <mergeCell ref="C231:D231"/>
    <mergeCell ref="E231:F231"/>
    <mergeCell ref="C232:D232"/>
    <mergeCell ref="E232:F232"/>
    <mergeCell ref="C233:D233"/>
    <mergeCell ref="E233:F233"/>
    <mergeCell ref="C234:D234"/>
    <mergeCell ref="E234:F234"/>
    <mergeCell ref="B235:C235"/>
    <mergeCell ref="C237:D237"/>
    <mergeCell ref="E237:F237"/>
    <mergeCell ref="C238:D238"/>
    <mergeCell ref="E238:F238"/>
    <mergeCell ref="C239:D239"/>
    <mergeCell ref="E239:F239"/>
    <mergeCell ref="C240:D240"/>
    <mergeCell ref="E240:F240"/>
    <mergeCell ref="C241:D241"/>
    <mergeCell ref="E241:F241"/>
    <mergeCell ref="B248:D248"/>
    <mergeCell ref="C249:D249"/>
    <mergeCell ref="E249:F249"/>
    <mergeCell ref="B250:E250"/>
    <mergeCell ref="C242:D242"/>
    <mergeCell ref="E242:F242"/>
    <mergeCell ref="B243:C243"/>
    <mergeCell ref="C245:D245"/>
    <mergeCell ref="E245:F245"/>
    <mergeCell ref="C246:D246"/>
    <mergeCell ref="E246:F246"/>
    <mergeCell ref="C247:D247"/>
    <mergeCell ref="E247:F247"/>
    <mergeCell ref="E263:F263"/>
    <mergeCell ref="C264:D264"/>
    <mergeCell ref="E264:F264"/>
    <mergeCell ref="B265:C265"/>
    <mergeCell ref="C256:D256"/>
    <mergeCell ref="E256:F256"/>
    <mergeCell ref="C257:D257"/>
    <mergeCell ref="E257:F257"/>
    <mergeCell ref="C258:D258"/>
    <mergeCell ref="E258:F258"/>
    <mergeCell ref="C259:D259"/>
    <mergeCell ref="E259:F259"/>
    <mergeCell ref="C260:D260"/>
    <mergeCell ref="E260:F260"/>
    <mergeCell ref="C280:D280"/>
    <mergeCell ref="E280:F280"/>
    <mergeCell ref="C281:D281"/>
    <mergeCell ref="E281:F281"/>
    <mergeCell ref="C282:D282"/>
    <mergeCell ref="E282:F282"/>
    <mergeCell ref="C272:D272"/>
    <mergeCell ref="E272:F272"/>
    <mergeCell ref="C273:D273"/>
    <mergeCell ref="E273:F273"/>
    <mergeCell ref="C274:D274"/>
    <mergeCell ref="E274:F274"/>
    <mergeCell ref="C275:D275"/>
    <mergeCell ref="E275:F275"/>
    <mergeCell ref="C276:D276"/>
    <mergeCell ref="E276:F276"/>
    <mergeCell ref="C289:D289"/>
    <mergeCell ref="E289:F289"/>
    <mergeCell ref="B290:D290"/>
    <mergeCell ref="C291:D291"/>
    <mergeCell ref="E291:F291"/>
    <mergeCell ref="C283:D283"/>
    <mergeCell ref="E283:F283"/>
    <mergeCell ref="C284:D284"/>
    <mergeCell ref="E284:F284"/>
    <mergeCell ref="C288:D288"/>
    <mergeCell ref="E288:F288"/>
    <mergeCell ref="B285:C285"/>
    <mergeCell ref="C287:D287"/>
    <mergeCell ref="E287:F287"/>
    <mergeCell ref="B251:C251"/>
    <mergeCell ref="C252:D252"/>
    <mergeCell ref="E252:F252"/>
    <mergeCell ref="B253:C253"/>
    <mergeCell ref="C255:D255"/>
    <mergeCell ref="E255:F255"/>
    <mergeCell ref="B277:C277"/>
    <mergeCell ref="C279:D279"/>
    <mergeCell ref="E279:F279"/>
    <mergeCell ref="C267:D267"/>
    <mergeCell ref="E267:F267"/>
    <mergeCell ref="C268:D268"/>
    <mergeCell ref="E268:F268"/>
    <mergeCell ref="C269:D269"/>
    <mergeCell ref="E269:F269"/>
    <mergeCell ref="C270:D270"/>
    <mergeCell ref="E270:F270"/>
    <mergeCell ref="C271:D271"/>
    <mergeCell ref="E271:F271"/>
    <mergeCell ref="C261:D261"/>
    <mergeCell ref="E261:F261"/>
    <mergeCell ref="C262:D262"/>
    <mergeCell ref="E262:F262"/>
    <mergeCell ref="C263:D263"/>
  </mergeCells>
  <printOptions horizontalCentered="1"/>
  <pageMargins left="0.19685039370078741" right="0.19685039370078741" top="0.78740157480314965" bottom="0.78740157480314965" header="0.31496062992125984" footer="0.31496062992125984"/>
  <pageSetup paperSize="9" scale="81"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5B357-77B8-45B1-8088-39DAF1C5B49F}">
  <sheetPr>
    <tabColor rgb="FF00B0F0"/>
  </sheetPr>
  <dimension ref="A1:K57"/>
  <sheetViews>
    <sheetView showGridLines="0" view="pageBreakPreview" zoomScale="130" zoomScaleNormal="100" zoomScaleSheetLayoutView="130" workbookViewId="0">
      <selection activeCell="N24" sqref="N24"/>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702" t="s">
        <v>62</v>
      </c>
      <c r="B1" s="703"/>
      <c r="C1" s="703"/>
      <c r="D1" s="703"/>
      <c r="E1" s="703"/>
      <c r="F1" s="703"/>
      <c r="G1" s="703"/>
      <c r="H1" s="703"/>
      <c r="I1" s="703"/>
    </row>
    <row r="2" spans="1:11" ht="15">
      <c r="A2" s="51"/>
      <c r="B2" s="703"/>
      <c r="C2" s="703"/>
      <c r="D2" s="703"/>
      <c r="E2" s="703"/>
      <c r="F2" s="703"/>
      <c r="G2" s="703"/>
      <c r="H2" s="703"/>
      <c r="I2" s="51"/>
      <c r="K2" s="53"/>
    </row>
    <row r="3" spans="1:11" ht="15">
      <c r="A3" s="51"/>
      <c r="B3" s="703" t="s">
        <v>63</v>
      </c>
      <c r="C3" s="703"/>
      <c r="D3" s="703"/>
      <c r="E3" s="703"/>
      <c r="F3" s="703"/>
      <c r="G3" s="703"/>
      <c r="H3" s="703"/>
      <c r="I3" s="51"/>
      <c r="K3" s="53"/>
    </row>
    <row r="4" spans="1:11">
      <c r="A4" s="51"/>
      <c r="B4" s="735" t="s">
        <v>64</v>
      </c>
      <c r="C4" s="735"/>
      <c r="D4" s="735"/>
      <c r="E4" s="735"/>
      <c r="F4" s="735"/>
      <c r="G4" s="735"/>
      <c r="H4" s="735"/>
      <c r="I4" s="51"/>
    </row>
    <row r="5" spans="1:11">
      <c r="A5" s="51"/>
      <c r="B5" s="735" t="s">
        <v>114</v>
      </c>
      <c r="C5" s="735"/>
      <c r="D5" s="735"/>
      <c r="E5" s="735"/>
      <c r="F5" s="735"/>
      <c r="G5" s="735"/>
      <c r="H5" s="735"/>
      <c r="I5" s="51"/>
    </row>
    <row r="6" spans="1:11" ht="15" customHeight="1" thickBot="1">
      <c r="A6" s="51"/>
      <c r="B6" s="54"/>
      <c r="C6" s="54"/>
      <c r="D6" s="54"/>
      <c r="E6" s="54"/>
      <c r="F6" s="54"/>
      <c r="G6" s="54"/>
      <c r="H6" s="55" t="s">
        <v>66</v>
      </c>
      <c r="I6" s="51"/>
    </row>
    <row r="7" spans="1:11" ht="15" thickBot="1">
      <c r="A7" s="51"/>
      <c r="B7" s="70" t="s">
        <v>67</v>
      </c>
      <c r="C7" s="736" t="s">
        <v>68</v>
      </c>
      <c r="D7" s="736"/>
      <c r="E7" s="736"/>
      <c r="F7" s="736"/>
      <c r="G7" s="736"/>
      <c r="H7" s="71" t="s">
        <v>69</v>
      </c>
      <c r="I7" s="51"/>
    </row>
    <row r="8" spans="1:11" ht="15" thickTop="1">
      <c r="A8" s="51"/>
      <c r="B8" s="713" t="s">
        <v>70</v>
      </c>
      <c r="C8" s="714"/>
      <c r="D8" s="714"/>
      <c r="E8" s="714"/>
      <c r="F8" s="714"/>
      <c r="G8" s="714"/>
      <c r="H8" s="715"/>
      <c r="I8" s="51"/>
    </row>
    <row r="9" spans="1:11">
      <c r="A9" s="51"/>
      <c r="B9" s="723" t="s">
        <v>71</v>
      </c>
      <c r="C9" s="726" t="s">
        <v>72</v>
      </c>
      <c r="D9" s="727"/>
      <c r="E9" s="727"/>
      <c r="F9" s="727"/>
      <c r="G9" s="728"/>
      <c r="H9" s="56">
        <f>INDEX('[18]Quadro Comparativo'!C7:E7,MATCH($H$6,'[18]Quadro Comparativo'!C6:E6,0))</f>
        <v>0.04</v>
      </c>
      <c r="I9" s="51"/>
    </row>
    <row r="10" spans="1:11">
      <c r="A10" s="51"/>
      <c r="B10" s="724"/>
      <c r="C10" s="729" t="s">
        <v>73</v>
      </c>
      <c r="D10" s="730"/>
      <c r="E10" s="730"/>
      <c r="F10" s="730"/>
      <c r="G10" s="731"/>
      <c r="H10" s="56">
        <f>INDEX('[18]Quadro Comparativo'!F$7:H$7,MATCH($H$6,'[18]Quadro Comparativo'!F$6:H$6,0))</f>
        <v>8.0000000000000002E-3</v>
      </c>
      <c r="I10" s="51"/>
    </row>
    <row r="11" spans="1:11">
      <c r="A11" s="51"/>
      <c r="B11" s="724"/>
      <c r="C11" s="729" t="s">
        <v>74</v>
      </c>
      <c r="D11" s="730"/>
      <c r="E11" s="730"/>
      <c r="F11" s="730"/>
      <c r="G11" s="731"/>
      <c r="H11" s="56">
        <f>INDEX('[18]Quadro Comparativo'!I$7:K$7,MATCH($H$6,'[18]Quadro Comparativo'!I$6:K$6,0))</f>
        <v>1.2699999999999999E-2</v>
      </c>
      <c r="I11" s="51"/>
    </row>
    <row r="12" spans="1:11">
      <c r="A12" s="51"/>
      <c r="B12" s="725"/>
      <c r="C12" s="732" t="s">
        <v>75</v>
      </c>
      <c r="D12" s="733"/>
      <c r="E12" s="733"/>
      <c r="F12" s="733"/>
      <c r="G12" s="734"/>
      <c r="H12" s="56">
        <f>INDEX('[18]Quadro Comparativo'!L$7:N$7,MATCH($H$6,'[18]Quadro Comparativo'!L$6:N$6,0))</f>
        <v>1.23E-2</v>
      </c>
      <c r="I12" s="51"/>
    </row>
    <row r="13" spans="1:11" ht="15" thickBot="1">
      <c r="A13" s="51"/>
      <c r="B13" s="710" t="s">
        <v>76</v>
      </c>
      <c r="C13" s="711"/>
      <c r="D13" s="711"/>
      <c r="E13" s="711"/>
      <c r="F13" s="711"/>
      <c r="G13" s="712"/>
      <c r="H13" s="57">
        <f>SUM(H9:H12)</f>
        <v>7.3000000000000009E-2</v>
      </c>
      <c r="I13" s="51"/>
    </row>
    <row r="14" spans="1:11" ht="15" thickTop="1">
      <c r="A14" s="51"/>
      <c r="B14" s="713" t="s">
        <v>77</v>
      </c>
      <c r="C14" s="714"/>
      <c r="D14" s="714"/>
      <c r="E14" s="714"/>
      <c r="F14" s="714"/>
      <c r="G14" s="714"/>
      <c r="H14" s="715"/>
      <c r="I14" s="51"/>
    </row>
    <row r="15" spans="1:11">
      <c r="A15" s="51"/>
      <c r="B15" s="723" t="s">
        <v>78</v>
      </c>
      <c r="C15" s="726" t="s">
        <v>79</v>
      </c>
      <c r="D15" s="727"/>
      <c r="E15" s="727"/>
      <c r="F15" s="727"/>
      <c r="G15" s="728"/>
      <c r="H15" s="58">
        <v>0.03</v>
      </c>
      <c r="I15" s="51"/>
    </row>
    <row r="16" spans="1:11">
      <c r="A16" s="51"/>
      <c r="B16" s="724"/>
      <c r="C16" s="729" t="s">
        <v>80</v>
      </c>
      <c r="D16" s="730"/>
      <c r="E16" s="730"/>
      <c r="F16" s="730"/>
      <c r="G16" s="731"/>
      <c r="H16" s="56">
        <v>6.4999999999999997E-3</v>
      </c>
      <c r="I16" s="51"/>
    </row>
    <row r="17" spans="1:9">
      <c r="A17" s="51"/>
      <c r="B17" s="724"/>
      <c r="C17" s="729" t="s">
        <v>81</v>
      </c>
      <c r="D17" s="730"/>
      <c r="E17" s="730"/>
      <c r="F17" s="730"/>
      <c r="G17" s="731"/>
      <c r="H17" s="56">
        <v>0.02</v>
      </c>
      <c r="I17" s="51"/>
    </row>
    <row r="18" spans="1:9">
      <c r="A18" s="51"/>
      <c r="B18" s="725"/>
      <c r="C18" s="732" t="s">
        <v>82</v>
      </c>
      <c r="D18" s="733"/>
      <c r="E18" s="733"/>
      <c r="F18" s="733"/>
      <c r="G18" s="734"/>
      <c r="H18" s="59">
        <v>0</v>
      </c>
      <c r="I18" s="51"/>
    </row>
    <row r="19" spans="1:9" ht="15" thickBot="1">
      <c r="A19" s="51"/>
      <c r="B19" s="710" t="s">
        <v>83</v>
      </c>
      <c r="C19" s="711"/>
      <c r="D19" s="711"/>
      <c r="E19" s="711"/>
      <c r="F19" s="711"/>
      <c r="G19" s="712"/>
      <c r="H19" s="57">
        <f>SUM(H15:H18)</f>
        <v>5.6499999999999995E-2</v>
      </c>
      <c r="I19" s="51"/>
    </row>
    <row r="20" spans="1:9" ht="15" thickTop="1">
      <c r="A20" s="51"/>
      <c r="B20" s="713" t="s">
        <v>84</v>
      </c>
      <c r="C20" s="714"/>
      <c r="D20" s="714"/>
      <c r="E20" s="714"/>
      <c r="F20" s="714"/>
      <c r="G20" s="714"/>
      <c r="H20" s="715"/>
      <c r="I20" s="51"/>
    </row>
    <row r="21" spans="1:9">
      <c r="A21" s="51"/>
      <c r="B21" s="60" t="s">
        <v>85</v>
      </c>
      <c r="C21" s="716" t="s">
        <v>86</v>
      </c>
      <c r="D21" s="717"/>
      <c r="E21" s="717"/>
      <c r="F21" s="717"/>
      <c r="G21" s="718"/>
      <c r="H21" s="56">
        <f>INDEX('[18]Quadro Comparativo'!O$7:Q$7,MATCH($H$6,'[18]Quadro Comparativo'!O$6:Q$6,0))</f>
        <v>7.3999999999999996E-2</v>
      </c>
      <c r="I21" s="51"/>
    </row>
    <row r="22" spans="1:9" ht="15" thickBot="1">
      <c r="A22" s="51"/>
      <c r="B22" s="710" t="s">
        <v>87</v>
      </c>
      <c r="C22" s="711"/>
      <c r="D22" s="711"/>
      <c r="E22" s="711"/>
      <c r="F22" s="711"/>
      <c r="G22" s="712"/>
      <c r="H22" s="57">
        <f>SUM(H21:H21)</f>
        <v>7.3999999999999996E-2</v>
      </c>
      <c r="I22" s="51"/>
    </row>
    <row r="23" spans="1:9" ht="15.75" thickTop="1" thickBot="1">
      <c r="A23" s="51"/>
      <c r="B23" s="719" t="s">
        <v>88</v>
      </c>
      <c r="C23" s="720"/>
      <c r="D23" s="720"/>
      <c r="E23" s="720"/>
      <c r="F23" s="720"/>
      <c r="G23" s="721"/>
      <c r="H23" s="72">
        <f>((((((1+(H9+H10+H11))*((1+H12)*(1+H22)))/(1-H19))-1)*100))/100</f>
        <v>0.2222616419077901</v>
      </c>
      <c r="I23" s="51"/>
    </row>
    <row r="24" spans="1:9" ht="20.100000000000001" customHeight="1">
      <c r="A24" s="51"/>
      <c r="B24" s="61"/>
      <c r="C24" s="61"/>
      <c r="D24" s="61"/>
      <c r="E24" s="61"/>
      <c r="F24" s="61"/>
      <c r="G24" s="61"/>
      <c r="H24" s="61"/>
      <c r="I24" s="51"/>
    </row>
    <row r="25" spans="1:9" ht="15.75" customHeight="1">
      <c r="A25" s="51"/>
      <c r="B25" s="722" t="s">
        <v>89</v>
      </c>
      <c r="C25" s="722"/>
      <c r="D25" s="722"/>
      <c r="E25" s="722"/>
      <c r="F25" s="722"/>
      <c r="G25" s="722"/>
      <c r="H25" s="722"/>
      <c r="I25" s="51"/>
    </row>
    <row r="26" spans="1:9" ht="21" customHeight="1">
      <c r="A26" s="51"/>
      <c r="B26" s="704" t="s">
        <v>90</v>
      </c>
      <c r="C26" s="705" t="s">
        <v>91</v>
      </c>
      <c r="D26" s="62" t="s">
        <v>92</v>
      </c>
      <c r="E26" s="706" t="s">
        <v>93</v>
      </c>
      <c r="F26" s="707">
        <v>-1</v>
      </c>
      <c r="G26" s="708" t="s">
        <v>94</v>
      </c>
      <c r="H26" s="709" t="s">
        <v>95</v>
      </c>
      <c r="I26" s="51"/>
    </row>
    <row r="27" spans="1:9" ht="21" customHeight="1">
      <c r="A27" s="51"/>
      <c r="B27" s="704"/>
      <c r="C27" s="705"/>
      <c r="D27" s="63" t="s">
        <v>96</v>
      </c>
      <c r="E27" s="706"/>
      <c r="F27" s="707"/>
      <c r="G27" s="708"/>
      <c r="H27" s="709"/>
      <c r="I27" s="51"/>
    </row>
    <row r="28" spans="1:9" ht="3" customHeight="1">
      <c r="A28" s="51"/>
      <c r="B28" s="61"/>
      <c r="C28" s="61"/>
      <c r="D28" s="61"/>
      <c r="E28" s="61"/>
      <c r="F28" s="61"/>
      <c r="G28" s="61"/>
      <c r="H28" s="61"/>
      <c r="I28" s="51"/>
    </row>
    <row r="29" spans="1:9">
      <c r="A29" s="51"/>
      <c r="B29" s="64" t="s">
        <v>97</v>
      </c>
      <c r="C29" s="699" t="s">
        <v>98</v>
      </c>
      <c r="D29" s="699"/>
      <c r="E29" s="699"/>
      <c r="F29" s="699"/>
      <c r="G29" s="699"/>
      <c r="H29" s="699"/>
      <c r="I29" s="51"/>
    </row>
    <row r="30" spans="1:9">
      <c r="A30" s="51"/>
      <c r="B30" s="64" t="s">
        <v>99</v>
      </c>
      <c r="C30" s="699" t="s">
        <v>100</v>
      </c>
      <c r="D30" s="699"/>
      <c r="E30" s="699"/>
      <c r="F30" s="699"/>
      <c r="G30" s="699"/>
      <c r="H30" s="699"/>
      <c r="I30" s="51"/>
    </row>
    <row r="31" spans="1:9">
      <c r="A31" s="51"/>
      <c r="B31" s="64" t="s">
        <v>101</v>
      </c>
      <c r="C31" s="699" t="s">
        <v>102</v>
      </c>
      <c r="D31" s="699"/>
      <c r="E31" s="699"/>
      <c r="F31" s="699"/>
      <c r="G31" s="699"/>
      <c r="H31" s="699"/>
      <c r="I31" s="51"/>
    </row>
    <row r="32" spans="1:9">
      <c r="A32" s="51"/>
      <c r="B32" s="64" t="s">
        <v>103</v>
      </c>
      <c r="C32" s="699" t="s">
        <v>104</v>
      </c>
      <c r="D32" s="699"/>
      <c r="E32" s="699"/>
      <c r="F32" s="699"/>
      <c r="G32" s="699"/>
      <c r="H32" s="699"/>
      <c r="I32" s="51"/>
    </row>
    <row r="33" spans="1:9">
      <c r="A33" s="51"/>
      <c r="B33" s="64" t="s">
        <v>105</v>
      </c>
      <c r="C33" s="699" t="s">
        <v>106</v>
      </c>
      <c r="D33" s="699"/>
      <c r="E33" s="699"/>
      <c r="F33" s="699"/>
      <c r="G33" s="699"/>
      <c r="H33" s="699"/>
      <c r="I33" s="51"/>
    </row>
    <row r="34" spans="1:9">
      <c r="A34" s="51"/>
      <c r="B34" s="64" t="s">
        <v>107</v>
      </c>
      <c r="C34" s="699" t="s">
        <v>108</v>
      </c>
      <c r="D34" s="699"/>
      <c r="E34" s="699"/>
      <c r="F34" s="699"/>
      <c r="G34" s="699"/>
      <c r="H34" s="699"/>
      <c r="I34" s="51"/>
    </row>
    <row r="35" spans="1:9">
      <c r="A35" s="51"/>
      <c r="B35" s="64" t="s">
        <v>53</v>
      </c>
      <c r="C35" s="699" t="s">
        <v>109</v>
      </c>
      <c r="D35" s="699"/>
      <c r="E35" s="699"/>
      <c r="F35" s="699"/>
      <c r="G35" s="699"/>
      <c r="H35" s="699"/>
      <c r="I35" s="51"/>
    </row>
    <row r="36" spans="1:9" s="67" customFormat="1" ht="44.25" customHeight="1">
      <c r="A36" s="66"/>
      <c r="B36" s="65"/>
      <c r="C36" s="700" t="s">
        <v>110</v>
      </c>
      <c r="D36" s="700"/>
      <c r="E36" s="700"/>
      <c r="F36" s="700"/>
      <c r="G36" s="700"/>
      <c r="H36" s="700"/>
      <c r="I36" s="66"/>
    </row>
    <row r="37" spans="1:9" ht="15" customHeight="1">
      <c r="A37" s="51"/>
      <c r="B37" s="61"/>
      <c r="C37" s="61"/>
      <c r="D37" s="61"/>
      <c r="E37" s="61"/>
      <c r="F37" s="61"/>
      <c r="G37" s="61"/>
      <c r="H37" s="61"/>
      <c r="I37" s="51"/>
    </row>
    <row r="38" spans="1:9">
      <c r="A38" s="51"/>
      <c r="B38" s="701" t="s">
        <v>111</v>
      </c>
      <c r="C38" s="701"/>
      <c r="D38" s="701"/>
      <c r="E38" s="701"/>
      <c r="F38" s="701"/>
      <c r="G38" s="701"/>
      <c r="H38" s="701"/>
      <c r="I38" s="51"/>
    </row>
    <row r="39" spans="1:9">
      <c r="A39" s="51"/>
      <c r="B39" s="701" t="s">
        <v>112</v>
      </c>
      <c r="C39" s="701"/>
      <c r="D39" s="701"/>
      <c r="E39" s="701"/>
      <c r="F39" s="701"/>
      <c r="G39" s="701"/>
      <c r="H39" s="701"/>
      <c r="I39" s="51"/>
    </row>
    <row r="40" spans="1:9" ht="5.0999999999999996" customHeight="1">
      <c r="A40" s="51"/>
      <c r="B40" s="51"/>
      <c r="C40" s="51"/>
      <c r="D40" s="51"/>
      <c r="E40" s="51"/>
      <c r="F40" s="51"/>
      <c r="G40" s="51"/>
      <c r="H40" s="51"/>
      <c r="I40" s="51"/>
    </row>
    <row r="44" spans="1:9" hidden="1">
      <c r="B44" s="68" t="s">
        <v>64</v>
      </c>
    </row>
    <row r="45" spans="1:9" hidden="1">
      <c r="B45" s="68" t="s">
        <v>113</v>
      </c>
    </row>
    <row r="46" spans="1:9" hidden="1">
      <c r="B46" s="68" t="str">
        <f>'[18]Quadro Comparativo'!A9</f>
        <v>Drenagem Pluvial, Redes de Abastecimento de Água, Coleta de Esgoto e Construções Correlatas</v>
      </c>
    </row>
    <row r="47" spans="1:9" hidden="1">
      <c r="B47" s="68" t="str">
        <f>'[18]Quadro Comparativo'!A10</f>
        <v>Drenagem Pluvial com Pavimentação</v>
      </c>
    </row>
    <row r="48" spans="1:9" hidden="1">
      <c r="B48" s="68" t="str">
        <f>'[18]Quadro Comparativo'!A11</f>
        <v>Paisagismo, Parques e Jardins</v>
      </c>
    </row>
    <row r="49" spans="2:10" hidden="1">
      <c r="B49" s="68" t="str">
        <f>'[18]Quadro Comparativo'!A12</f>
        <v>Obras de Menor Complexidade (Praças, Calçadas, Ciclovias, Meios Fios, Quiosques e Obras Correlatas)</v>
      </c>
    </row>
    <row r="50" spans="2:10" hidden="1">
      <c r="B50" s="68" t="str">
        <f>'[18]Quadro Comparativo'!A13</f>
        <v>Fornecimento de Materiais Betuminosos e Outros Materiais e Equipamentos de Grande Relevância de Natureza Específica</v>
      </c>
    </row>
    <row r="51" spans="2:10" hidden="1"/>
    <row r="52" spans="2:10" hidden="1">
      <c r="B52" s="68" t="s">
        <v>114</v>
      </c>
    </row>
    <row r="53" spans="2:10" hidden="1">
      <c r="B53" s="68" t="s">
        <v>65</v>
      </c>
    </row>
    <row r="54" spans="2:10" hidden="1"/>
    <row r="55" spans="2:10" hidden="1">
      <c r="B55" s="68" t="s">
        <v>115</v>
      </c>
    </row>
    <row r="56" spans="2:10" hidden="1">
      <c r="B56" s="68" t="s">
        <v>66</v>
      </c>
      <c r="H56" s="69"/>
      <c r="I56" s="69"/>
      <c r="J56" s="69"/>
    </row>
    <row r="57" spans="2:10" hidden="1">
      <c r="B57" s="68" t="s">
        <v>116</v>
      </c>
    </row>
  </sheetData>
  <mergeCells count="41">
    <mergeCell ref="B13:G13"/>
    <mergeCell ref="B2:H2"/>
    <mergeCell ref="B3:H3"/>
    <mergeCell ref="B4:H4"/>
    <mergeCell ref="B5:H5"/>
    <mergeCell ref="C7:G7"/>
    <mergeCell ref="B8:H8"/>
    <mergeCell ref="B9:B12"/>
    <mergeCell ref="C9:G9"/>
    <mergeCell ref="C10:G10"/>
    <mergeCell ref="C11:G11"/>
    <mergeCell ref="C12:G12"/>
    <mergeCell ref="B14:H14"/>
    <mergeCell ref="B15:B18"/>
    <mergeCell ref="C15:G15"/>
    <mergeCell ref="C16:G16"/>
    <mergeCell ref="C17:G17"/>
    <mergeCell ref="C18:G18"/>
    <mergeCell ref="H26:H27"/>
    <mergeCell ref="B19:G19"/>
    <mergeCell ref="B20:H20"/>
    <mergeCell ref="C21:G21"/>
    <mergeCell ref="B22:G22"/>
    <mergeCell ref="B23:G23"/>
    <mergeCell ref="B25:H25"/>
    <mergeCell ref="C35:H35"/>
    <mergeCell ref="C36:H36"/>
    <mergeCell ref="B38:H38"/>
    <mergeCell ref="B39:H39"/>
    <mergeCell ref="A1:I1"/>
    <mergeCell ref="C29:H29"/>
    <mergeCell ref="C30:H30"/>
    <mergeCell ref="C31:H31"/>
    <mergeCell ref="C32:H32"/>
    <mergeCell ref="C33:H33"/>
    <mergeCell ref="C34:H34"/>
    <mergeCell ref="B26:B27"/>
    <mergeCell ref="C26:C27"/>
    <mergeCell ref="E26:E27"/>
    <mergeCell ref="F26:F27"/>
    <mergeCell ref="G26:G27"/>
  </mergeCells>
  <dataValidations count="3">
    <dataValidation type="list" allowBlank="1" showInputMessage="1" showErrorMessage="1" sqref="B4:H4" xr:uid="{DA1EDD07-8D68-4EA8-B6BA-B5BD755B75AC}">
      <formula1>$B$44:$B$50</formula1>
    </dataValidation>
    <dataValidation type="list" allowBlank="1" showInputMessage="1" showErrorMessage="1" sqref="B5:H5" xr:uid="{8C7102C6-043C-4601-AAFD-C914A7474977}">
      <formula1>$B$52:$B$53</formula1>
    </dataValidation>
    <dataValidation type="list" allowBlank="1" showInputMessage="1" showErrorMessage="1" sqref="H6" xr:uid="{BA919EEF-860F-46E4-822D-54514541BA94}">
      <formula1>$B$55:$B$57</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7BCA2-B6D7-48CB-BDF8-5492F434CEB8}">
  <sheetPr>
    <tabColor rgb="FF00B0F0"/>
  </sheetPr>
  <dimension ref="A1:K57"/>
  <sheetViews>
    <sheetView showGridLines="0" view="pageBreakPreview" zoomScale="130" zoomScaleNormal="100" zoomScaleSheetLayoutView="130" workbookViewId="0">
      <selection activeCell="H19" sqref="H19"/>
    </sheetView>
  </sheetViews>
  <sheetFormatPr defaultColWidth="9.140625" defaultRowHeight="14.25"/>
  <cols>
    <col min="1" max="1" width="3.140625" style="52" customWidth="1"/>
    <col min="2" max="2" width="9.140625" style="52"/>
    <col min="3" max="3" width="4.42578125" style="52" customWidth="1"/>
    <col min="4" max="4" width="38" style="52" customWidth="1"/>
    <col min="5" max="5" width="2.42578125" style="52" customWidth="1"/>
    <col min="6" max="6" width="4.140625" style="52" customWidth="1"/>
    <col min="7" max="7" width="4" style="52" customWidth="1"/>
    <col min="8" max="8" width="11.42578125" style="52" customWidth="1"/>
    <col min="9" max="9" width="3.140625" style="52" customWidth="1"/>
    <col min="10" max="16384" width="9.140625" style="52"/>
  </cols>
  <sheetData>
    <row r="1" spans="1:11" ht="60.75" customHeight="1">
      <c r="A1" s="702" t="s">
        <v>62</v>
      </c>
      <c r="B1" s="703"/>
      <c r="C1" s="703"/>
      <c r="D1" s="703"/>
      <c r="E1" s="703"/>
      <c r="F1" s="703"/>
      <c r="G1" s="703"/>
      <c r="H1" s="703"/>
      <c r="I1" s="703"/>
    </row>
    <row r="2" spans="1:11" ht="15">
      <c r="A2" s="51"/>
      <c r="B2" s="703"/>
      <c r="C2" s="703"/>
      <c r="D2" s="703"/>
      <c r="E2" s="703"/>
      <c r="F2" s="703"/>
      <c r="G2" s="703"/>
      <c r="H2" s="703"/>
      <c r="I2" s="51"/>
      <c r="K2" s="53"/>
    </row>
    <row r="3" spans="1:11" ht="15">
      <c r="A3" s="51"/>
      <c r="B3" s="703" t="s">
        <v>63</v>
      </c>
      <c r="C3" s="703"/>
      <c r="D3" s="703"/>
      <c r="E3" s="703"/>
      <c r="F3" s="703"/>
      <c r="G3" s="703"/>
      <c r="H3" s="703"/>
      <c r="I3" s="51"/>
      <c r="K3" s="53"/>
    </row>
    <row r="4" spans="1:11">
      <c r="A4" s="51"/>
      <c r="B4" s="735" t="s">
        <v>64</v>
      </c>
      <c r="C4" s="735"/>
      <c r="D4" s="735"/>
      <c r="E4" s="735"/>
      <c r="F4" s="735"/>
      <c r="G4" s="735"/>
      <c r="H4" s="735"/>
      <c r="I4" s="51"/>
    </row>
    <row r="5" spans="1:11">
      <c r="A5" s="51"/>
      <c r="B5" s="735" t="s">
        <v>114</v>
      </c>
      <c r="C5" s="735"/>
      <c r="D5" s="735"/>
      <c r="E5" s="735"/>
      <c r="F5" s="735"/>
      <c r="G5" s="735"/>
      <c r="H5" s="735"/>
      <c r="I5" s="51"/>
    </row>
    <row r="6" spans="1:11" ht="15" customHeight="1" thickBot="1">
      <c r="A6" s="51"/>
      <c r="B6" s="54"/>
      <c r="C6" s="54"/>
      <c r="D6" s="54"/>
      <c r="E6" s="54"/>
      <c r="F6" s="54"/>
      <c r="G6" s="54"/>
      <c r="H6" s="55" t="s">
        <v>66</v>
      </c>
      <c r="I6" s="51"/>
    </row>
    <row r="7" spans="1:11" ht="15" thickBot="1">
      <c r="A7" s="51"/>
      <c r="B7" s="70" t="s">
        <v>67</v>
      </c>
      <c r="C7" s="736" t="s">
        <v>68</v>
      </c>
      <c r="D7" s="736"/>
      <c r="E7" s="736"/>
      <c r="F7" s="736"/>
      <c r="G7" s="736"/>
      <c r="H7" s="71" t="s">
        <v>69</v>
      </c>
      <c r="I7" s="51"/>
    </row>
    <row r="8" spans="1:11" ht="15" thickTop="1">
      <c r="A8" s="51"/>
      <c r="B8" s="713" t="s">
        <v>70</v>
      </c>
      <c r="C8" s="714"/>
      <c r="D8" s="714"/>
      <c r="E8" s="714"/>
      <c r="F8" s="714"/>
      <c r="G8" s="714"/>
      <c r="H8" s="715"/>
      <c r="I8" s="51"/>
    </row>
    <row r="9" spans="1:11">
      <c r="A9" s="51"/>
      <c r="B9" s="723" t="s">
        <v>71</v>
      </c>
      <c r="C9" s="726" t="s">
        <v>72</v>
      </c>
      <c r="D9" s="727"/>
      <c r="E9" s="727"/>
      <c r="F9" s="727"/>
      <c r="G9" s="728"/>
      <c r="H9" s="56">
        <v>3.4500000000000003E-2</v>
      </c>
      <c r="I9" s="51"/>
    </row>
    <row r="10" spans="1:11">
      <c r="A10" s="51"/>
      <c r="B10" s="724"/>
      <c r="C10" s="729" t="s">
        <v>73</v>
      </c>
      <c r="D10" s="730"/>
      <c r="E10" s="730"/>
      <c r="F10" s="730"/>
      <c r="G10" s="731"/>
      <c r="H10" s="56">
        <v>4.7999999999999996E-3</v>
      </c>
      <c r="I10" s="51"/>
    </row>
    <row r="11" spans="1:11">
      <c r="A11" s="51"/>
      <c r="B11" s="724"/>
      <c r="C11" s="729" t="s">
        <v>74</v>
      </c>
      <c r="D11" s="730"/>
      <c r="E11" s="730"/>
      <c r="F11" s="730"/>
      <c r="G11" s="731"/>
      <c r="H11" s="56">
        <v>8.5000000000000006E-3</v>
      </c>
      <c r="I11" s="51"/>
    </row>
    <row r="12" spans="1:11">
      <c r="A12" s="51"/>
      <c r="B12" s="725"/>
      <c r="C12" s="732" t="s">
        <v>75</v>
      </c>
      <c r="D12" s="733"/>
      <c r="E12" s="733"/>
      <c r="F12" s="733"/>
      <c r="G12" s="734"/>
      <c r="H12" s="56">
        <v>8.5000000000000006E-3</v>
      </c>
      <c r="I12" s="51"/>
    </row>
    <row r="13" spans="1:11" ht="15" thickBot="1">
      <c r="A13" s="51"/>
      <c r="B13" s="710" t="s">
        <v>76</v>
      </c>
      <c r="C13" s="711"/>
      <c r="D13" s="711"/>
      <c r="E13" s="711"/>
      <c r="F13" s="711"/>
      <c r="G13" s="712"/>
      <c r="H13" s="57">
        <f>SUM(H9:H12)</f>
        <v>5.6300000000000003E-2</v>
      </c>
      <c r="I13" s="51"/>
    </row>
    <row r="14" spans="1:11" ht="15" thickTop="1">
      <c r="A14" s="51"/>
      <c r="B14" s="713" t="s">
        <v>77</v>
      </c>
      <c r="C14" s="714"/>
      <c r="D14" s="714"/>
      <c r="E14" s="714"/>
      <c r="F14" s="714"/>
      <c r="G14" s="714"/>
      <c r="H14" s="715"/>
      <c r="I14" s="51"/>
    </row>
    <row r="15" spans="1:11">
      <c r="A15" s="51"/>
      <c r="B15" s="723" t="s">
        <v>78</v>
      </c>
      <c r="C15" s="726" t="s">
        <v>79</v>
      </c>
      <c r="D15" s="727"/>
      <c r="E15" s="727"/>
      <c r="F15" s="727"/>
      <c r="G15" s="728"/>
      <c r="H15" s="58">
        <v>0.03</v>
      </c>
      <c r="I15" s="51"/>
    </row>
    <row r="16" spans="1:11">
      <c r="A16" s="51"/>
      <c r="B16" s="724"/>
      <c r="C16" s="729" t="s">
        <v>80</v>
      </c>
      <c r="D16" s="730"/>
      <c r="E16" s="730"/>
      <c r="F16" s="730"/>
      <c r="G16" s="731"/>
      <c r="H16" s="56">
        <v>6.4999999999999997E-3</v>
      </c>
      <c r="I16" s="51"/>
    </row>
    <row r="17" spans="1:9">
      <c r="A17" s="51"/>
      <c r="B17" s="724"/>
      <c r="C17" s="729" t="s">
        <v>81</v>
      </c>
      <c r="D17" s="730"/>
      <c r="E17" s="730"/>
      <c r="F17" s="730"/>
      <c r="G17" s="731"/>
      <c r="H17" s="56">
        <v>0</v>
      </c>
      <c r="I17" s="51"/>
    </row>
    <row r="18" spans="1:9">
      <c r="A18" s="51"/>
      <c r="B18" s="725"/>
      <c r="C18" s="732" t="s">
        <v>82</v>
      </c>
      <c r="D18" s="733"/>
      <c r="E18" s="733"/>
      <c r="F18" s="733"/>
      <c r="G18" s="734"/>
      <c r="H18" s="59">
        <v>0</v>
      </c>
      <c r="I18" s="51"/>
    </row>
    <row r="19" spans="1:9" ht="15" thickBot="1">
      <c r="A19" s="51"/>
      <c r="B19" s="710" t="s">
        <v>83</v>
      </c>
      <c r="C19" s="711"/>
      <c r="D19" s="711"/>
      <c r="E19" s="711"/>
      <c r="F19" s="711"/>
      <c r="G19" s="712"/>
      <c r="H19" s="57">
        <f>SUM(H15:H18)</f>
        <v>3.6499999999999998E-2</v>
      </c>
      <c r="I19" s="51"/>
    </row>
    <row r="20" spans="1:9" ht="15" thickTop="1">
      <c r="A20" s="51"/>
      <c r="B20" s="713" t="s">
        <v>84</v>
      </c>
      <c r="C20" s="714"/>
      <c r="D20" s="714"/>
      <c r="E20" s="714"/>
      <c r="F20" s="714"/>
      <c r="G20" s="714"/>
      <c r="H20" s="715"/>
      <c r="I20" s="51"/>
    </row>
    <row r="21" spans="1:9">
      <c r="A21" s="51"/>
      <c r="B21" s="60" t="s">
        <v>85</v>
      </c>
      <c r="C21" s="716" t="s">
        <v>86</v>
      </c>
      <c r="D21" s="717"/>
      <c r="E21" s="717"/>
      <c r="F21" s="717"/>
      <c r="G21" s="718"/>
      <c r="H21" s="56">
        <v>3.5000000000000003E-2</v>
      </c>
      <c r="I21" s="51"/>
    </row>
    <row r="22" spans="1:9" ht="15" thickBot="1">
      <c r="A22" s="51"/>
      <c r="B22" s="710" t="s">
        <v>87</v>
      </c>
      <c r="C22" s="711"/>
      <c r="D22" s="711"/>
      <c r="E22" s="711"/>
      <c r="F22" s="711"/>
      <c r="G22" s="712"/>
      <c r="H22" s="57">
        <f>SUM(H21:H21)</f>
        <v>3.5000000000000003E-2</v>
      </c>
      <c r="I22" s="51"/>
    </row>
    <row r="23" spans="1:9" ht="15.75" thickTop="1" thickBot="1">
      <c r="A23" s="51"/>
      <c r="B23" s="719" t="s">
        <v>88</v>
      </c>
      <c r="C23" s="720"/>
      <c r="D23" s="720"/>
      <c r="E23" s="720"/>
      <c r="F23" s="720"/>
      <c r="G23" s="721"/>
      <c r="H23" s="72">
        <f>((((((1+(H9+H10+H11))*((1+H12)*(1+H22)))/(1-H19))-1)*100))/100</f>
        <v>0.13512301037882701</v>
      </c>
      <c r="I23" s="51"/>
    </row>
    <row r="24" spans="1:9" ht="20.100000000000001" customHeight="1">
      <c r="A24" s="51"/>
      <c r="B24" s="61"/>
      <c r="C24" s="61"/>
      <c r="D24" s="61"/>
      <c r="E24" s="61"/>
      <c r="F24" s="61"/>
      <c r="G24" s="61"/>
      <c r="H24" s="61"/>
      <c r="I24" s="51"/>
    </row>
    <row r="25" spans="1:9" ht="15.75" customHeight="1">
      <c r="A25" s="51"/>
      <c r="B25" s="722" t="s">
        <v>89</v>
      </c>
      <c r="C25" s="722"/>
      <c r="D25" s="722"/>
      <c r="E25" s="722"/>
      <c r="F25" s="722"/>
      <c r="G25" s="722"/>
      <c r="H25" s="722"/>
      <c r="I25" s="51"/>
    </row>
    <row r="26" spans="1:9" ht="21" customHeight="1">
      <c r="A26" s="51"/>
      <c r="B26" s="704" t="s">
        <v>90</v>
      </c>
      <c r="C26" s="705" t="s">
        <v>91</v>
      </c>
      <c r="D26" s="62" t="s">
        <v>92</v>
      </c>
      <c r="E26" s="706" t="s">
        <v>93</v>
      </c>
      <c r="F26" s="707">
        <v>-1</v>
      </c>
      <c r="G26" s="708" t="s">
        <v>94</v>
      </c>
      <c r="H26" s="709" t="s">
        <v>95</v>
      </c>
      <c r="I26" s="51"/>
    </row>
    <row r="27" spans="1:9" ht="21" customHeight="1">
      <c r="A27" s="51"/>
      <c r="B27" s="704"/>
      <c r="C27" s="705"/>
      <c r="D27" s="63" t="s">
        <v>96</v>
      </c>
      <c r="E27" s="706"/>
      <c r="F27" s="707"/>
      <c r="G27" s="708"/>
      <c r="H27" s="709"/>
      <c r="I27" s="51"/>
    </row>
    <row r="28" spans="1:9" ht="3" customHeight="1">
      <c r="A28" s="51"/>
      <c r="B28" s="61"/>
      <c r="C28" s="61"/>
      <c r="D28" s="61"/>
      <c r="E28" s="61"/>
      <c r="F28" s="61"/>
      <c r="G28" s="61"/>
      <c r="H28" s="61"/>
      <c r="I28" s="51"/>
    </row>
    <row r="29" spans="1:9">
      <c r="A29" s="51"/>
      <c r="B29" s="64" t="s">
        <v>97</v>
      </c>
      <c r="C29" s="699" t="s">
        <v>98</v>
      </c>
      <c r="D29" s="699"/>
      <c r="E29" s="699"/>
      <c r="F29" s="699"/>
      <c r="G29" s="699"/>
      <c r="H29" s="699"/>
      <c r="I29" s="51"/>
    </row>
    <row r="30" spans="1:9">
      <c r="A30" s="51"/>
      <c r="B30" s="64" t="s">
        <v>99</v>
      </c>
      <c r="C30" s="699" t="s">
        <v>100</v>
      </c>
      <c r="D30" s="699"/>
      <c r="E30" s="699"/>
      <c r="F30" s="699"/>
      <c r="G30" s="699"/>
      <c r="H30" s="699"/>
      <c r="I30" s="51"/>
    </row>
    <row r="31" spans="1:9">
      <c r="A31" s="51"/>
      <c r="B31" s="64" t="s">
        <v>101</v>
      </c>
      <c r="C31" s="699" t="s">
        <v>102</v>
      </c>
      <c r="D31" s="699"/>
      <c r="E31" s="699"/>
      <c r="F31" s="699"/>
      <c r="G31" s="699"/>
      <c r="H31" s="699"/>
      <c r="I31" s="51"/>
    </row>
    <row r="32" spans="1:9">
      <c r="A32" s="51"/>
      <c r="B32" s="64" t="s">
        <v>103</v>
      </c>
      <c r="C32" s="699" t="s">
        <v>104</v>
      </c>
      <c r="D32" s="699"/>
      <c r="E32" s="699"/>
      <c r="F32" s="699"/>
      <c r="G32" s="699"/>
      <c r="H32" s="699"/>
      <c r="I32" s="51"/>
    </row>
    <row r="33" spans="1:9">
      <c r="A33" s="51"/>
      <c r="B33" s="64" t="s">
        <v>105</v>
      </c>
      <c r="C33" s="699" t="s">
        <v>106</v>
      </c>
      <c r="D33" s="699"/>
      <c r="E33" s="699"/>
      <c r="F33" s="699"/>
      <c r="G33" s="699"/>
      <c r="H33" s="699"/>
      <c r="I33" s="51"/>
    </row>
    <row r="34" spans="1:9">
      <c r="A34" s="51"/>
      <c r="B34" s="64" t="s">
        <v>107</v>
      </c>
      <c r="C34" s="699" t="s">
        <v>108</v>
      </c>
      <c r="D34" s="699"/>
      <c r="E34" s="699"/>
      <c r="F34" s="699"/>
      <c r="G34" s="699"/>
      <c r="H34" s="699"/>
      <c r="I34" s="51"/>
    </row>
    <row r="35" spans="1:9">
      <c r="A35" s="51"/>
      <c r="B35" s="64" t="s">
        <v>53</v>
      </c>
      <c r="C35" s="699" t="s">
        <v>109</v>
      </c>
      <c r="D35" s="699"/>
      <c r="E35" s="699"/>
      <c r="F35" s="699"/>
      <c r="G35" s="699"/>
      <c r="H35" s="699"/>
      <c r="I35" s="51"/>
    </row>
    <row r="36" spans="1:9" s="67" customFormat="1" ht="44.25" customHeight="1">
      <c r="A36" s="66"/>
      <c r="B36" s="65"/>
      <c r="C36" s="700" t="s">
        <v>110</v>
      </c>
      <c r="D36" s="700"/>
      <c r="E36" s="700"/>
      <c r="F36" s="700"/>
      <c r="G36" s="700"/>
      <c r="H36" s="700"/>
      <c r="I36" s="66"/>
    </row>
    <row r="37" spans="1:9" ht="15" customHeight="1">
      <c r="A37" s="51"/>
      <c r="B37" s="61"/>
      <c r="C37" s="61"/>
      <c r="D37" s="61"/>
      <c r="E37" s="61"/>
      <c r="F37" s="61"/>
      <c r="G37" s="61"/>
      <c r="H37" s="61"/>
      <c r="I37" s="51"/>
    </row>
    <row r="38" spans="1:9">
      <c r="A38" s="51"/>
      <c r="B38" s="701" t="s">
        <v>111</v>
      </c>
      <c r="C38" s="701"/>
      <c r="D38" s="701"/>
      <c r="E38" s="701"/>
      <c r="F38" s="701"/>
      <c r="G38" s="701"/>
      <c r="H38" s="701"/>
      <c r="I38" s="51"/>
    </row>
    <row r="39" spans="1:9">
      <c r="A39" s="51"/>
      <c r="B39" s="701" t="s">
        <v>112</v>
      </c>
      <c r="C39" s="701"/>
      <c r="D39" s="701"/>
      <c r="E39" s="701"/>
      <c r="F39" s="701"/>
      <c r="G39" s="701"/>
      <c r="H39" s="701"/>
      <c r="I39" s="51"/>
    </row>
    <row r="40" spans="1:9" ht="5.0999999999999996" customHeight="1">
      <c r="A40" s="51"/>
      <c r="B40" s="51"/>
      <c r="C40" s="51"/>
      <c r="D40" s="51"/>
      <c r="E40" s="51"/>
      <c r="F40" s="51"/>
      <c r="G40" s="51"/>
      <c r="H40" s="51"/>
      <c r="I40" s="51"/>
    </row>
    <row r="44" spans="1:9" hidden="1">
      <c r="B44" s="68" t="s">
        <v>64</v>
      </c>
    </row>
    <row r="45" spans="1:9" hidden="1">
      <c r="B45" s="68" t="s">
        <v>113</v>
      </c>
    </row>
    <row r="46" spans="1:9" hidden="1">
      <c r="B46" s="68" t="str">
        <f>'[18]Quadro Comparativo'!A9</f>
        <v>Drenagem Pluvial, Redes de Abastecimento de Água, Coleta de Esgoto e Construções Correlatas</v>
      </c>
    </row>
    <row r="47" spans="1:9" hidden="1">
      <c r="B47" s="68" t="str">
        <f>'[18]Quadro Comparativo'!A10</f>
        <v>Drenagem Pluvial com Pavimentação</v>
      </c>
    </row>
    <row r="48" spans="1:9" hidden="1">
      <c r="B48" s="68" t="str">
        <f>'[18]Quadro Comparativo'!A11</f>
        <v>Paisagismo, Parques e Jardins</v>
      </c>
    </row>
    <row r="49" spans="2:10" hidden="1">
      <c r="B49" s="68" t="str">
        <f>'[18]Quadro Comparativo'!A12</f>
        <v>Obras de Menor Complexidade (Praças, Calçadas, Ciclovias, Meios Fios, Quiosques e Obras Correlatas)</v>
      </c>
    </row>
    <row r="50" spans="2:10" hidden="1">
      <c r="B50" s="68" t="str">
        <f>'[18]Quadro Comparativo'!A13</f>
        <v>Fornecimento de Materiais Betuminosos e Outros Materiais e Equipamentos de Grande Relevância de Natureza Específica</v>
      </c>
    </row>
    <row r="51" spans="2:10" hidden="1"/>
    <row r="52" spans="2:10" hidden="1">
      <c r="B52" s="68" t="s">
        <v>114</v>
      </c>
    </row>
    <row r="53" spans="2:10" hidden="1">
      <c r="B53" s="68" t="s">
        <v>65</v>
      </c>
    </row>
    <row r="54" spans="2:10" hidden="1"/>
    <row r="55" spans="2:10" hidden="1">
      <c r="B55" s="68" t="s">
        <v>115</v>
      </c>
    </row>
    <row r="56" spans="2:10" hidden="1">
      <c r="B56" s="68" t="s">
        <v>66</v>
      </c>
      <c r="H56" s="69"/>
      <c r="I56" s="69"/>
      <c r="J56" s="69"/>
    </row>
    <row r="57" spans="2:10" hidden="1">
      <c r="B57" s="68" t="s">
        <v>116</v>
      </c>
    </row>
  </sheetData>
  <mergeCells count="41">
    <mergeCell ref="C35:H35"/>
    <mergeCell ref="C36:H36"/>
    <mergeCell ref="B38:H38"/>
    <mergeCell ref="B39:H39"/>
    <mergeCell ref="C29:H29"/>
    <mergeCell ref="C30:H30"/>
    <mergeCell ref="C31:H31"/>
    <mergeCell ref="C32:H32"/>
    <mergeCell ref="C33:H33"/>
    <mergeCell ref="C34:H34"/>
    <mergeCell ref="H26:H27"/>
    <mergeCell ref="B19:G19"/>
    <mergeCell ref="B20:H20"/>
    <mergeCell ref="C21:G21"/>
    <mergeCell ref="B22:G22"/>
    <mergeCell ref="B23:G23"/>
    <mergeCell ref="B25:H25"/>
    <mergeCell ref="B26:B27"/>
    <mergeCell ref="C26:C27"/>
    <mergeCell ref="E26:E27"/>
    <mergeCell ref="F26:F27"/>
    <mergeCell ref="G26:G27"/>
    <mergeCell ref="B13:G13"/>
    <mergeCell ref="B14:H14"/>
    <mergeCell ref="B15:B18"/>
    <mergeCell ref="C15:G15"/>
    <mergeCell ref="C16:G16"/>
    <mergeCell ref="C17:G17"/>
    <mergeCell ref="C18:G18"/>
    <mergeCell ref="B8:H8"/>
    <mergeCell ref="B9:B12"/>
    <mergeCell ref="C9:G9"/>
    <mergeCell ref="C10:G10"/>
    <mergeCell ref="C11:G11"/>
    <mergeCell ref="C12:G12"/>
    <mergeCell ref="C7:G7"/>
    <mergeCell ref="A1:I1"/>
    <mergeCell ref="B2:H2"/>
    <mergeCell ref="B3:H3"/>
    <mergeCell ref="B4:H4"/>
    <mergeCell ref="B5:H5"/>
  </mergeCells>
  <dataValidations count="3">
    <dataValidation type="list" allowBlank="1" showInputMessage="1" showErrorMessage="1" sqref="H6" xr:uid="{15878469-956B-4084-B1FA-A3243B9D5775}">
      <formula1>$B$55:$B$57</formula1>
    </dataValidation>
    <dataValidation type="list" allowBlank="1" showInputMessage="1" showErrorMessage="1" sqref="B5:H5" xr:uid="{F30DBE39-3FFF-423C-AAEF-82EE6546928A}">
      <formula1>$B$52:$B$53</formula1>
    </dataValidation>
    <dataValidation type="list" allowBlank="1" showInputMessage="1" showErrorMessage="1" sqref="B4:H4" xr:uid="{AF48A383-D9A3-4C68-B23D-8CCCD8DD995C}">
      <formula1>$B$44:$B$50</formula1>
    </dataValidation>
  </dataValidations>
  <printOptions horizontalCentered="1"/>
  <pageMargins left="0.51181102362204722" right="0.51181102362204722" top="0.78740157480314965" bottom="0.78740157480314965" header="0.31496062992125984" footer="0.31496062992125984"/>
  <pageSetup paperSize="9" scale="1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L44"/>
  <sheetViews>
    <sheetView showGridLines="0" view="pageBreakPreview" topLeftCell="A2" zoomScaleNormal="100" zoomScaleSheetLayoutView="100" workbookViewId="0">
      <selection activeCell="D23" sqref="D23:E23"/>
    </sheetView>
  </sheetViews>
  <sheetFormatPr defaultRowHeight="15"/>
  <cols>
    <col min="1" max="1" width="1.42578125" customWidth="1"/>
    <col min="2" max="2" width="2.7109375" customWidth="1"/>
    <col min="3" max="3" width="20.140625" customWidth="1"/>
    <col min="4" max="4" width="50.140625" style="1" customWidth="1"/>
    <col min="5" max="5" width="23.42578125" customWidth="1"/>
    <col min="6" max="6" width="2.7109375" customWidth="1"/>
    <col min="7" max="7" width="1.42578125" customWidth="1"/>
    <col min="8" max="8" width="15.85546875" bestFit="1" customWidth="1"/>
    <col min="9" max="9" width="21.5703125" bestFit="1" customWidth="1"/>
    <col min="10" max="10" width="18.85546875" bestFit="1" customWidth="1"/>
    <col min="11" max="12" width="15.85546875" bestFit="1" customWidth="1"/>
    <col min="258" max="258" width="2.7109375" customWidth="1"/>
    <col min="259" max="259" width="20.140625" customWidth="1"/>
    <col min="260" max="260" width="50.140625" customWidth="1"/>
    <col min="261" max="261" width="23.42578125" customWidth="1"/>
    <col min="262" max="263" width="2.7109375" customWidth="1"/>
    <col min="264" max="264" width="15.28515625" bestFit="1" customWidth="1"/>
    <col min="266" max="266" width="11.28515625" bestFit="1" customWidth="1"/>
    <col min="514" max="514" width="2.7109375" customWidth="1"/>
    <col min="515" max="515" width="20.140625" customWidth="1"/>
    <col min="516" max="516" width="50.140625" customWidth="1"/>
    <col min="517" max="517" width="23.42578125" customWidth="1"/>
    <col min="518" max="519" width="2.7109375" customWidth="1"/>
    <col min="520" max="520" width="15.28515625" bestFit="1" customWidth="1"/>
    <col min="522" max="522" width="11.28515625" bestFit="1" customWidth="1"/>
    <col min="770" max="770" width="2.7109375" customWidth="1"/>
    <col min="771" max="771" width="20.140625" customWidth="1"/>
    <col min="772" max="772" width="50.140625" customWidth="1"/>
    <col min="773" max="773" width="23.42578125" customWidth="1"/>
    <col min="774" max="775" width="2.7109375" customWidth="1"/>
    <col min="776" max="776" width="15.28515625" bestFit="1" customWidth="1"/>
    <col min="778" max="778" width="11.28515625" bestFit="1" customWidth="1"/>
    <col min="1026" max="1026" width="2.7109375" customWidth="1"/>
    <col min="1027" max="1027" width="20.140625" customWidth="1"/>
    <col min="1028" max="1028" width="50.140625" customWidth="1"/>
    <col min="1029" max="1029" width="23.42578125" customWidth="1"/>
    <col min="1030" max="1031" width="2.7109375" customWidth="1"/>
    <col min="1032" max="1032" width="15.28515625" bestFit="1" customWidth="1"/>
    <col min="1034" max="1034" width="11.28515625" bestFit="1" customWidth="1"/>
    <col min="1282" max="1282" width="2.7109375" customWidth="1"/>
    <col min="1283" max="1283" width="20.140625" customWidth="1"/>
    <col min="1284" max="1284" width="50.140625" customWidth="1"/>
    <col min="1285" max="1285" width="23.42578125" customWidth="1"/>
    <col min="1286" max="1287" width="2.7109375" customWidth="1"/>
    <col min="1288" max="1288" width="15.28515625" bestFit="1" customWidth="1"/>
    <col min="1290" max="1290" width="11.28515625" bestFit="1" customWidth="1"/>
    <col min="1538" max="1538" width="2.7109375" customWidth="1"/>
    <col min="1539" max="1539" width="20.140625" customWidth="1"/>
    <col min="1540" max="1540" width="50.140625" customWidth="1"/>
    <col min="1541" max="1541" width="23.42578125" customWidth="1"/>
    <col min="1542" max="1543" width="2.7109375" customWidth="1"/>
    <col min="1544" max="1544" width="15.28515625" bestFit="1" customWidth="1"/>
    <col min="1546" max="1546" width="11.28515625" bestFit="1" customWidth="1"/>
    <col min="1794" max="1794" width="2.7109375" customWidth="1"/>
    <col min="1795" max="1795" width="20.140625" customWidth="1"/>
    <col min="1796" max="1796" width="50.140625" customWidth="1"/>
    <col min="1797" max="1797" width="23.42578125" customWidth="1"/>
    <col min="1798" max="1799" width="2.7109375" customWidth="1"/>
    <col min="1800" max="1800" width="15.28515625" bestFit="1" customWidth="1"/>
    <col min="1802" max="1802" width="11.28515625" bestFit="1" customWidth="1"/>
    <col min="2050" max="2050" width="2.7109375" customWidth="1"/>
    <col min="2051" max="2051" width="20.140625" customWidth="1"/>
    <col min="2052" max="2052" width="50.140625" customWidth="1"/>
    <col min="2053" max="2053" width="23.42578125" customWidth="1"/>
    <col min="2054" max="2055" width="2.7109375" customWidth="1"/>
    <col min="2056" max="2056" width="15.28515625" bestFit="1" customWidth="1"/>
    <col min="2058" max="2058" width="11.28515625" bestFit="1" customWidth="1"/>
    <col min="2306" max="2306" width="2.7109375" customWidth="1"/>
    <col min="2307" max="2307" width="20.140625" customWidth="1"/>
    <col min="2308" max="2308" width="50.140625" customWidth="1"/>
    <col min="2309" max="2309" width="23.42578125" customWidth="1"/>
    <col min="2310" max="2311" width="2.7109375" customWidth="1"/>
    <col min="2312" max="2312" width="15.28515625" bestFit="1" customWidth="1"/>
    <col min="2314" max="2314" width="11.28515625" bestFit="1" customWidth="1"/>
    <col min="2562" max="2562" width="2.7109375" customWidth="1"/>
    <col min="2563" max="2563" width="20.140625" customWidth="1"/>
    <col min="2564" max="2564" width="50.140625" customWidth="1"/>
    <col min="2565" max="2565" width="23.42578125" customWidth="1"/>
    <col min="2566" max="2567" width="2.7109375" customWidth="1"/>
    <col min="2568" max="2568" width="15.28515625" bestFit="1" customWidth="1"/>
    <col min="2570" max="2570" width="11.28515625" bestFit="1" customWidth="1"/>
    <col min="2818" max="2818" width="2.7109375" customWidth="1"/>
    <col min="2819" max="2819" width="20.140625" customWidth="1"/>
    <col min="2820" max="2820" width="50.140625" customWidth="1"/>
    <col min="2821" max="2821" width="23.42578125" customWidth="1"/>
    <col min="2822" max="2823" width="2.7109375" customWidth="1"/>
    <col min="2824" max="2824" width="15.28515625" bestFit="1" customWidth="1"/>
    <col min="2826" max="2826" width="11.28515625" bestFit="1" customWidth="1"/>
    <col min="3074" max="3074" width="2.7109375" customWidth="1"/>
    <col min="3075" max="3075" width="20.140625" customWidth="1"/>
    <col min="3076" max="3076" width="50.140625" customWidth="1"/>
    <col min="3077" max="3077" width="23.42578125" customWidth="1"/>
    <col min="3078" max="3079" width="2.7109375" customWidth="1"/>
    <col min="3080" max="3080" width="15.28515625" bestFit="1" customWidth="1"/>
    <col min="3082" max="3082" width="11.28515625" bestFit="1" customWidth="1"/>
    <col min="3330" max="3330" width="2.7109375" customWidth="1"/>
    <col min="3331" max="3331" width="20.140625" customWidth="1"/>
    <col min="3332" max="3332" width="50.140625" customWidth="1"/>
    <col min="3333" max="3333" width="23.42578125" customWidth="1"/>
    <col min="3334" max="3335" width="2.7109375" customWidth="1"/>
    <col min="3336" max="3336" width="15.28515625" bestFit="1" customWidth="1"/>
    <col min="3338" max="3338" width="11.28515625" bestFit="1" customWidth="1"/>
    <col min="3586" max="3586" width="2.7109375" customWidth="1"/>
    <col min="3587" max="3587" width="20.140625" customWidth="1"/>
    <col min="3588" max="3588" width="50.140625" customWidth="1"/>
    <col min="3589" max="3589" width="23.42578125" customWidth="1"/>
    <col min="3590" max="3591" width="2.7109375" customWidth="1"/>
    <col min="3592" max="3592" width="15.28515625" bestFit="1" customWidth="1"/>
    <col min="3594" max="3594" width="11.28515625" bestFit="1" customWidth="1"/>
    <col min="3842" max="3842" width="2.7109375" customWidth="1"/>
    <col min="3843" max="3843" width="20.140625" customWidth="1"/>
    <col min="3844" max="3844" width="50.140625" customWidth="1"/>
    <col min="3845" max="3845" width="23.42578125" customWidth="1"/>
    <col min="3846" max="3847" width="2.7109375" customWidth="1"/>
    <col min="3848" max="3848" width="15.28515625" bestFit="1" customWidth="1"/>
    <col min="3850" max="3850" width="11.28515625" bestFit="1" customWidth="1"/>
    <col min="4098" max="4098" width="2.7109375" customWidth="1"/>
    <col min="4099" max="4099" width="20.140625" customWidth="1"/>
    <col min="4100" max="4100" width="50.140625" customWidth="1"/>
    <col min="4101" max="4101" width="23.42578125" customWidth="1"/>
    <col min="4102" max="4103" width="2.7109375" customWidth="1"/>
    <col min="4104" max="4104" width="15.28515625" bestFit="1" customWidth="1"/>
    <col min="4106" max="4106" width="11.28515625" bestFit="1" customWidth="1"/>
    <col min="4354" max="4354" width="2.7109375" customWidth="1"/>
    <col min="4355" max="4355" width="20.140625" customWidth="1"/>
    <col min="4356" max="4356" width="50.140625" customWidth="1"/>
    <col min="4357" max="4357" width="23.42578125" customWidth="1"/>
    <col min="4358" max="4359" width="2.7109375" customWidth="1"/>
    <col min="4360" max="4360" width="15.28515625" bestFit="1" customWidth="1"/>
    <col min="4362" max="4362" width="11.28515625" bestFit="1" customWidth="1"/>
    <col min="4610" max="4610" width="2.7109375" customWidth="1"/>
    <col min="4611" max="4611" width="20.140625" customWidth="1"/>
    <col min="4612" max="4612" width="50.140625" customWidth="1"/>
    <col min="4613" max="4613" width="23.42578125" customWidth="1"/>
    <col min="4614" max="4615" width="2.7109375" customWidth="1"/>
    <col min="4616" max="4616" width="15.28515625" bestFit="1" customWidth="1"/>
    <col min="4618" max="4618" width="11.28515625" bestFit="1" customWidth="1"/>
    <col min="4866" max="4866" width="2.7109375" customWidth="1"/>
    <col min="4867" max="4867" width="20.140625" customWidth="1"/>
    <col min="4868" max="4868" width="50.140625" customWidth="1"/>
    <col min="4869" max="4869" width="23.42578125" customWidth="1"/>
    <col min="4870" max="4871" width="2.7109375" customWidth="1"/>
    <col min="4872" max="4872" width="15.28515625" bestFit="1" customWidth="1"/>
    <col min="4874" max="4874" width="11.28515625" bestFit="1" customWidth="1"/>
    <col min="5122" max="5122" width="2.7109375" customWidth="1"/>
    <col min="5123" max="5123" width="20.140625" customWidth="1"/>
    <col min="5124" max="5124" width="50.140625" customWidth="1"/>
    <col min="5125" max="5125" width="23.42578125" customWidth="1"/>
    <col min="5126" max="5127" width="2.7109375" customWidth="1"/>
    <col min="5128" max="5128" width="15.28515625" bestFit="1" customWidth="1"/>
    <col min="5130" max="5130" width="11.28515625" bestFit="1" customWidth="1"/>
    <col min="5378" max="5378" width="2.7109375" customWidth="1"/>
    <col min="5379" max="5379" width="20.140625" customWidth="1"/>
    <col min="5380" max="5380" width="50.140625" customWidth="1"/>
    <col min="5381" max="5381" width="23.42578125" customWidth="1"/>
    <col min="5382" max="5383" width="2.7109375" customWidth="1"/>
    <col min="5384" max="5384" width="15.28515625" bestFit="1" customWidth="1"/>
    <col min="5386" max="5386" width="11.28515625" bestFit="1" customWidth="1"/>
    <col min="5634" max="5634" width="2.7109375" customWidth="1"/>
    <col min="5635" max="5635" width="20.140625" customWidth="1"/>
    <col min="5636" max="5636" width="50.140625" customWidth="1"/>
    <col min="5637" max="5637" width="23.42578125" customWidth="1"/>
    <col min="5638" max="5639" width="2.7109375" customWidth="1"/>
    <col min="5640" max="5640" width="15.28515625" bestFit="1" customWidth="1"/>
    <col min="5642" max="5642" width="11.28515625" bestFit="1" customWidth="1"/>
    <col min="5890" max="5890" width="2.7109375" customWidth="1"/>
    <col min="5891" max="5891" width="20.140625" customWidth="1"/>
    <col min="5892" max="5892" width="50.140625" customWidth="1"/>
    <col min="5893" max="5893" width="23.42578125" customWidth="1"/>
    <col min="5894" max="5895" width="2.7109375" customWidth="1"/>
    <col min="5896" max="5896" width="15.28515625" bestFit="1" customWidth="1"/>
    <col min="5898" max="5898" width="11.28515625" bestFit="1" customWidth="1"/>
    <col min="6146" max="6146" width="2.7109375" customWidth="1"/>
    <col min="6147" max="6147" width="20.140625" customWidth="1"/>
    <col min="6148" max="6148" width="50.140625" customWidth="1"/>
    <col min="6149" max="6149" width="23.42578125" customWidth="1"/>
    <col min="6150" max="6151" width="2.7109375" customWidth="1"/>
    <col min="6152" max="6152" width="15.28515625" bestFit="1" customWidth="1"/>
    <col min="6154" max="6154" width="11.28515625" bestFit="1" customWidth="1"/>
    <col min="6402" max="6402" width="2.7109375" customWidth="1"/>
    <col min="6403" max="6403" width="20.140625" customWidth="1"/>
    <col min="6404" max="6404" width="50.140625" customWidth="1"/>
    <col min="6405" max="6405" width="23.42578125" customWidth="1"/>
    <col min="6406" max="6407" width="2.7109375" customWidth="1"/>
    <col min="6408" max="6408" width="15.28515625" bestFit="1" customWidth="1"/>
    <col min="6410" max="6410" width="11.28515625" bestFit="1" customWidth="1"/>
    <col min="6658" max="6658" width="2.7109375" customWidth="1"/>
    <col min="6659" max="6659" width="20.140625" customWidth="1"/>
    <col min="6660" max="6660" width="50.140625" customWidth="1"/>
    <col min="6661" max="6661" width="23.42578125" customWidth="1"/>
    <col min="6662" max="6663" width="2.7109375" customWidth="1"/>
    <col min="6664" max="6664" width="15.28515625" bestFit="1" customWidth="1"/>
    <col min="6666" max="6666" width="11.28515625" bestFit="1" customWidth="1"/>
    <col min="6914" max="6914" width="2.7109375" customWidth="1"/>
    <col min="6915" max="6915" width="20.140625" customWidth="1"/>
    <col min="6916" max="6916" width="50.140625" customWidth="1"/>
    <col min="6917" max="6917" width="23.42578125" customWidth="1"/>
    <col min="6918" max="6919" width="2.7109375" customWidth="1"/>
    <col min="6920" max="6920" width="15.28515625" bestFit="1" customWidth="1"/>
    <col min="6922" max="6922" width="11.28515625" bestFit="1" customWidth="1"/>
    <col min="7170" max="7170" width="2.7109375" customWidth="1"/>
    <col min="7171" max="7171" width="20.140625" customWidth="1"/>
    <col min="7172" max="7172" width="50.140625" customWidth="1"/>
    <col min="7173" max="7173" width="23.42578125" customWidth="1"/>
    <col min="7174" max="7175" width="2.7109375" customWidth="1"/>
    <col min="7176" max="7176" width="15.28515625" bestFit="1" customWidth="1"/>
    <col min="7178" max="7178" width="11.28515625" bestFit="1" customWidth="1"/>
    <col min="7426" max="7426" width="2.7109375" customWidth="1"/>
    <col min="7427" max="7427" width="20.140625" customWidth="1"/>
    <col min="7428" max="7428" width="50.140625" customWidth="1"/>
    <col min="7429" max="7429" width="23.42578125" customWidth="1"/>
    <col min="7430" max="7431" width="2.7109375" customWidth="1"/>
    <col min="7432" max="7432" width="15.28515625" bestFit="1" customWidth="1"/>
    <col min="7434" max="7434" width="11.28515625" bestFit="1" customWidth="1"/>
    <col min="7682" max="7682" width="2.7109375" customWidth="1"/>
    <col min="7683" max="7683" width="20.140625" customWidth="1"/>
    <col min="7684" max="7684" width="50.140625" customWidth="1"/>
    <col min="7685" max="7685" width="23.42578125" customWidth="1"/>
    <col min="7686" max="7687" width="2.7109375" customWidth="1"/>
    <col min="7688" max="7688" width="15.28515625" bestFit="1" customWidth="1"/>
    <col min="7690" max="7690" width="11.28515625" bestFit="1" customWidth="1"/>
    <col min="7938" max="7938" width="2.7109375" customWidth="1"/>
    <col min="7939" max="7939" width="20.140625" customWidth="1"/>
    <col min="7940" max="7940" width="50.140625" customWidth="1"/>
    <col min="7941" max="7941" width="23.42578125" customWidth="1"/>
    <col min="7942" max="7943" width="2.7109375" customWidth="1"/>
    <col min="7944" max="7944" width="15.28515625" bestFit="1" customWidth="1"/>
    <col min="7946" max="7946" width="11.28515625" bestFit="1" customWidth="1"/>
    <col min="8194" max="8194" width="2.7109375" customWidth="1"/>
    <col min="8195" max="8195" width="20.140625" customWidth="1"/>
    <col min="8196" max="8196" width="50.140625" customWidth="1"/>
    <col min="8197" max="8197" width="23.42578125" customWidth="1"/>
    <col min="8198" max="8199" width="2.7109375" customWidth="1"/>
    <col min="8200" max="8200" width="15.28515625" bestFit="1" customWidth="1"/>
    <col min="8202" max="8202" width="11.28515625" bestFit="1" customWidth="1"/>
    <col min="8450" max="8450" width="2.7109375" customWidth="1"/>
    <col min="8451" max="8451" width="20.140625" customWidth="1"/>
    <col min="8452" max="8452" width="50.140625" customWidth="1"/>
    <col min="8453" max="8453" width="23.42578125" customWidth="1"/>
    <col min="8454" max="8455" width="2.7109375" customWidth="1"/>
    <col min="8456" max="8456" width="15.28515625" bestFit="1" customWidth="1"/>
    <col min="8458" max="8458" width="11.28515625" bestFit="1" customWidth="1"/>
    <col min="8706" max="8706" width="2.7109375" customWidth="1"/>
    <col min="8707" max="8707" width="20.140625" customWidth="1"/>
    <col min="8708" max="8708" width="50.140625" customWidth="1"/>
    <col min="8709" max="8709" width="23.42578125" customWidth="1"/>
    <col min="8710" max="8711" width="2.7109375" customWidth="1"/>
    <col min="8712" max="8712" width="15.28515625" bestFit="1" customWidth="1"/>
    <col min="8714" max="8714" width="11.28515625" bestFit="1" customWidth="1"/>
    <col min="8962" max="8962" width="2.7109375" customWidth="1"/>
    <col min="8963" max="8963" width="20.140625" customWidth="1"/>
    <col min="8964" max="8964" width="50.140625" customWidth="1"/>
    <col min="8965" max="8965" width="23.42578125" customWidth="1"/>
    <col min="8966" max="8967" width="2.7109375" customWidth="1"/>
    <col min="8968" max="8968" width="15.28515625" bestFit="1" customWidth="1"/>
    <col min="8970" max="8970" width="11.28515625" bestFit="1" customWidth="1"/>
    <col min="9218" max="9218" width="2.7109375" customWidth="1"/>
    <col min="9219" max="9219" width="20.140625" customWidth="1"/>
    <col min="9220" max="9220" width="50.140625" customWidth="1"/>
    <col min="9221" max="9221" width="23.42578125" customWidth="1"/>
    <col min="9222" max="9223" width="2.7109375" customWidth="1"/>
    <col min="9224" max="9224" width="15.28515625" bestFit="1" customWidth="1"/>
    <col min="9226" max="9226" width="11.28515625" bestFit="1" customWidth="1"/>
    <col min="9474" max="9474" width="2.7109375" customWidth="1"/>
    <col min="9475" max="9475" width="20.140625" customWidth="1"/>
    <col min="9476" max="9476" width="50.140625" customWidth="1"/>
    <col min="9477" max="9477" width="23.42578125" customWidth="1"/>
    <col min="9478" max="9479" width="2.7109375" customWidth="1"/>
    <col min="9480" max="9480" width="15.28515625" bestFit="1" customWidth="1"/>
    <col min="9482" max="9482" width="11.28515625" bestFit="1" customWidth="1"/>
    <col min="9730" max="9730" width="2.7109375" customWidth="1"/>
    <col min="9731" max="9731" width="20.140625" customWidth="1"/>
    <col min="9732" max="9732" width="50.140625" customWidth="1"/>
    <col min="9733" max="9733" width="23.42578125" customWidth="1"/>
    <col min="9734" max="9735" width="2.7109375" customWidth="1"/>
    <col min="9736" max="9736" width="15.28515625" bestFit="1" customWidth="1"/>
    <col min="9738" max="9738" width="11.28515625" bestFit="1" customWidth="1"/>
    <col min="9986" max="9986" width="2.7109375" customWidth="1"/>
    <col min="9987" max="9987" width="20.140625" customWidth="1"/>
    <col min="9988" max="9988" width="50.140625" customWidth="1"/>
    <col min="9989" max="9989" width="23.42578125" customWidth="1"/>
    <col min="9990" max="9991" width="2.7109375" customWidth="1"/>
    <col min="9992" max="9992" width="15.28515625" bestFit="1" customWidth="1"/>
    <col min="9994" max="9994" width="11.28515625" bestFit="1" customWidth="1"/>
    <col min="10242" max="10242" width="2.7109375" customWidth="1"/>
    <col min="10243" max="10243" width="20.140625" customWidth="1"/>
    <col min="10244" max="10244" width="50.140625" customWidth="1"/>
    <col min="10245" max="10245" width="23.42578125" customWidth="1"/>
    <col min="10246" max="10247" width="2.7109375" customWidth="1"/>
    <col min="10248" max="10248" width="15.28515625" bestFit="1" customWidth="1"/>
    <col min="10250" max="10250" width="11.28515625" bestFit="1" customWidth="1"/>
    <col min="10498" max="10498" width="2.7109375" customWidth="1"/>
    <col min="10499" max="10499" width="20.140625" customWidth="1"/>
    <col min="10500" max="10500" width="50.140625" customWidth="1"/>
    <col min="10501" max="10501" width="23.42578125" customWidth="1"/>
    <col min="10502" max="10503" width="2.7109375" customWidth="1"/>
    <col min="10504" max="10504" width="15.28515625" bestFit="1" customWidth="1"/>
    <col min="10506" max="10506" width="11.28515625" bestFit="1" customWidth="1"/>
    <col min="10754" max="10754" width="2.7109375" customWidth="1"/>
    <col min="10755" max="10755" width="20.140625" customWidth="1"/>
    <col min="10756" max="10756" width="50.140625" customWidth="1"/>
    <col min="10757" max="10757" width="23.42578125" customWidth="1"/>
    <col min="10758" max="10759" width="2.7109375" customWidth="1"/>
    <col min="10760" max="10760" width="15.28515625" bestFit="1" customWidth="1"/>
    <col min="10762" max="10762" width="11.28515625" bestFit="1" customWidth="1"/>
    <col min="11010" max="11010" width="2.7109375" customWidth="1"/>
    <col min="11011" max="11011" width="20.140625" customWidth="1"/>
    <col min="11012" max="11012" width="50.140625" customWidth="1"/>
    <col min="11013" max="11013" width="23.42578125" customWidth="1"/>
    <col min="11014" max="11015" width="2.7109375" customWidth="1"/>
    <col min="11016" max="11016" width="15.28515625" bestFit="1" customWidth="1"/>
    <col min="11018" max="11018" width="11.28515625" bestFit="1" customWidth="1"/>
    <col min="11266" max="11266" width="2.7109375" customWidth="1"/>
    <col min="11267" max="11267" width="20.140625" customWidth="1"/>
    <col min="11268" max="11268" width="50.140625" customWidth="1"/>
    <col min="11269" max="11269" width="23.42578125" customWidth="1"/>
    <col min="11270" max="11271" width="2.7109375" customWidth="1"/>
    <col min="11272" max="11272" width="15.28515625" bestFit="1" customWidth="1"/>
    <col min="11274" max="11274" width="11.28515625" bestFit="1" customWidth="1"/>
    <col min="11522" max="11522" width="2.7109375" customWidth="1"/>
    <col min="11523" max="11523" width="20.140625" customWidth="1"/>
    <col min="11524" max="11524" width="50.140625" customWidth="1"/>
    <col min="11525" max="11525" width="23.42578125" customWidth="1"/>
    <col min="11526" max="11527" width="2.7109375" customWidth="1"/>
    <col min="11528" max="11528" width="15.28515625" bestFit="1" customWidth="1"/>
    <col min="11530" max="11530" width="11.28515625" bestFit="1" customWidth="1"/>
    <col min="11778" max="11778" width="2.7109375" customWidth="1"/>
    <col min="11779" max="11779" width="20.140625" customWidth="1"/>
    <col min="11780" max="11780" width="50.140625" customWidth="1"/>
    <col min="11781" max="11781" width="23.42578125" customWidth="1"/>
    <col min="11782" max="11783" width="2.7109375" customWidth="1"/>
    <col min="11784" max="11784" width="15.28515625" bestFit="1" customWidth="1"/>
    <col min="11786" max="11786" width="11.28515625" bestFit="1" customWidth="1"/>
    <col min="12034" max="12034" width="2.7109375" customWidth="1"/>
    <col min="12035" max="12035" width="20.140625" customWidth="1"/>
    <col min="12036" max="12036" width="50.140625" customWidth="1"/>
    <col min="12037" max="12037" width="23.42578125" customWidth="1"/>
    <col min="12038" max="12039" width="2.7109375" customWidth="1"/>
    <col min="12040" max="12040" width="15.28515625" bestFit="1" customWidth="1"/>
    <col min="12042" max="12042" width="11.28515625" bestFit="1" customWidth="1"/>
    <col min="12290" max="12290" width="2.7109375" customWidth="1"/>
    <col min="12291" max="12291" width="20.140625" customWidth="1"/>
    <col min="12292" max="12292" width="50.140625" customWidth="1"/>
    <col min="12293" max="12293" width="23.42578125" customWidth="1"/>
    <col min="12294" max="12295" width="2.7109375" customWidth="1"/>
    <col min="12296" max="12296" width="15.28515625" bestFit="1" customWidth="1"/>
    <col min="12298" max="12298" width="11.28515625" bestFit="1" customWidth="1"/>
    <col min="12546" max="12546" width="2.7109375" customWidth="1"/>
    <col min="12547" max="12547" width="20.140625" customWidth="1"/>
    <col min="12548" max="12548" width="50.140625" customWidth="1"/>
    <col min="12549" max="12549" width="23.42578125" customWidth="1"/>
    <col min="12550" max="12551" width="2.7109375" customWidth="1"/>
    <col min="12552" max="12552" width="15.28515625" bestFit="1" customWidth="1"/>
    <col min="12554" max="12554" width="11.28515625" bestFit="1" customWidth="1"/>
    <col min="12802" max="12802" width="2.7109375" customWidth="1"/>
    <col min="12803" max="12803" width="20.140625" customWidth="1"/>
    <col min="12804" max="12804" width="50.140625" customWidth="1"/>
    <col min="12805" max="12805" width="23.42578125" customWidth="1"/>
    <col min="12806" max="12807" width="2.7109375" customWidth="1"/>
    <col min="12808" max="12808" width="15.28515625" bestFit="1" customWidth="1"/>
    <col min="12810" max="12810" width="11.28515625" bestFit="1" customWidth="1"/>
    <col min="13058" max="13058" width="2.7109375" customWidth="1"/>
    <col min="13059" max="13059" width="20.140625" customWidth="1"/>
    <col min="13060" max="13060" width="50.140625" customWidth="1"/>
    <col min="13061" max="13061" width="23.42578125" customWidth="1"/>
    <col min="13062" max="13063" width="2.7109375" customWidth="1"/>
    <col min="13064" max="13064" width="15.28515625" bestFit="1" customWidth="1"/>
    <col min="13066" max="13066" width="11.28515625" bestFit="1" customWidth="1"/>
    <col min="13314" max="13314" width="2.7109375" customWidth="1"/>
    <col min="13315" max="13315" width="20.140625" customWidth="1"/>
    <col min="13316" max="13316" width="50.140625" customWidth="1"/>
    <col min="13317" max="13317" width="23.42578125" customWidth="1"/>
    <col min="13318" max="13319" width="2.7109375" customWidth="1"/>
    <col min="13320" max="13320" width="15.28515625" bestFit="1" customWidth="1"/>
    <col min="13322" max="13322" width="11.28515625" bestFit="1" customWidth="1"/>
    <col min="13570" max="13570" width="2.7109375" customWidth="1"/>
    <col min="13571" max="13571" width="20.140625" customWidth="1"/>
    <col min="13572" max="13572" width="50.140625" customWidth="1"/>
    <col min="13573" max="13573" width="23.42578125" customWidth="1"/>
    <col min="13574" max="13575" width="2.7109375" customWidth="1"/>
    <col min="13576" max="13576" width="15.28515625" bestFit="1" customWidth="1"/>
    <col min="13578" max="13578" width="11.28515625" bestFit="1" customWidth="1"/>
    <col min="13826" max="13826" width="2.7109375" customWidth="1"/>
    <col min="13827" max="13827" width="20.140625" customWidth="1"/>
    <col min="13828" max="13828" width="50.140625" customWidth="1"/>
    <col min="13829" max="13829" width="23.42578125" customWidth="1"/>
    <col min="13830" max="13831" width="2.7109375" customWidth="1"/>
    <col min="13832" max="13832" width="15.28515625" bestFit="1" customWidth="1"/>
    <col min="13834" max="13834" width="11.28515625" bestFit="1" customWidth="1"/>
    <col min="14082" max="14082" width="2.7109375" customWidth="1"/>
    <col min="14083" max="14083" width="20.140625" customWidth="1"/>
    <col min="14084" max="14084" width="50.140625" customWidth="1"/>
    <col min="14085" max="14085" width="23.42578125" customWidth="1"/>
    <col min="14086" max="14087" width="2.7109375" customWidth="1"/>
    <col min="14088" max="14088" width="15.28515625" bestFit="1" customWidth="1"/>
    <col min="14090" max="14090" width="11.28515625" bestFit="1" customWidth="1"/>
    <col min="14338" max="14338" width="2.7109375" customWidth="1"/>
    <col min="14339" max="14339" width="20.140625" customWidth="1"/>
    <col min="14340" max="14340" width="50.140625" customWidth="1"/>
    <col min="14341" max="14341" width="23.42578125" customWidth="1"/>
    <col min="14342" max="14343" width="2.7109375" customWidth="1"/>
    <col min="14344" max="14344" width="15.28515625" bestFit="1" customWidth="1"/>
    <col min="14346" max="14346" width="11.28515625" bestFit="1" customWidth="1"/>
    <col min="14594" max="14594" width="2.7109375" customWidth="1"/>
    <col min="14595" max="14595" width="20.140625" customWidth="1"/>
    <col min="14596" max="14596" width="50.140625" customWidth="1"/>
    <col min="14597" max="14597" width="23.42578125" customWidth="1"/>
    <col min="14598" max="14599" width="2.7109375" customWidth="1"/>
    <col min="14600" max="14600" width="15.28515625" bestFit="1" customWidth="1"/>
    <col min="14602" max="14602" width="11.28515625" bestFit="1" customWidth="1"/>
    <col min="14850" max="14850" width="2.7109375" customWidth="1"/>
    <col min="14851" max="14851" width="20.140625" customWidth="1"/>
    <col min="14852" max="14852" width="50.140625" customWidth="1"/>
    <col min="14853" max="14853" width="23.42578125" customWidth="1"/>
    <col min="14854" max="14855" width="2.7109375" customWidth="1"/>
    <col min="14856" max="14856" width="15.28515625" bestFit="1" customWidth="1"/>
    <col min="14858" max="14858" width="11.28515625" bestFit="1" customWidth="1"/>
    <col min="15106" max="15106" width="2.7109375" customWidth="1"/>
    <col min="15107" max="15107" width="20.140625" customWidth="1"/>
    <col min="15108" max="15108" width="50.140625" customWidth="1"/>
    <col min="15109" max="15109" width="23.42578125" customWidth="1"/>
    <col min="15110" max="15111" width="2.7109375" customWidth="1"/>
    <col min="15112" max="15112" width="15.28515625" bestFit="1" customWidth="1"/>
    <col min="15114" max="15114" width="11.28515625" bestFit="1" customWidth="1"/>
    <col min="15362" max="15362" width="2.7109375" customWidth="1"/>
    <col min="15363" max="15363" width="20.140625" customWidth="1"/>
    <col min="15364" max="15364" width="50.140625" customWidth="1"/>
    <col min="15365" max="15365" width="23.42578125" customWidth="1"/>
    <col min="15366" max="15367" width="2.7109375" customWidth="1"/>
    <col min="15368" max="15368" width="15.28515625" bestFit="1" customWidth="1"/>
    <col min="15370" max="15370" width="11.28515625" bestFit="1" customWidth="1"/>
    <col min="15618" max="15618" width="2.7109375" customWidth="1"/>
    <col min="15619" max="15619" width="20.140625" customWidth="1"/>
    <col min="15620" max="15620" width="50.140625" customWidth="1"/>
    <col min="15621" max="15621" width="23.42578125" customWidth="1"/>
    <col min="15622" max="15623" width="2.7109375" customWidth="1"/>
    <col min="15624" max="15624" width="15.28515625" bestFit="1" customWidth="1"/>
    <col min="15626" max="15626" width="11.28515625" bestFit="1" customWidth="1"/>
    <col min="15874" max="15874" width="2.7109375" customWidth="1"/>
    <col min="15875" max="15875" width="20.140625" customWidth="1"/>
    <col min="15876" max="15876" width="50.140625" customWidth="1"/>
    <col min="15877" max="15877" width="23.42578125" customWidth="1"/>
    <col min="15878" max="15879" width="2.7109375" customWidth="1"/>
    <col min="15880" max="15880" width="15.28515625" bestFit="1" customWidth="1"/>
    <col min="15882" max="15882" width="11.28515625" bestFit="1" customWidth="1"/>
    <col min="16130" max="16130" width="2.7109375" customWidth="1"/>
    <col min="16131" max="16131" width="20.140625" customWidth="1"/>
    <col min="16132" max="16132" width="50.140625" customWidth="1"/>
    <col min="16133" max="16133" width="23.42578125" customWidth="1"/>
    <col min="16134" max="16135" width="2.7109375" customWidth="1"/>
    <col min="16136" max="16136" width="15.28515625" bestFit="1" customWidth="1"/>
    <col min="16138" max="16138" width="11.28515625" bestFit="1" customWidth="1"/>
  </cols>
  <sheetData>
    <row r="1" spans="2:7" ht="85.5" hidden="1" customHeight="1">
      <c r="B1" s="550" t="s">
        <v>0</v>
      </c>
      <c r="C1" s="551"/>
      <c r="D1" s="551"/>
      <c r="E1" s="551"/>
      <c r="F1" s="551"/>
      <c r="G1" s="551"/>
    </row>
    <row r="2" spans="2:7" ht="7.5" customHeight="1"/>
    <row r="3" spans="2:7" ht="9" customHeight="1">
      <c r="B3" s="85"/>
      <c r="C3" s="89"/>
      <c r="D3" s="90"/>
      <c r="E3" s="89"/>
      <c r="F3" s="74"/>
    </row>
    <row r="4" spans="2:7" ht="9.75" customHeight="1">
      <c r="B4" s="86"/>
      <c r="C4" s="552"/>
      <c r="D4" s="553"/>
      <c r="E4" s="554"/>
      <c r="F4" s="75"/>
    </row>
    <row r="5" spans="2:7" ht="9" customHeight="1">
      <c r="B5" s="86"/>
      <c r="C5" s="555"/>
      <c r="D5" s="556"/>
      <c r="E5" s="557"/>
      <c r="F5" s="75"/>
    </row>
    <row r="6" spans="2:7">
      <c r="B6" s="86"/>
      <c r="C6" s="555"/>
      <c r="D6" s="556"/>
      <c r="E6" s="557"/>
      <c r="F6" s="75"/>
    </row>
    <row r="7" spans="2:7" ht="58.5" customHeight="1">
      <c r="B7" s="86"/>
      <c r="C7" s="555"/>
      <c r="D7" s="556"/>
      <c r="E7" s="557"/>
      <c r="F7" s="75"/>
    </row>
    <row r="8" spans="2:7" ht="15.75">
      <c r="B8" s="86"/>
      <c r="C8" s="558" t="s">
        <v>1</v>
      </c>
      <c r="D8" s="559"/>
      <c r="E8" s="560"/>
      <c r="F8" s="75"/>
    </row>
    <row r="9" spans="2:7" ht="15.75">
      <c r="B9" s="86"/>
      <c r="C9" s="561" t="s">
        <v>2</v>
      </c>
      <c r="D9" s="562"/>
      <c r="E9" s="563"/>
      <c r="F9" s="75"/>
    </row>
    <row r="10" spans="2:7" ht="15.75">
      <c r="B10" s="86"/>
      <c r="C10" s="558" t="s">
        <v>3</v>
      </c>
      <c r="D10" s="559"/>
      <c r="E10" s="560"/>
      <c r="F10" s="75"/>
    </row>
    <row r="11" spans="2:7" ht="15" customHeight="1">
      <c r="B11" s="86"/>
      <c r="C11" s="564" t="s">
        <v>740</v>
      </c>
      <c r="D11" s="565"/>
      <c r="E11" s="566"/>
      <c r="F11" s="76"/>
    </row>
    <row r="12" spans="2:7" ht="3.75" customHeight="1">
      <c r="B12" s="86"/>
      <c r="C12" s="567"/>
      <c r="D12" s="568"/>
      <c r="E12" s="569"/>
      <c r="F12" s="76"/>
    </row>
    <row r="13" spans="2:7" ht="6" customHeight="1">
      <c r="B13" s="86"/>
      <c r="C13" s="96"/>
      <c r="D13" s="97"/>
      <c r="E13" s="96"/>
      <c r="F13" s="75"/>
    </row>
    <row r="14" spans="2:7" s="2" customFormat="1" ht="12.75">
      <c r="B14" s="94"/>
      <c r="C14" s="95" t="s">
        <v>4</v>
      </c>
      <c r="D14" s="570" t="s">
        <v>2193</v>
      </c>
      <c r="E14" s="571"/>
      <c r="F14" s="77"/>
    </row>
    <row r="15" spans="2:7" s="2" customFormat="1" ht="12.75">
      <c r="B15" s="94"/>
      <c r="C15" s="93" t="s">
        <v>5</v>
      </c>
      <c r="D15" s="548" t="s">
        <v>2195</v>
      </c>
      <c r="E15" s="549"/>
      <c r="F15" s="77"/>
    </row>
    <row r="16" spans="2:7" s="2" customFormat="1" ht="12.75">
      <c r="B16" s="94"/>
      <c r="C16" s="92" t="s">
        <v>6</v>
      </c>
      <c r="D16" s="546" t="s">
        <v>2194</v>
      </c>
      <c r="E16" s="547"/>
      <c r="F16" s="77"/>
    </row>
    <row r="17" spans="2:11" s="2" customFormat="1">
      <c r="B17" s="94"/>
      <c r="C17" s="92" t="s">
        <v>7</v>
      </c>
      <c r="D17" s="546" t="s">
        <v>2196</v>
      </c>
      <c r="E17" s="572"/>
      <c r="F17" s="77"/>
      <c r="K17" s="2" t="s">
        <v>8</v>
      </c>
    </row>
    <row r="18" spans="2:11" s="2" customFormat="1" ht="12.75">
      <c r="B18" s="94"/>
      <c r="C18" s="92" t="s">
        <v>9</v>
      </c>
      <c r="D18" s="548" t="s">
        <v>2499</v>
      </c>
      <c r="E18" s="549"/>
      <c r="F18" s="78"/>
    </row>
    <row r="19" spans="2:11" s="2" customFormat="1" ht="12.75">
      <c r="B19" s="94"/>
      <c r="C19" s="92" t="s">
        <v>10</v>
      </c>
      <c r="D19" s="539">
        <v>300</v>
      </c>
      <c r="E19" s="540"/>
      <c r="F19" s="79"/>
    </row>
    <row r="20" spans="2:11" s="2" customFormat="1" ht="14.25" customHeight="1">
      <c r="B20" s="94"/>
      <c r="C20" s="92" t="s">
        <v>11</v>
      </c>
      <c r="D20" s="541">
        <v>45716</v>
      </c>
      <c r="E20" s="542"/>
      <c r="F20" s="79"/>
    </row>
    <row r="21" spans="2:11" s="2" customFormat="1">
      <c r="B21" s="94"/>
      <c r="C21" s="92" t="s">
        <v>12</v>
      </c>
      <c r="D21" s="535" t="s">
        <v>738</v>
      </c>
      <c r="E21" s="543"/>
      <c r="F21" s="79"/>
    </row>
    <row r="22" spans="2:11" s="2" customFormat="1" ht="12.75">
      <c r="B22" s="94"/>
      <c r="C22" s="92" t="s">
        <v>13</v>
      </c>
      <c r="D22" s="544"/>
      <c r="E22" s="545"/>
      <c r="F22" s="79"/>
    </row>
    <row r="23" spans="2:11" s="2" customFormat="1" ht="14.25" customHeight="1">
      <c r="B23" s="94"/>
      <c r="C23" s="92" t="s">
        <v>14</v>
      </c>
      <c r="D23" s="546" t="s">
        <v>3813</v>
      </c>
      <c r="E23" s="547"/>
      <c r="F23" s="79"/>
    </row>
    <row r="24" spans="2:11" s="2" customFormat="1" ht="12.75">
      <c r="B24" s="94"/>
      <c r="C24" s="92" t="s">
        <v>15</v>
      </c>
      <c r="D24" s="535" t="s">
        <v>2500</v>
      </c>
      <c r="E24" s="536"/>
      <c r="F24" s="79"/>
    </row>
    <row r="25" spans="2:11" s="2" customFormat="1" ht="306" customHeight="1">
      <c r="B25" s="87"/>
      <c r="C25" s="91" t="s">
        <v>16</v>
      </c>
      <c r="D25" s="575" t="s">
        <v>2027</v>
      </c>
      <c r="E25" s="576"/>
      <c r="F25" s="79"/>
    </row>
    <row r="26" spans="2:11" s="2" customFormat="1" ht="12.75">
      <c r="B26" s="87"/>
      <c r="C26" s="98" t="s">
        <v>1122</v>
      </c>
      <c r="D26" s="573" t="s">
        <v>2819</v>
      </c>
      <c r="E26" s="574"/>
      <c r="F26" s="79"/>
    </row>
    <row r="27" spans="2:11" s="2" customFormat="1" ht="12.75">
      <c r="B27" s="87"/>
      <c r="C27" s="98" t="s">
        <v>1123</v>
      </c>
      <c r="D27" s="573" t="s">
        <v>2820</v>
      </c>
      <c r="E27" s="574"/>
      <c r="F27" s="79"/>
    </row>
    <row r="28" spans="2:11" s="2" customFormat="1" ht="5.25" customHeight="1">
      <c r="B28" s="87"/>
      <c r="C28" s="99"/>
      <c r="D28" s="100"/>
      <c r="E28" s="3"/>
      <c r="F28" s="79"/>
    </row>
    <row r="29" spans="2:11" s="4" customFormat="1" ht="1.5" customHeight="1">
      <c r="B29" s="88"/>
      <c r="C29" s="581"/>
      <c r="D29" s="582"/>
      <c r="E29" s="583"/>
      <c r="F29" s="79"/>
      <c r="G29" s="2"/>
    </row>
    <row r="30" spans="2:11" s="2" customFormat="1">
      <c r="B30" s="87"/>
      <c r="C30" s="584"/>
      <c r="D30" s="585"/>
      <c r="E30" s="5"/>
      <c r="F30" s="79"/>
      <c r="H30" s="6"/>
      <c r="J30" s="7"/>
    </row>
    <row r="31" spans="2:11" s="2" customFormat="1">
      <c r="B31" s="87"/>
      <c r="C31" s="584"/>
      <c r="D31" s="585"/>
      <c r="E31" s="5"/>
      <c r="F31" s="79"/>
      <c r="H31" s="6"/>
      <c r="J31" s="7"/>
    </row>
    <row r="32" spans="2:11" s="4" customFormat="1" ht="12.75" customHeight="1">
      <c r="B32" s="88"/>
      <c r="C32" s="577" t="s">
        <v>739</v>
      </c>
      <c r="D32" s="578"/>
      <c r="E32" s="107">
        <f>'3 - PLAN. ORÇAMENTÁRIA'!J722</f>
        <v>5858270.9299999988</v>
      </c>
      <c r="F32" s="80"/>
      <c r="I32" s="8"/>
      <c r="J32" s="9"/>
      <c r="K32" s="2"/>
    </row>
    <row r="33" spans="2:12" s="2" customFormat="1" ht="6" customHeight="1">
      <c r="B33" s="87"/>
      <c r="D33" s="3"/>
      <c r="E33" s="10"/>
      <c r="F33" s="79"/>
    </row>
    <row r="34" spans="2:12" s="2" customFormat="1" ht="61.5" customHeight="1">
      <c r="B34" s="87"/>
      <c r="C34" s="73" t="s">
        <v>17</v>
      </c>
      <c r="D34" s="579"/>
      <c r="E34" s="580"/>
      <c r="F34" s="79"/>
      <c r="J34" s="11"/>
      <c r="K34" s="11"/>
      <c r="L34" s="11"/>
    </row>
    <row r="35" spans="2:12" s="2" customFormat="1" ht="9" customHeight="1">
      <c r="B35" s="81"/>
      <c r="C35" s="82"/>
      <c r="D35" s="83"/>
      <c r="E35" s="82"/>
      <c r="F35" s="84"/>
      <c r="J35" s="12"/>
      <c r="K35" s="11"/>
      <c r="L35" s="11"/>
    </row>
    <row r="36" spans="2:12" ht="9" customHeight="1">
      <c r="J36" s="13"/>
      <c r="K36" s="11"/>
      <c r="L36" s="14"/>
    </row>
    <row r="37" spans="2:12">
      <c r="E37" s="15"/>
      <c r="G37" s="16"/>
    </row>
    <row r="38" spans="2:12">
      <c r="D38" s="17"/>
    </row>
    <row r="39" spans="2:12">
      <c r="E39" s="18"/>
    </row>
    <row r="40" spans="2:12">
      <c r="D40" s="19"/>
      <c r="G40" s="20"/>
    </row>
    <row r="41" spans="2:12">
      <c r="D41" s="21"/>
    </row>
    <row r="42" spans="2:12">
      <c r="G42" s="22"/>
    </row>
    <row r="44" spans="2:12">
      <c r="D44" s="19"/>
    </row>
  </sheetData>
  <mergeCells count="26">
    <mergeCell ref="C12:E12"/>
    <mergeCell ref="D20:E20"/>
    <mergeCell ref="B1:G1"/>
    <mergeCell ref="C8:E8"/>
    <mergeCell ref="C9:E9"/>
    <mergeCell ref="C10:E10"/>
    <mergeCell ref="C11:E11"/>
    <mergeCell ref="C4:E7"/>
    <mergeCell ref="C32:D32"/>
    <mergeCell ref="D34:E34"/>
    <mergeCell ref="C29:E29"/>
    <mergeCell ref="C30:D30"/>
    <mergeCell ref="C31:D31"/>
    <mergeCell ref="D27:E27"/>
    <mergeCell ref="D14:E14"/>
    <mergeCell ref="D15:E15"/>
    <mergeCell ref="D16:E16"/>
    <mergeCell ref="D17:E17"/>
    <mergeCell ref="D18:E18"/>
    <mergeCell ref="D19:E19"/>
    <mergeCell ref="D21:E21"/>
    <mergeCell ref="D22:E22"/>
    <mergeCell ref="D23:E23"/>
    <mergeCell ref="D24:E24"/>
    <mergeCell ref="D25:E25"/>
    <mergeCell ref="D26:E26"/>
  </mergeCells>
  <printOptions horizontalCentered="1"/>
  <pageMargins left="0.23622047244094491" right="0.23622047244094491" top="0.23622047244094491" bottom="0.23622047244094491" header="0" footer="0"/>
  <pageSetup paperSize="9"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B1:R42"/>
  <sheetViews>
    <sheetView showGridLines="0" view="pageBreakPreview" zoomScaleNormal="145" zoomScaleSheetLayoutView="100" workbookViewId="0">
      <selection activeCell="F1" sqref="F1"/>
    </sheetView>
  </sheetViews>
  <sheetFormatPr defaultColWidth="9.140625" defaultRowHeight="12.75"/>
  <cols>
    <col min="1" max="1" width="9.140625" style="26"/>
    <col min="2" max="2" width="19.28515625" style="26" customWidth="1"/>
    <col min="3" max="3" width="53.7109375" style="26" customWidth="1"/>
    <col min="4" max="4" width="20.5703125" style="26" customWidth="1"/>
    <col min="5" max="8" width="16.5703125" style="26" customWidth="1"/>
    <col min="9" max="16384" width="9.140625" style="26"/>
  </cols>
  <sheetData>
    <row r="1" spans="2:18" s="23" customFormat="1" ht="15"/>
    <row r="2" spans="2:18" s="23" customFormat="1" ht="15">
      <c r="B2" s="593" t="s">
        <v>1</v>
      </c>
      <c r="C2" s="593"/>
      <c r="D2" s="593"/>
      <c r="E2" s="593"/>
      <c r="F2" s="593"/>
    </row>
    <row r="3" spans="2:18" s="23" customFormat="1" ht="15">
      <c r="B3" s="593" t="s">
        <v>2</v>
      </c>
      <c r="C3" s="593"/>
      <c r="D3" s="593"/>
      <c r="E3" s="593"/>
      <c r="F3" s="593"/>
    </row>
    <row r="4" spans="2:18" s="23" customFormat="1" ht="15">
      <c r="B4" s="593" t="s">
        <v>3</v>
      </c>
      <c r="C4" s="593"/>
      <c r="D4" s="593"/>
      <c r="E4" s="593"/>
      <c r="F4" s="593"/>
    </row>
    <row r="5" spans="2:18" s="23" customFormat="1" ht="15">
      <c r="B5" s="593" t="s">
        <v>741</v>
      </c>
      <c r="C5" s="593"/>
      <c r="D5" s="593"/>
      <c r="E5" s="593"/>
      <c r="F5" s="593"/>
    </row>
    <row r="6" spans="2:18" s="23" customFormat="1" ht="15"/>
    <row r="7" spans="2:18" s="23" customFormat="1" ht="15">
      <c r="B7" s="23" t="s">
        <v>2197</v>
      </c>
    </row>
    <row r="8" spans="2:18" s="23" customFormat="1" ht="15">
      <c r="B8" s="23" t="s">
        <v>2501</v>
      </c>
      <c r="C8" s="24"/>
    </row>
    <row r="9" spans="2:18" s="23" customFormat="1" ht="15"/>
    <row r="10" spans="2:18" s="23" customFormat="1" ht="30" customHeight="1">
      <c r="B10" s="592"/>
      <c r="C10" s="592"/>
      <c r="D10" s="592"/>
      <c r="E10" s="592"/>
    </row>
    <row r="11" spans="2:18" s="23" customFormat="1" ht="60.75" customHeight="1">
      <c r="B11" s="592" t="s">
        <v>2198</v>
      </c>
      <c r="C11" s="592"/>
      <c r="D11" s="592"/>
      <c r="E11" s="592"/>
    </row>
    <row r="12" spans="2:18" s="23" customFormat="1" ht="15"/>
    <row r="13" spans="2:18">
      <c r="B13" s="587" t="s">
        <v>18</v>
      </c>
      <c r="C13" s="587" t="s">
        <v>19</v>
      </c>
      <c r="D13" s="587" t="s">
        <v>20</v>
      </c>
      <c r="E13" s="587" t="s">
        <v>21</v>
      </c>
      <c r="F13" s="25"/>
      <c r="G13" s="25"/>
      <c r="H13" s="25"/>
      <c r="N13" s="27"/>
      <c r="O13" s="27"/>
      <c r="P13" s="27"/>
      <c r="Q13" s="27"/>
      <c r="R13" s="27"/>
    </row>
    <row r="14" spans="2:18" ht="15">
      <c r="B14" s="587"/>
      <c r="C14" s="587"/>
      <c r="D14" s="587"/>
      <c r="E14" s="587"/>
      <c r="F14" s="25"/>
      <c r="G14" s="25"/>
      <c r="H14" s="25"/>
      <c r="N14" s="28"/>
      <c r="O14" s="28"/>
      <c r="P14" s="28"/>
      <c r="Q14" s="28"/>
      <c r="R14" s="28"/>
    </row>
    <row r="15" spans="2:18" s="35" customFormat="1">
      <c r="B15" s="29" t="str">
        <f>'3 - PLAN. ORÇAMENTÁRIA'!A16</f>
        <v>01.00.000</v>
      </c>
      <c r="C15" s="30" t="str">
        <f>'3 - PLAN. ORÇAMENTÁRIA'!B16</f>
        <v>SERVIÇOS TÉCNICOS PROFISSIONAIS</v>
      </c>
      <c r="D15" s="50">
        <f>'3 - PLAN. ORÇAMENTÁRIA'!J16</f>
        <v>438655.83</v>
      </c>
      <c r="E15" s="32">
        <f>D15/$D$35</f>
        <v>7.4878037434844294E-2</v>
      </c>
      <c r="F15" s="33"/>
      <c r="G15" s="33"/>
      <c r="H15" s="33"/>
      <c r="I15" s="34"/>
      <c r="N15" s="36"/>
      <c r="O15" s="37"/>
      <c r="P15" s="36"/>
      <c r="Q15" s="36"/>
      <c r="R15" s="37"/>
    </row>
    <row r="16" spans="2:18" s="35" customFormat="1">
      <c r="B16" s="38"/>
      <c r="C16" s="38"/>
      <c r="D16" s="39"/>
      <c r="E16" s="39"/>
      <c r="F16" s="40"/>
      <c r="G16" s="40"/>
      <c r="H16" s="41"/>
      <c r="N16" s="37"/>
      <c r="O16" s="37"/>
      <c r="P16" s="37"/>
      <c r="Q16" s="37"/>
      <c r="R16" s="37"/>
    </row>
    <row r="17" spans="2:18" s="35" customFormat="1">
      <c r="B17" s="29" t="str">
        <f>'3 - PLAN. ORÇAMENTÁRIA'!A18</f>
        <v>02.00.000</v>
      </c>
      <c r="C17" s="30" t="str">
        <f>'3 - PLAN. ORÇAMENTÁRIA'!B18</f>
        <v>SERVIÇOS PRELIMINARES</v>
      </c>
      <c r="D17" s="31">
        <f>'3 - PLAN. ORÇAMENTÁRIA'!J18</f>
        <v>598062.44000000006</v>
      </c>
      <c r="E17" s="32">
        <f>D17/$D$35</f>
        <v>0.10208855943096511</v>
      </c>
      <c r="F17" s="33"/>
      <c r="G17" s="33"/>
      <c r="H17" s="33"/>
      <c r="I17" s="42"/>
      <c r="N17" s="36"/>
      <c r="O17" s="37"/>
      <c r="P17" s="36"/>
      <c r="Q17" s="36"/>
      <c r="R17" s="37"/>
    </row>
    <row r="18" spans="2:18" s="35" customFormat="1">
      <c r="B18" s="38"/>
      <c r="C18" s="38"/>
      <c r="D18" s="39"/>
      <c r="E18" s="39"/>
      <c r="F18" s="40"/>
      <c r="G18" s="40"/>
      <c r="H18" s="40"/>
      <c r="I18" s="42"/>
      <c r="N18" s="37"/>
      <c r="O18" s="37"/>
      <c r="P18" s="37"/>
      <c r="Q18" s="37"/>
      <c r="R18" s="37"/>
    </row>
    <row r="19" spans="2:18" s="35" customFormat="1">
      <c r="B19" s="38" t="str">
        <f>'3 - PLAN. ORÇAMENTÁRIA'!A57</f>
        <v>03.00.000</v>
      </c>
      <c r="C19" s="43" t="str">
        <f>'3 - PLAN. ORÇAMENTÁRIA'!B57</f>
        <v>FUNDAÇÕES E ESTRUTURAS</v>
      </c>
      <c r="D19" s="31">
        <f>'3 - PLAN. ORÇAMENTÁRIA'!J57</f>
        <v>1293683.67</v>
      </c>
      <c r="E19" s="32">
        <f>D19/$D$35</f>
        <v>0.22083029027815895</v>
      </c>
      <c r="F19" s="33"/>
      <c r="G19" s="33"/>
      <c r="H19" s="33"/>
      <c r="I19" s="42"/>
      <c r="N19" s="37"/>
      <c r="O19" s="37"/>
      <c r="P19" s="37"/>
      <c r="Q19" s="37"/>
      <c r="R19" s="36"/>
    </row>
    <row r="20" spans="2:18" s="35" customFormat="1">
      <c r="B20" s="38"/>
      <c r="C20" s="38"/>
      <c r="D20" s="39"/>
      <c r="E20" s="39"/>
      <c r="F20" s="40"/>
      <c r="G20" s="40"/>
      <c r="H20" s="40"/>
      <c r="I20" s="42"/>
      <c r="N20" s="37"/>
      <c r="O20" s="37"/>
      <c r="P20" s="37"/>
      <c r="Q20" s="37"/>
      <c r="R20" s="37"/>
    </row>
    <row r="21" spans="2:18" s="35" customFormat="1">
      <c r="B21" s="29" t="str">
        <f>'3 - PLAN. ORÇAMENTÁRIA'!A160</f>
        <v>04.00.000</v>
      </c>
      <c r="C21" s="44" t="str">
        <f>'3 - PLAN. ORÇAMENTÁRIA'!B160</f>
        <v>ARQUITETURA E ELEMENTOS DE URBANISMO</v>
      </c>
      <c r="D21" s="31">
        <f>'3 - PLAN. ORÇAMENTÁRIA'!J160</f>
        <v>2229878.11</v>
      </c>
      <c r="E21" s="32">
        <f>D21/$D$35</f>
        <v>0.38063758686558397</v>
      </c>
      <c r="F21" s="33"/>
      <c r="G21" s="33"/>
      <c r="H21" s="33"/>
      <c r="I21" s="42"/>
      <c r="N21" s="37"/>
      <c r="O21" s="37"/>
      <c r="P21" s="36"/>
      <c r="Q21" s="36"/>
      <c r="R21" s="36"/>
    </row>
    <row r="22" spans="2:18" s="35" customFormat="1">
      <c r="B22" s="38"/>
      <c r="C22" s="38"/>
      <c r="D22" s="39"/>
      <c r="E22" s="39"/>
      <c r="F22" s="40"/>
      <c r="G22" s="40"/>
      <c r="H22" s="40"/>
      <c r="I22" s="42"/>
      <c r="N22" s="37"/>
      <c r="O22" s="37"/>
      <c r="P22" s="37"/>
      <c r="Q22" s="37"/>
      <c r="R22" s="37"/>
    </row>
    <row r="23" spans="2:18" s="35" customFormat="1">
      <c r="B23" s="29" t="str">
        <f>'3 - PLAN. ORÇAMENTÁRIA'!A392</f>
        <v>05.00.000</v>
      </c>
      <c r="C23" s="44" t="str">
        <f>'3 - PLAN. ORÇAMENTÁRIA'!B392</f>
        <v>INSTALAÇÕES HIDRÁULICAS E SANITÁRIAS</v>
      </c>
      <c r="D23" s="31">
        <f>'3 - PLAN. ORÇAMENTÁRIA'!J392</f>
        <v>251090.56</v>
      </c>
      <c r="E23" s="32">
        <f>D23/$D$35</f>
        <v>4.286086509146822E-2</v>
      </c>
      <c r="F23" s="33"/>
      <c r="G23" s="33"/>
      <c r="H23" s="33"/>
      <c r="I23" s="42"/>
      <c r="N23" s="37"/>
      <c r="O23" s="36"/>
      <c r="P23" s="37"/>
      <c r="Q23" s="36"/>
      <c r="R23" s="36"/>
    </row>
    <row r="24" spans="2:18" s="35" customFormat="1">
      <c r="B24" s="38"/>
      <c r="C24" s="38"/>
      <c r="D24" s="39"/>
      <c r="E24" s="39"/>
      <c r="F24" s="40"/>
      <c r="G24" s="40"/>
      <c r="H24" s="40"/>
      <c r="I24" s="42"/>
      <c r="N24" s="37"/>
      <c r="O24" s="37"/>
      <c r="P24" s="37"/>
      <c r="Q24" s="37"/>
      <c r="R24" s="37"/>
    </row>
    <row r="25" spans="2:18" s="35" customFormat="1">
      <c r="B25" s="38" t="str">
        <f>'3 - PLAN. ORÇAMENTÁRIA'!A515</f>
        <v>06.00.000</v>
      </c>
      <c r="C25" s="30" t="str">
        <f>'3 - PLAN. ORÇAMENTÁRIA'!B515</f>
        <v>INSTALAÇÕES ELÉTRICAS E ELETRÔNICAS</v>
      </c>
      <c r="D25" s="31">
        <f>'3 - PLAN. ORÇAMENTÁRIA'!J515</f>
        <v>838745.17999999993</v>
      </c>
      <c r="E25" s="32">
        <f>D25/$D$35</f>
        <v>0.14317282181416627</v>
      </c>
      <c r="F25" s="33"/>
      <c r="G25" s="33"/>
      <c r="H25" s="33"/>
      <c r="I25" s="42"/>
      <c r="N25" s="37"/>
      <c r="O25" s="37"/>
      <c r="P25" s="37"/>
      <c r="Q25" s="37"/>
      <c r="R25" s="36"/>
    </row>
    <row r="26" spans="2:18" s="35" customFormat="1">
      <c r="B26" s="38"/>
      <c r="C26" s="38"/>
      <c r="D26" s="39"/>
      <c r="E26" s="39"/>
      <c r="F26" s="40"/>
      <c r="G26" s="40"/>
      <c r="H26" s="40"/>
      <c r="I26" s="42"/>
      <c r="N26" s="37"/>
      <c r="O26" s="37"/>
      <c r="P26" s="37"/>
      <c r="Q26" s="37"/>
      <c r="R26" s="37"/>
    </row>
    <row r="27" spans="2:18" s="35" customFormat="1">
      <c r="B27" s="38" t="str">
        <f>'3 - PLAN. ORÇAMENTÁRIA'!A669</f>
        <v>07.00.000</v>
      </c>
      <c r="C27" s="43" t="str">
        <f>'3 - PLAN. ORÇAMENTÁRIA'!B669</f>
        <v>INSTALAÇÕES MECÂNICAS E DE UTILIDADES</v>
      </c>
      <c r="D27" s="31">
        <f>'3 - PLAN. ORÇAMENTÁRIA'!J669</f>
        <v>177287.64</v>
      </c>
      <c r="E27" s="32">
        <f>D27/$D$35</f>
        <v>3.0262792915929555E-2</v>
      </c>
      <c r="F27" s="33"/>
      <c r="G27" s="33"/>
      <c r="H27" s="33"/>
      <c r="I27" s="42"/>
      <c r="N27" s="37"/>
      <c r="O27" s="37"/>
      <c r="P27" s="37"/>
      <c r="Q27" s="37"/>
      <c r="R27" s="36"/>
    </row>
    <row r="28" spans="2:18" s="35" customFormat="1">
      <c r="B28" s="38"/>
      <c r="C28" s="38"/>
      <c r="D28" s="39"/>
      <c r="E28" s="39"/>
      <c r="F28" s="40"/>
      <c r="G28" s="40"/>
      <c r="H28" s="40"/>
      <c r="I28" s="42"/>
      <c r="N28" s="37"/>
      <c r="O28" s="37"/>
      <c r="P28" s="37"/>
      <c r="Q28" s="37"/>
      <c r="R28" s="37"/>
    </row>
    <row r="29" spans="2:18" s="35" customFormat="1">
      <c r="B29" s="38" t="str">
        <f>'3 - PLAN. ORÇAMENTÁRIA'!A688</f>
        <v>08.00.000</v>
      </c>
      <c r="C29" s="43" t="str">
        <f>'3 - PLAN. ORÇAMENTÁRIA'!B688</f>
        <v>INSTALAÇÕES DE PREVENÇÃO E COMBATE A INCÊNDIO</v>
      </c>
      <c r="D29" s="31">
        <f>'3 - PLAN. ORÇAMENTÁRIA'!J688</f>
        <v>2998.5600000000004</v>
      </c>
      <c r="E29" s="32">
        <f>D29/$D$35</f>
        <v>5.1185068697394659E-4</v>
      </c>
      <c r="F29" s="33"/>
      <c r="G29" s="33"/>
      <c r="H29" s="33"/>
      <c r="I29" s="42"/>
      <c r="N29" s="37"/>
      <c r="O29" s="37"/>
      <c r="P29" s="37"/>
      <c r="Q29" s="37"/>
      <c r="R29" s="36"/>
    </row>
    <row r="30" spans="2:18" s="35" customFormat="1">
      <c r="B30" s="38"/>
      <c r="C30" s="38"/>
      <c r="D30" s="39"/>
      <c r="E30" s="39"/>
      <c r="F30" s="40"/>
      <c r="G30" s="40"/>
      <c r="H30" s="40"/>
      <c r="I30" s="42"/>
      <c r="N30" s="37"/>
      <c r="O30" s="37"/>
      <c r="P30" s="37"/>
      <c r="Q30" s="37"/>
      <c r="R30" s="37"/>
    </row>
    <row r="31" spans="2:18" s="35" customFormat="1">
      <c r="B31" s="38" t="str">
        <f>'3 - PLAN. ORÇAMENTÁRIA'!A696</f>
        <v>09.00.000</v>
      </c>
      <c r="C31" s="30" t="str">
        <f>'3 - PLAN. ORÇAMENTÁRIA'!B696</f>
        <v>SERVIÇOS COMPLEMENTARES</v>
      </c>
      <c r="D31" s="31">
        <f>'3 - PLAN. ORÇAMENTÁRIA'!J696</f>
        <v>23757.82</v>
      </c>
      <c r="E31" s="32">
        <f>D31/$D$35</f>
        <v>4.0554321034107594E-3</v>
      </c>
      <c r="F31" s="33"/>
      <c r="G31" s="33"/>
      <c r="H31" s="33"/>
      <c r="I31" s="42"/>
      <c r="N31" s="36"/>
      <c r="O31" s="37"/>
      <c r="P31" s="37"/>
      <c r="Q31" s="37"/>
      <c r="R31" s="37"/>
    </row>
    <row r="32" spans="2:18" s="35" customFormat="1">
      <c r="B32" s="38"/>
      <c r="C32" s="38"/>
      <c r="D32" s="39"/>
      <c r="E32" s="39"/>
      <c r="F32" s="40"/>
      <c r="G32" s="40"/>
      <c r="H32" s="40"/>
      <c r="I32" s="42"/>
      <c r="N32" s="37"/>
      <c r="O32" s="37"/>
      <c r="P32" s="37"/>
      <c r="Q32" s="37"/>
      <c r="R32" s="37"/>
    </row>
    <row r="33" spans="2:18" s="35" customFormat="1">
      <c r="B33" s="38" t="str">
        <f>'3 - PLAN. ORÇAMENTÁRIA'!A718</f>
        <v>10.00.000</v>
      </c>
      <c r="C33" s="30" t="str">
        <f>'3 - PLAN. ORÇAMENTÁRIA'!B718</f>
        <v>SERVIÇOS AUXILIARES</v>
      </c>
      <c r="D33" s="31">
        <f>'3 - PLAN. ORÇAMENTÁRIA'!J718</f>
        <v>4111.12</v>
      </c>
      <c r="E33" s="32">
        <f>D33/$D$35</f>
        <v>7.0176337849912321E-4</v>
      </c>
      <c r="F33" s="33"/>
      <c r="G33" s="33"/>
      <c r="H33" s="33"/>
      <c r="I33" s="42"/>
      <c r="N33" s="36"/>
      <c r="O33" s="36"/>
      <c r="P33" s="37"/>
      <c r="Q33" s="37"/>
      <c r="R33" s="37"/>
    </row>
    <row r="34" spans="2:18" s="35" customFormat="1">
      <c r="B34" s="38"/>
      <c r="C34" s="38"/>
      <c r="D34" s="39"/>
      <c r="E34" s="32"/>
      <c r="F34" s="40"/>
      <c r="G34" s="40"/>
      <c r="H34" s="40"/>
      <c r="I34" s="42"/>
      <c r="N34" s="37"/>
      <c r="O34" s="37"/>
      <c r="P34" s="37"/>
      <c r="Q34" s="37"/>
      <c r="R34" s="37"/>
    </row>
    <row r="35" spans="2:18" s="35" customFormat="1">
      <c r="B35" s="588" t="s">
        <v>742</v>
      </c>
      <c r="C35" s="588"/>
      <c r="D35" s="39">
        <f>SUM(D15:D34)</f>
        <v>5858270.9299999988</v>
      </c>
      <c r="E35" s="45">
        <f>SUM(E15:E34)</f>
        <v>1.0000000000000002</v>
      </c>
      <c r="F35" s="40"/>
      <c r="G35" s="40"/>
      <c r="H35" s="33"/>
      <c r="I35" s="34"/>
      <c r="N35" s="36"/>
      <c r="O35" s="36"/>
      <c r="P35" s="36"/>
      <c r="Q35" s="36"/>
      <c r="R35" s="36"/>
    </row>
    <row r="36" spans="2:18" s="35" customFormat="1" ht="48" customHeight="1">
      <c r="B36" s="589"/>
      <c r="C36" s="590"/>
      <c r="D36" s="590"/>
      <c r="E36" s="590"/>
      <c r="F36" s="40"/>
      <c r="G36" s="40"/>
      <c r="H36" s="40"/>
      <c r="N36" s="36"/>
      <c r="O36" s="36"/>
      <c r="P36" s="36"/>
      <c r="Q36" s="36"/>
      <c r="R36" s="36"/>
    </row>
    <row r="37" spans="2:18" s="35" customFormat="1" ht="121.5" customHeight="1">
      <c r="B37" s="591" t="s">
        <v>735</v>
      </c>
      <c r="C37" s="591"/>
      <c r="D37" s="591"/>
      <c r="E37" s="591"/>
      <c r="F37" s="108"/>
      <c r="G37" s="108"/>
      <c r="H37" s="108"/>
      <c r="I37" s="108"/>
      <c r="J37" s="108"/>
      <c r="K37" s="108"/>
      <c r="L37" s="108"/>
      <c r="M37" s="108"/>
      <c r="N37" s="108"/>
      <c r="O37" s="108"/>
      <c r="P37" s="108"/>
    </row>
    <row r="38" spans="2:18" s="46" customFormat="1" ht="58.15" customHeight="1">
      <c r="B38" s="586"/>
      <c r="C38" s="586"/>
      <c r="D38" s="586"/>
      <c r="E38" s="586"/>
      <c r="G38" s="47"/>
      <c r="H38" s="47"/>
      <c r="I38" s="48"/>
      <c r="J38" s="48"/>
      <c r="K38" s="48"/>
      <c r="L38" s="48"/>
      <c r="M38" s="48"/>
      <c r="N38" s="48"/>
      <c r="O38" s="48"/>
      <c r="P38" s="48"/>
      <c r="Q38" s="48"/>
    </row>
    <row r="42" spans="2:18">
      <c r="E42" s="49"/>
    </row>
  </sheetData>
  <mergeCells count="14">
    <mergeCell ref="B11:E11"/>
    <mergeCell ref="B2:F2"/>
    <mergeCell ref="B3:F3"/>
    <mergeCell ref="B4:F4"/>
    <mergeCell ref="B5:F5"/>
    <mergeCell ref="B10:E10"/>
    <mergeCell ref="B38:E38"/>
    <mergeCell ref="B13:B14"/>
    <mergeCell ref="C13:C14"/>
    <mergeCell ref="D13:D14"/>
    <mergeCell ref="E13:E14"/>
    <mergeCell ref="B35:C35"/>
    <mergeCell ref="B36:E36"/>
    <mergeCell ref="B37:E37"/>
  </mergeCells>
  <pageMargins left="0.39370078740157483" right="0.39370078740157483" top="0.78740157480314965" bottom="0.78740157480314965" header="0.31496062992125984" footer="0.31496062992125984"/>
  <pageSetup paperSize="9" scale="8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44EA-91F4-413A-80F8-379E00CA6EF3}">
  <sheetPr>
    <tabColor rgb="FF00B0F0"/>
    <pageSetUpPr fitToPage="1"/>
  </sheetPr>
  <dimension ref="A1:M723"/>
  <sheetViews>
    <sheetView showGridLines="0" view="pageBreakPreview" zoomScale="55" zoomScaleNormal="115" zoomScaleSheetLayoutView="55" workbookViewId="0">
      <selection activeCell="J14" sqref="J14"/>
    </sheetView>
  </sheetViews>
  <sheetFormatPr defaultColWidth="9.140625" defaultRowHeight="12.75"/>
  <cols>
    <col min="1" max="1" width="13.85546875" style="106" customWidth="1"/>
    <col min="2" max="2" width="13" style="106" customWidth="1"/>
    <col min="3" max="3" width="112.28515625" style="106" customWidth="1"/>
    <col min="4" max="4" width="16.7109375" style="106" customWidth="1"/>
    <col min="5" max="5" width="10.42578125" style="106" customWidth="1"/>
    <col min="6" max="6" width="17.140625" style="106" customWidth="1"/>
    <col min="7" max="7" width="20.42578125" style="106" customWidth="1"/>
    <col min="8" max="8" width="13.7109375" style="106" customWidth="1"/>
    <col min="9" max="9" width="19" style="106" customWidth="1"/>
    <col min="10" max="10" width="20" style="106" customWidth="1"/>
    <col min="11" max="16384" width="9.140625" style="106"/>
  </cols>
  <sheetData>
    <row r="1" spans="1:13" customFormat="1" ht="36.75" customHeight="1">
      <c r="A1" s="612" t="s">
        <v>62</v>
      </c>
      <c r="B1" s="612"/>
      <c r="C1" s="612"/>
      <c r="D1" s="612"/>
      <c r="E1" s="612"/>
      <c r="F1" s="612"/>
      <c r="G1" s="612"/>
      <c r="H1" s="612"/>
      <c r="I1" s="612"/>
      <c r="J1" s="612"/>
      <c r="K1" s="104"/>
      <c r="L1" s="104"/>
      <c r="M1" s="104"/>
    </row>
    <row r="2" spans="1:13" customFormat="1" ht="36" customHeight="1">
      <c r="A2" s="613"/>
      <c r="B2" s="613"/>
      <c r="C2" s="613"/>
      <c r="D2" s="613"/>
      <c r="E2" s="613"/>
      <c r="F2" s="613"/>
      <c r="G2" s="613"/>
      <c r="H2" s="613"/>
      <c r="I2" s="613"/>
      <c r="J2" s="613"/>
      <c r="K2" s="116"/>
      <c r="L2" s="116"/>
    </row>
    <row r="3" spans="1:13" customFormat="1" ht="23.25" customHeight="1">
      <c r="A3" s="614" t="s">
        <v>743</v>
      </c>
      <c r="B3" s="615"/>
      <c r="C3" s="615"/>
      <c r="D3" s="616"/>
      <c r="E3" s="616"/>
      <c r="F3" s="616"/>
      <c r="G3" s="616"/>
      <c r="H3" s="616"/>
      <c r="I3" s="616"/>
      <c r="J3" s="616"/>
      <c r="K3" s="117"/>
      <c r="L3" s="117"/>
      <c r="M3" s="117"/>
    </row>
    <row r="4" spans="1:13" customFormat="1" ht="15">
      <c r="A4" s="617" t="s">
        <v>59</v>
      </c>
      <c r="B4" s="620" t="s">
        <v>2267</v>
      </c>
      <c r="C4" s="621"/>
      <c r="D4" s="626" t="s">
        <v>579</v>
      </c>
      <c r="E4" s="627"/>
      <c r="F4" s="627" t="s">
        <v>884</v>
      </c>
      <c r="G4" s="627"/>
      <c r="H4" s="157" t="s">
        <v>883</v>
      </c>
      <c r="I4" s="157" t="s">
        <v>123</v>
      </c>
      <c r="J4" s="157" t="s">
        <v>882</v>
      </c>
      <c r="K4" s="61"/>
      <c r="L4" s="61"/>
      <c r="M4" s="61"/>
    </row>
    <row r="5" spans="1:13" customFormat="1" ht="15">
      <c r="A5" s="618"/>
      <c r="B5" s="622"/>
      <c r="C5" s="623"/>
      <c r="D5" s="602" t="s">
        <v>2707</v>
      </c>
      <c r="E5" s="599"/>
      <c r="F5" s="599" t="s">
        <v>4015</v>
      </c>
      <c r="G5" s="599"/>
      <c r="H5" s="129">
        <v>1.1013999999999999</v>
      </c>
      <c r="I5" s="129">
        <v>0.70040000000000002</v>
      </c>
      <c r="J5" s="430">
        <v>45383</v>
      </c>
      <c r="K5" s="61"/>
      <c r="L5" s="61"/>
      <c r="M5" s="61"/>
    </row>
    <row r="6" spans="1:13" customFormat="1" ht="15">
      <c r="A6" s="619"/>
      <c r="B6" s="624"/>
      <c r="C6" s="625"/>
      <c r="D6" s="602" t="s">
        <v>2708</v>
      </c>
      <c r="E6" s="599"/>
      <c r="F6" s="599" t="s">
        <v>3999</v>
      </c>
      <c r="G6" s="599"/>
      <c r="H6" s="129">
        <v>1.1254</v>
      </c>
      <c r="I6" s="129">
        <v>0.70109999999999995</v>
      </c>
      <c r="J6" s="430">
        <v>45627</v>
      </c>
      <c r="K6" s="61"/>
      <c r="L6" s="61"/>
      <c r="M6" s="61"/>
    </row>
    <row r="7" spans="1:13" customFormat="1" ht="15">
      <c r="A7" s="609" t="s">
        <v>30</v>
      </c>
      <c r="B7" s="620" t="s">
        <v>2268</v>
      </c>
      <c r="C7" s="621"/>
      <c r="D7" s="602" t="s">
        <v>2709</v>
      </c>
      <c r="E7" s="599"/>
      <c r="F7" s="599" t="s">
        <v>4014</v>
      </c>
      <c r="G7" s="599"/>
      <c r="H7" s="129">
        <v>1.1011</v>
      </c>
      <c r="I7" s="129">
        <v>0.70189999999999997</v>
      </c>
      <c r="J7" s="430">
        <v>45658</v>
      </c>
      <c r="K7" s="61"/>
      <c r="L7" s="61"/>
      <c r="M7" s="61"/>
    </row>
    <row r="8" spans="1:13" customFormat="1" ht="15">
      <c r="A8" s="610"/>
      <c r="B8" s="622"/>
      <c r="C8" s="623"/>
      <c r="D8" s="602" t="s">
        <v>2710</v>
      </c>
      <c r="E8" s="599"/>
      <c r="F8" s="599" t="s">
        <v>3784</v>
      </c>
      <c r="G8" s="599"/>
      <c r="H8" s="129">
        <v>1.22</v>
      </c>
      <c r="I8" s="338" t="s">
        <v>886</v>
      </c>
      <c r="J8" s="430">
        <v>45566</v>
      </c>
      <c r="K8" s="61"/>
      <c r="L8" s="61"/>
      <c r="M8" s="61"/>
    </row>
    <row r="9" spans="1:13" customFormat="1" ht="15">
      <c r="A9" s="611"/>
      <c r="B9" s="624"/>
      <c r="C9" s="625"/>
      <c r="D9" s="602" t="s">
        <v>2711</v>
      </c>
      <c r="E9" s="599"/>
      <c r="F9" s="599" t="s">
        <v>3783</v>
      </c>
      <c r="G9" s="599"/>
      <c r="H9" s="339">
        <v>1.2823</v>
      </c>
      <c r="I9" s="338" t="s">
        <v>886</v>
      </c>
      <c r="J9" s="430">
        <v>45658</v>
      </c>
      <c r="K9" s="61"/>
      <c r="L9" s="61"/>
      <c r="M9" s="61"/>
    </row>
    <row r="10" spans="1:13" customFormat="1" ht="15">
      <c r="A10" s="609" t="s">
        <v>31</v>
      </c>
      <c r="B10" s="603" t="s">
        <v>2269</v>
      </c>
      <c r="C10" s="604"/>
      <c r="D10" s="602" t="s">
        <v>2786</v>
      </c>
      <c r="E10" s="599"/>
      <c r="F10" s="599" t="s">
        <v>3785</v>
      </c>
      <c r="G10" s="599"/>
      <c r="H10" s="339">
        <v>1.1662999999999999</v>
      </c>
      <c r="I10" s="339">
        <v>0.73680000000000001</v>
      </c>
      <c r="J10" s="430">
        <v>45566</v>
      </c>
      <c r="K10" s="61"/>
      <c r="L10" s="61"/>
      <c r="M10" s="61"/>
    </row>
    <row r="11" spans="1:13" customFormat="1" ht="12.75" customHeight="1">
      <c r="A11" s="610"/>
      <c r="B11" s="605"/>
      <c r="C11" s="606"/>
      <c r="D11" s="597" t="s">
        <v>3303</v>
      </c>
      <c r="E11" s="598"/>
      <c r="F11" s="599" t="s">
        <v>3800</v>
      </c>
      <c r="G11" s="599"/>
      <c r="H11" s="339">
        <v>1.1737</v>
      </c>
      <c r="I11" s="339">
        <v>0.7419</v>
      </c>
      <c r="J11" s="343">
        <v>45566</v>
      </c>
      <c r="K11" s="114"/>
      <c r="L11" s="115"/>
      <c r="M11" s="115"/>
    </row>
    <row r="12" spans="1:13" customFormat="1" ht="15" customHeight="1">
      <c r="A12" s="610"/>
      <c r="B12" s="605"/>
      <c r="C12" s="606"/>
      <c r="D12" s="597" t="s">
        <v>3744</v>
      </c>
      <c r="E12" s="598"/>
      <c r="F12" s="599" t="s">
        <v>3746</v>
      </c>
      <c r="G12" s="599"/>
      <c r="H12" s="339">
        <v>1.5669999999999999</v>
      </c>
      <c r="I12" s="339">
        <v>0.98719999999999997</v>
      </c>
      <c r="J12" s="337">
        <v>45474</v>
      </c>
      <c r="K12" s="114"/>
      <c r="L12" s="115"/>
      <c r="M12" s="115"/>
    </row>
    <row r="13" spans="1:13" customFormat="1" ht="15">
      <c r="A13" s="611"/>
      <c r="B13" s="607"/>
      <c r="C13" s="608"/>
      <c r="D13" s="600" t="s">
        <v>3745</v>
      </c>
      <c r="E13" s="601"/>
      <c r="F13" s="596" t="s">
        <v>885</v>
      </c>
      <c r="G13" s="596"/>
      <c r="H13" s="423">
        <v>0</v>
      </c>
      <c r="I13" s="423">
        <v>0</v>
      </c>
      <c r="J13" s="123"/>
      <c r="K13" s="114"/>
      <c r="L13" s="115"/>
      <c r="M13" s="115"/>
    </row>
    <row r="14" spans="1:13" ht="19.5" customHeight="1">
      <c r="A14" s="105"/>
      <c r="B14" s="111"/>
      <c r="C14" s="111"/>
      <c r="D14" s="111"/>
      <c r="E14" s="111"/>
      <c r="F14" s="111"/>
      <c r="H14" s="101"/>
      <c r="I14" s="128" t="s">
        <v>32</v>
      </c>
      <c r="J14" s="127">
        <v>45716</v>
      </c>
    </row>
    <row r="15" spans="1:13" ht="30">
      <c r="A15" s="125" t="s">
        <v>18</v>
      </c>
      <c r="B15" s="125" t="s">
        <v>60</v>
      </c>
      <c r="C15" s="125" t="s">
        <v>33</v>
      </c>
      <c r="D15" s="125" t="s">
        <v>1079</v>
      </c>
      <c r="E15" s="125" t="s">
        <v>1080</v>
      </c>
      <c r="F15" s="125" t="s">
        <v>1081</v>
      </c>
      <c r="G15" s="125" t="s">
        <v>1082</v>
      </c>
      <c r="H15" s="126" t="s">
        <v>887</v>
      </c>
      <c r="I15" s="126" t="s">
        <v>1083</v>
      </c>
      <c r="J15" s="126" t="s">
        <v>117</v>
      </c>
    </row>
    <row r="16" spans="1:13" s="112" customFormat="1" ht="29.25" customHeight="1">
      <c r="A16" s="109" t="s">
        <v>996</v>
      </c>
      <c r="B16" s="145" t="s">
        <v>22</v>
      </c>
      <c r="C16" s="143"/>
      <c r="D16" s="143"/>
      <c r="E16" s="143"/>
      <c r="F16" s="143"/>
      <c r="G16" s="143"/>
      <c r="H16" s="143"/>
      <c r="I16" s="144"/>
      <c r="J16" s="113">
        <f>SUM(J17:J17)</f>
        <v>438655.83</v>
      </c>
    </row>
    <row r="17" spans="1:12" s="112" customFormat="1" ht="14.25">
      <c r="A17" s="147" t="s">
        <v>34</v>
      </c>
      <c r="B17" s="148" t="s">
        <v>3696</v>
      </c>
      <c r="C17" s="147" t="s">
        <v>3697</v>
      </c>
      <c r="D17" s="148" t="s">
        <v>1881</v>
      </c>
      <c r="E17" s="148" t="s">
        <v>144</v>
      </c>
      <c r="F17" s="149">
        <v>1</v>
      </c>
      <c r="G17" s="149">
        <f>'5 - R. ANALÍTICO - MODIFICAD'!$H$21</f>
        <v>358888.64999999997</v>
      </c>
      <c r="H17" s="151">
        <f>'14 -BDI-EDIFICAÇÕES - SEM DESON'!$H$23</f>
        <v>0.2222616419077901</v>
      </c>
      <c r="I17" s="149">
        <f>ROUND(G17*(1+H17),2)</f>
        <v>438655.83</v>
      </c>
      <c r="J17" s="149">
        <f>ROUND(ROUND(F17,2)*ROUND(I17,2),2)</f>
        <v>438655.83</v>
      </c>
    </row>
    <row r="18" spans="1:12" s="112" customFormat="1" ht="29.25" customHeight="1">
      <c r="A18" s="109" t="s">
        <v>995</v>
      </c>
      <c r="B18" s="145" t="s">
        <v>23</v>
      </c>
      <c r="C18" s="143"/>
      <c r="D18" s="143"/>
      <c r="E18" s="143"/>
      <c r="F18" s="143"/>
      <c r="G18" s="143"/>
      <c r="H18" s="143"/>
      <c r="I18" s="144"/>
      <c r="J18" s="113">
        <f>J19+J35+J41+J47</f>
        <v>598062.44000000006</v>
      </c>
    </row>
    <row r="19" spans="1:12" s="112" customFormat="1" ht="29.25" customHeight="1">
      <c r="A19" s="109" t="s">
        <v>35</v>
      </c>
      <c r="B19" s="145" t="s">
        <v>125</v>
      </c>
      <c r="C19" s="143"/>
      <c r="D19" s="143"/>
      <c r="E19" s="143"/>
      <c r="F19" s="143"/>
      <c r="G19" s="143"/>
      <c r="H19" s="143"/>
      <c r="I19" s="144"/>
      <c r="J19" s="113">
        <f>J20+J26+J31</f>
        <v>149078.21000000002</v>
      </c>
    </row>
    <row r="20" spans="1:12" s="112" customFormat="1" ht="29.25" customHeight="1">
      <c r="A20" s="109" t="s">
        <v>126</v>
      </c>
      <c r="B20" s="145" t="s">
        <v>127</v>
      </c>
      <c r="C20" s="143"/>
      <c r="D20" s="143"/>
      <c r="E20" s="143"/>
      <c r="F20" s="143"/>
      <c r="G20" s="143"/>
      <c r="H20" s="143"/>
      <c r="I20" s="144"/>
      <c r="J20" s="113">
        <f>SUM(J21:J25)</f>
        <v>75642.890000000014</v>
      </c>
    </row>
    <row r="21" spans="1:12" s="112" customFormat="1" ht="28.5">
      <c r="A21" s="147" t="s">
        <v>128</v>
      </c>
      <c r="B21" s="148">
        <v>10775</v>
      </c>
      <c r="C21" s="147" t="s">
        <v>130</v>
      </c>
      <c r="D21" s="148" t="s">
        <v>119</v>
      </c>
      <c r="E21" s="148" t="s">
        <v>123</v>
      </c>
      <c r="F21" s="149">
        <v>10</v>
      </c>
      <c r="G21" s="149">
        <v>1500</v>
      </c>
      <c r="H21" s="151">
        <f>'14 -BDI-EDIFICAÇÕES - SEM DESON'!$H$23</f>
        <v>0.2222616419077901</v>
      </c>
      <c r="I21" s="149">
        <f t="shared" ref="I21:I25" si="0">ROUND(G21*(1+H21),2)</f>
        <v>1833.39</v>
      </c>
      <c r="J21" s="149">
        <f t="shared" ref="J21:J25" si="1">ROUND(ROUND(F21,2)*ROUND(I21,2),2)</f>
        <v>18333.900000000001</v>
      </c>
    </row>
    <row r="22" spans="1:12" ht="28.5">
      <c r="A22" s="147" t="s">
        <v>131</v>
      </c>
      <c r="B22" s="148">
        <v>10777</v>
      </c>
      <c r="C22" s="147" t="s">
        <v>133</v>
      </c>
      <c r="D22" s="148" t="s">
        <v>119</v>
      </c>
      <c r="E22" s="148" t="s">
        <v>123</v>
      </c>
      <c r="F22" s="149">
        <v>10</v>
      </c>
      <c r="G22" s="149">
        <v>1703.12</v>
      </c>
      <c r="H22" s="151">
        <f>'14 -BDI-EDIFICAÇÕES - SEM DESON'!$H$23</f>
        <v>0.2222616419077901</v>
      </c>
      <c r="I22" s="149">
        <f t="shared" si="0"/>
        <v>2081.66</v>
      </c>
      <c r="J22" s="149">
        <f t="shared" si="1"/>
        <v>20816.599999999999</v>
      </c>
      <c r="L22" s="112"/>
    </row>
    <row r="23" spans="1:12" ht="28.5">
      <c r="A23" s="147" t="s">
        <v>134</v>
      </c>
      <c r="B23" s="148">
        <v>10776</v>
      </c>
      <c r="C23" s="147" t="s">
        <v>136</v>
      </c>
      <c r="D23" s="148" t="s">
        <v>119</v>
      </c>
      <c r="E23" s="148" t="s">
        <v>123</v>
      </c>
      <c r="F23" s="149">
        <v>10</v>
      </c>
      <c r="G23" s="149">
        <v>1171.8699999999999</v>
      </c>
      <c r="H23" s="151">
        <f>'14 -BDI-EDIFICAÇÕES - SEM DESON'!$H$23</f>
        <v>0.2222616419077901</v>
      </c>
      <c r="I23" s="149">
        <f t="shared" si="0"/>
        <v>1432.33</v>
      </c>
      <c r="J23" s="149">
        <f t="shared" si="1"/>
        <v>14323.3</v>
      </c>
      <c r="L23" s="112"/>
    </row>
    <row r="24" spans="1:12" ht="28.5">
      <c r="A24" s="147" t="s">
        <v>137</v>
      </c>
      <c r="B24" s="148" t="s">
        <v>1883</v>
      </c>
      <c r="C24" s="147" t="s">
        <v>1884</v>
      </c>
      <c r="D24" s="148" t="s">
        <v>1881</v>
      </c>
      <c r="E24" s="148" t="s">
        <v>139</v>
      </c>
      <c r="F24" s="149">
        <v>4</v>
      </c>
      <c r="G24" s="149">
        <f>'5 - R. ANALÍTICO - MODIFICAD'!$H$1367</f>
        <v>444.55000000000007</v>
      </c>
      <c r="H24" s="151">
        <f>'14 -BDI-EDIFICAÇÕES - SEM DESON'!$H$23</f>
        <v>0.2222616419077901</v>
      </c>
      <c r="I24" s="149">
        <f t="shared" si="0"/>
        <v>543.36</v>
      </c>
      <c r="J24" s="149">
        <f t="shared" si="1"/>
        <v>2173.44</v>
      </c>
      <c r="L24" s="112"/>
    </row>
    <row r="25" spans="1:12" ht="28.5">
      <c r="A25" s="147" t="s">
        <v>2172</v>
      </c>
      <c r="B25" s="148" t="s">
        <v>2173</v>
      </c>
      <c r="C25" s="147" t="s">
        <v>2174</v>
      </c>
      <c r="D25" s="148" t="s">
        <v>1881</v>
      </c>
      <c r="E25" s="148" t="s">
        <v>139</v>
      </c>
      <c r="F25" s="149">
        <v>36.799999999999997</v>
      </c>
      <c r="G25" s="217">
        <f>'5 - R. ANALÍTICO - MODIFICAD'!$H$1856</f>
        <v>444.55000000000007</v>
      </c>
      <c r="H25" s="151">
        <f>'14 -BDI-EDIFICAÇÕES - SEM DESON'!$H$23</f>
        <v>0.2222616419077901</v>
      </c>
      <c r="I25" s="149">
        <f t="shared" si="0"/>
        <v>543.36</v>
      </c>
      <c r="J25" s="149">
        <f t="shared" si="1"/>
        <v>19995.650000000001</v>
      </c>
      <c r="L25" s="112"/>
    </row>
    <row r="26" spans="1:12" s="112" customFormat="1" ht="29.25" customHeight="1">
      <c r="A26" s="109" t="s">
        <v>140</v>
      </c>
      <c r="B26" s="145" t="s">
        <v>141</v>
      </c>
      <c r="C26" s="143"/>
      <c r="D26" s="143"/>
      <c r="E26" s="143"/>
      <c r="F26" s="143"/>
      <c r="G26" s="143"/>
      <c r="H26" s="143"/>
      <c r="I26" s="144"/>
      <c r="J26" s="113">
        <f>SUM(J27:J30)</f>
        <v>5213.34</v>
      </c>
    </row>
    <row r="27" spans="1:12" s="112" customFormat="1" ht="28.5">
      <c r="A27" s="147" t="s">
        <v>142</v>
      </c>
      <c r="B27" s="148">
        <v>101509</v>
      </c>
      <c r="C27" s="164" t="s">
        <v>143</v>
      </c>
      <c r="D27" s="148" t="s">
        <v>119</v>
      </c>
      <c r="E27" s="148" t="s">
        <v>144</v>
      </c>
      <c r="F27" s="149">
        <v>1</v>
      </c>
      <c r="G27" s="149">
        <v>2110.04</v>
      </c>
      <c r="H27" s="151">
        <f>'14 -BDI-EDIFICAÇÕES - SEM DESON'!$H$23</f>
        <v>0.2222616419077901</v>
      </c>
      <c r="I27" s="149">
        <f t="shared" ref="I27:I30" si="2">ROUND(G27*(1+H27),2)</f>
        <v>2579.02</v>
      </c>
      <c r="J27" s="149">
        <f t="shared" ref="J27:J30" si="3">ROUND(ROUND(F27,2)*ROUND(I27,2),2)</f>
        <v>2579.02</v>
      </c>
    </row>
    <row r="28" spans="1:12" ht="28.5">
      <c r="A28" s="147" t="s">
        <v>145</v>
      </c>
      <c r="B28" s="148">
        <v>95648</v>
      </c>
      <c r="C28" s="164" t="s">
        <v>146</v>
      </c>
      <c r="D28" s="148" t="s">
        <v>119</v>
      </c>
      <c r="E28" s="148" t="s">
        <v>144</v>
      </c>
      <c r="F28" s="149">
        <v>1</v>
      </c>
      <c r="G28" s="149">
        <v>613.9</v>
      </c>
      <c r="H28" s="151">
        <f>'14 -BDI-EDIFICAÇÕES - SEM DESON'!$H$23</f>
        <v>0.2222616419077901</v>
      </c>
      <c r="I28" s="149">
        <f t="shared" si="2"/>
        <v>750.35</v>
      </c>
      <c r="J28" s="149">
        <f t="shared" si="3"/>
        <v>750.35</v>
      </c>
      <c r="L28" s="112"/>
    </row>
    <row r="29" spans="1:12" ht="42.75">
      <c r="A29" s="147" t="s">
        <v>147</v>
      </c>
      <c r="B29" s="148" t="s">
        <v>148</v>
      </c>
      <c r="C29" s="164" t="s">
        <v>150</v>
      </c>
      <c r="D29" s="148" t="s">
        <v>149</v>
      </c>
      <c r="E29" s="148" t="s">
        <v>144</v>
      </c>
      <c r="F29" s="149">
        <v>1</v>
      </c>
      <c r="G29" s="149">
        <v>1034.1400000000001</v>
      </c>
      <c r="H29" s="151">
        <f>'14 -BDI-EDIFICAÇÕES - SEM DESON'!$H$23</f>
        <v>0.2222616419077901</v>
      </c>
      <c r="I29" s="149">
        <f t="shared" si="2"/>
        <v>1263.99</v>
      </c>
      <c r="J29" s="149">
        <f t="shared" si="3"/>
        <v>1263.99</v>
      </c>
      <c r="L29" s="112"/>
    </row>
    <row r="30" spans="1:12" ht="14.25">
      <c r="A30" s="147" t="s">
        <v>151</v>
      </c>
      <c r="B30" s="148">
        <v>102607</v>
      </c>
      <c r="C30" s="164" t="s">
        <v>152</v>
      </c>
      <c r="D30" s="148" t="s">
        <v>119</v>
      </c>
      <c r="E30" s="148" t="s">
        <v>144</v>
      </c>
      <c r="F30" s="149">
        <v>1</v>
      </c>
      <c r="G30" s="149">
        <v>507.24</v>
      </c>
      <c r="H30" s="151">
        <f>'14 -BDI-EDIFICAÇÕES - SEM DESON'!$H$23</f>
        <v>0.2222616419077901</v>
      </c>
      <c r="I30" s="149">
        <f t="shared" si="2"/>
        <v>619.98</v>
      </c>
      <c r="J30" s="149">
        <f t="shared" si="3"/>
        <v>619.98</v>
      </c>
      <c r="L30" s="112"/>
    </row>
    <row r="31" spans="1:12" s="112" customFormat="1" ht="29.25" customHeight="1">
      <c r="A31" s="109" t="s">
        <v>153</v>
      </c>
      <c r="B31" s="145" t="s">
        <v>154</v>
      </c>
      <c r="C31" s="143"/>
      <c r="D31" s="143"/>
      <c r="E31" s="143"/>
      <c r="F31" s="143"/>
      <c r="G31" s="143"/>
      <c r="H31" s="143"/>
      <c r="I31" s="144"/>
      <c r="J31" s="113">
        <f>SUM(J32:J34)</f>
        <v>68221.98</v>
      </c>
    </row>
    <row r="32" spans="1:12" s="112" customFormat="1" ht="14.25">
      <c r="A32" s="147" t="s">
        <v>155</v>
      </c>
      <c r="B32" s="148">
        <v>98459</v>
      </c>
      <c r="C32" s="164" t="s">
        <v>156</v>
      </c>
      <c r="D32" s="148" t="s">
        <v>119</v>
      </c>
      <c r="E32" s="148" t="s">
        <v>139</v>
      </c>
      <c r="F32" s="149">
        <v>555.73</v>
      </c>
      <c r="G32" s="149">
        <v>89.9</v>
      </c>
      <c r="H32" s="151">
        <f>'14 -BDI-EDIFICAÇÕES - SEM DESON'!$H$23</f>
        <v>0.2222616419077901</v>
      </c>
      <c r="I32" s="149">
        <f t="shared" ref="I32:I34" si="4">ROUND(G32*(1+H32),2)</f>
        <v>109.88</v>
      </c>
      <c r="J32" s="149">
        <f t="shared" ref="J32:J34" si="5">ROUND(ROUND(F32,2)*ROUND(I32,2),2)</f>
        <v>61063.61</v>
      </c>
    </row>
    <row r="33" spans="1:12" ht="28.5">
      <c r="A33" s="147" t="s">
        <v>157</v>
      </c>
      <c r="B33" s="148">
        <v>103689</v>
      </c>
      <c r="C33" s="164" t="s">
        <v>1221</v>
      </c>
      <c r="D33" s="148" t="s">
        <v>119</v>
      </c>
      <c r="E33" s="148" t="s">
        <v>139</v>
      </c>
      <c r="F33" s="149">
        <v>12</v>
      </c>
      <c r="G33" s="149">
        <v>463.39</v>
      </c>
      <c r="H33" s="151">
        <f>'14 -BDI-EDIFICAÇÕES - SEM DESON'!$H$23</f>
        <v>0.2222616419077901</v>
      </c>
      <c r="I33" s="149">
        <f t="shared" si="4"/>
        <v>566.38</v>
      </c>
      <c r="J33" s="149">
        <f t="shared" si="5"/>
        <v>6796.56</v>
      </c>
      <c r="L33" s="112"/>
    </row>
    <row r="34" spans="1:12" ht="14.25">
      <c r="A34" s="147" t="s">
        <v>159</v>
      </c>
      <c r="B34" s="148" t="s">
        <v>1885</v>
      </c>
      <c r="C34" s="164" t="s">
        <v>1886</v>
      </c>
      <c r="D34" s="148" t="s">
        <v>1881</v>
      </c>
      <c r="E34" s="148" t="s">
        <v>144</v>
      </c>
      <c r="F34" s="149">
        <v>1</v>
      </c>
      <c r="G34" s="149">
        <f>'5 - R. ANALÍTICO - MODIFICAD'!$H$2125</f>
        <v>296.02000000000004</v>
      </c>
      <c r="H34" s="151">
        <f>'14 -BDI-EDIFICAÇÕES - SEM DESON'!$H$23</f>
        <v>0.2222616419077901</v>
      </c>
      <c r="I34" s="149">
        <f t="shared" si="4"/>
        <v>361.81</v>
      </c>
      <c r="J34" s="149">
        <f t="shared" si="5"/>
        <v>361.81</v>
      </c>
      <c r="L34" s="112"/>
    </row>
    <row r="35" spans="1:12" s="112" customFormat="1" ht="29.25" customHeight="1">
      <c r="A35" s="109" t="s">
        <v>36</v>
      </c>
      <c r="B35" s="145" t="s">
        <v>1843</v>
      </c>
      <c r="C35" s="143"/>
      <c r="D35" s="143"/>
      <c r="E35" s="143"/>
      <c r="F35" s="143"/>
      <c r="G35" s="143"/>
      <c r="H35" s="143"/>
      <c r="I35" s="144"/>
      <c r="J35" s="113">
        <f>J36+J39</f>
        <v>9701.6999999999989</v>
      </c>
    </row>
    <row r="36" spans="1:12" s="112" customFormat="1" ht="29.25" customHeight="1">
      <c r="A36" s="109" t="s">
        <v>160</v>
      </c>
      <c r="B36" s="145" t="s">
        <v>161</v>
      </c>
      <c r="C36" s="143"/>
      <c r="D36" s="143"/>
      <c r="E36" s="143"/>
      <c r="F36" s="143"/>
      <c r="G36" s="143"/>
      <c r="H36" s="143"/>
      <c r="I36" s="144"/>
      <c r="J36" s="113">
        <f>SUM(J37:J38)</f>
        <v>2577.2199999999998</v>
      </c>
    </row>
    <row r="37" spans="1:12" s="112" customFormat="1" ht="28.5">
      <c r="A37" s="147" t="s">
        <v>162</v>
      </c>
      <c r="B37" s="148">
        <v>97637</v>
      </c>
      <c r="C37" s="164" t="s">
        <v>163</v>
      </c>
      <c r="D37" s="148" t="s">
        <v>119</v>
      </c>
      <c r="E37" s="148" t="s">
        <v>139</v>
      </c>
      <c r="F37" s="149">
        <v>555.73</v>
      </c>
      <c r="G37" s="149">
        <v>3.12</v>
      </c>
      <c r="H37" s="151">
        <f>'14 -BDI-EDIFICAÇÕES - SEM DESON'!$H$23</f>
        <v>0.2222616419077901</v>
      </c>
      <c r="I37" s="149">
        <f t="shared" ref="I37:I38" si="6">ROUND(G37*(1+H37),2)</f>
        <v>3.81</v>
      </c>
      <c r="J37" s="149">
        <f t="shared" ref="J37:J38" si="7">ROUND(ROUND(F37,2)*ROUND(I37,2),2)</f>
        <v>2117.33</v>
      </c>
    </row>
    <row r="38" spans="1:12" s="112" customFormat="1" ht="14.25">
      <c r="A38" s="147" t="s">
        <v>2175</v>
      </c>
      <c r="B38" s="148" t="s">
        <v>2176</v>
      </c>
      <c r="C38" s="164" t="s">
        <v>2177</v>
      </c>
      <c r="D38" s="148" t="s">
        <v>1881</v>
      </c>
      <c r="E38" s="148" t="s">
        <v>139</v>
      </c>
      <c r="F38" s="149">
        <v>52.8</v>
      </c>
      <c r="G38" s="217">
        <f>'5 - R. ANALÍTICO - MODIFICAD'!$H$2478</f>
        <v>7.13</v>
      </c>
      <c r="H38" s="151">
        <f>'14 -BDI-EDIFICAÇÕES - SEM DESON'!$H$23</f>
        <v>0.2222616419077901</v>
      </c>
      <c r="I38" s="149">
        <f t="shared" si="6"/>
        <v>8.7100000000000009</v>
      </c>
      <c r="J38" s="149">
        <f t="shared" si="7"/>
        <v>459.89</v>
      </c>
    </row>
    <row r="39" spans="1:12" s="112" customFormat="1" ht="29.25" customHeight="1">
      <c r="A39" s="109" t="s">
        <v>164</v>
      </c>
      <c r="B39" s="145" t="s">
        <v>165</v>
      </c>
      <c r="C39" s="143"/>
      <c r="D39" s="143"/>
      <c r="E39" s="143"/>
      <c r="F39" s="143"/>
      <c r="G39" s="143"/>
      <c r="H39" s="143"/>
      <c r="I39" s="144"/>
      <c r="J39" s="113">
        <f>J40</f>
        <v>7124.48</v>
      </c>
    </row>
    <row r="40" spans="1:12" s="112" customFormat="1" ht="28.5">
      <c r="A40" s="147" t="s">
        <v>166</v>
      </c>
      <c r="B40" s="148" t="s">
        <v>1887</v>
      </c>
      <c r="C40" s="164" t="s">
        <v>1888</v>
      </c>
      <c r="D40" s="148" t="s">
        <v>1881</v>
      </c>
      <c r="E40" s="148" t="s">
        <v>167</v>
      </c>
      <c r="F40" s="149">
        <v>46.81</v>
      </c>
      <c r="G40" s="149">
        <f>'5 - R. ANALÍTICO - MODIFICAD'!$H$1378</f>
        <v>124.52</v>
      </c>
      <c r="H40" s="151">
        <f>'14 -BDI-EDIFICAÇÕES - SEM DESON'!$H$23</f>
        <v>0.2222616419077901</v>
      </c>
      <c r="I40" s="149">
        <f>ROUND(G40*(1+H40),2)</f>
        <v>152.19999999999999</v>
      </c>
      <c r="J40" s="149">
        <f>ROUND(ROUND(F40,2)*ROUND(I40,2),2)</f>
        <v>7124.48</v>
      </c>
    </row>
    <row r="41" spans="1:12" s="112" customFormat="1" ht="29.25" customHeight="1">
      <c r="A41" s="109" t="s">
        <v>37</v>
      </c>
      <c r="B41" s="145" t="s">
        <v>168</v>
      </c>
      <c r="C41" s="143"/>
      <c r="D41" s="143"/>
      <c r="E41" s="143"/>
      <c r="F41" s="143"/>
      <c r="G41" s="143"/>
      <c r="H41" s="143"/>
      <c r="I41" s="144"/>
      <c r="J41" s="113">
        <f>J42+J45</f>
        <v>19258.03</v>
      </c>
    </row>
    <row r="42" spans="1:12" s="112" customFormat="1" ht="29.25" customHeight="1">
      <c r="A42" s="109" t="s">
        <v>169</v>
      </c>
      <c r="B42" s="145" t="s">
        <v>170</v>
      </c>
      <c r="C42" s="143"/>
      <c r="D42" s="143"/>
      <c r="E42" s="143"/>
      <c r="F42" s="143"/>
      <c r="G42" s="143"/>
      <c r="H42" s="143"/>
      <c r="I42" s="144"/>
      <c r="J42" s="113">
        <f>SUM(J43:J44)</f>
        <v>18934.3</v>
      </c>
    </row>
    <row r="43" spans="1:12" s="112" customFormat="1" ht="28.5">
      <c r="A43" s="147" t="s">
        <v>171</v>
      </c>
      <c r="B43" s="148">
        <v>105009</v>
      </c>
      <c r="C43" s="164" t="s">
        <v>172</v>
      </c>
      <c r="D43" s="148" t="s">
        <v>119</v>
      </c>
      <c r="E43" s="148" t="s">
        <v>173</v>
      </c>
      <c r="F43" s="149">
        <v>188</v>
      </c>
      <c r="G43" s="149">
        <v>81.48</v>
      </c>
      <c r="H43" s="151">
        <f>'14 -BDI-EDIFICAÇÕES - SEM DESON'!$H$23</f>
        <v>0.2222616419077901</v>
      </c>
      <c r="I43" s="149">
        <f t="shared" ref="I43:I44" si="8">ROUND(G43*(1+H43),2)</f>
        <v>99.59</v>
      </c>
      <c r="J43" s="149">
        <f t="shared" ref="J43:J44" si="9">ROUND(ROUND(F43,2)*ROUND(I43,2),2)</f>
        <v>18722.919999999998</v>
      </c>
    </row>
    <row r="44" spans="1:12" ht="14.25">
      <c r="A44" s="147" t="s">
        <v>174</v>
      </c>
      <c r="B44" s="148">
        <v>99062</v>
      </c>
      <c r="C44" s="164" t="s">
        <v>175</v>
      </c>
      <c r="D44" s="148" t="s">
        <v>119</v>
      </c>
      <c r="E44" s="148" t="s">
        <v>144</v>
      </c>
      <c r="F44" s="149">
        <v>78</v>
      </c>
      <c r="G44" s="149">
        <v>2.2200000000000002</v>
      </c>
      <c r="H44" s="151">
        <f>'14 -BDI-EDIFICAÇÕES - SEM DESON'!$H$23</f>
        <v>0.2222616419077901</v>
      </c>
      <c r="I44" s="149">
        <f t="shared" si="8"/>
        <v>2.71</v>
      </c>
      <c r="J44" s="149">
        <f t="shared" si="9"/>
        <v>211.38</v>
      </c>
      <c r="L44" s="112"/>
    </row>
    <row r="45" spans="1:12" s="112" customFormat="1" ht="29.25" customHeight="1">
      <c r="A45" s="109" t="s">
        <v>176</v>
      </c>
      <c r="B45" s="145" t="s">
        <v>177</v>
      </c>
      <c r="C45" s="143"/>
      <c r="D45" s="143"/>
      <c r="E45" s="143"/>
      <c r="F45" s="143"/>
      <c r="G45" s="143"/>
      <c r="H45" s="143"/>
      <c r="I45" s="144"/>
      <c r="J45" s="113">
        <f>J46</f>
        <v>323.73</v>
      </c>
    </row>
    <row r="46" spans="1:12" s="112" customFormat="1" ht="14.25">
      <c r="A46" s="147" t="s">
        <v>178</v>
      </c>
      <c r="B46" s="148" t="s">
        <v>1889</v>
      </c>
      <c r="C46" s="164" t="s">
        <v>1890</v>
      </c>
      <c r="D46" s="148" t="s">
        <v>1881</v>
      </c>
      <c r="E46" s="148" t="s">
        <v>173</v>
      </c>
      <c r="F46" s="149">
        <v>249.02</v>
      </c>
      <c r="G46" s="149">
        <f>'5 - R. ANALÍTICO - MODIFICAD'!$H$2142</f>
        <v>1.06</v>
      </c>
      <c r="H46" s="151">
        <f>'14 -BDI-EDIFICAÇÕES - SEM DESON'!$H$23</f>
        <v>0.2222616419077901</v>
      </c>
      <c r="I46" s="149">
        <f>ROUND(G46*(1+H46),2)</f>
        <v>1.3</v>
      </c>
      <c r="J46" s="149">
        <f>ROUND(ROUND(F46,2)*ROUND(I46,2),2)</f>
        <v>323.73</v>
      </c>
    </row>
    <row r="47" spans="1:12" s="112" customFormat="1" ht="29.25" customHeight="1">
      <c r="A47" s="109" t="s">
        <v>38</v>
      </c>
      <c r="B47" s="145" t="s">
        <v>179</v>
      </c>
      <c r="C47" s="143"/>
      <c r="D47" s="143"/>
      <c r="E47" s="143"/>
      <c r="F47" s="143"/>
      <c r="G47" s="143"/>
      <c r="H47" s="143"/>
      <c r="I47" s="144"/>
      <c r="J47" s="113">
        <f>J48+J53</f>
        <v>420024.5</v>
      </c>
    </row>
    <row r="48" spans="1:12" s="112" customFormat="1" ht="29.25" customHeight="1">
      <c r="A48" s="109" t="s">
        <v>180</v>
      </c>
      <c r="B48" s="145" t="s">
        <v>181</v>
      </c>
      <c r="C48" s="143"/>
      <c r="D48" s="143"/>
      <c r="E48" s="143"/>
      <c r="F48" s="143"/>
      <c r="G48" s="143"/>
      <c r="H48" s="143"/>
      <c r="I48" s="144"/>
      <c r="J48" s="113">
        <f>SUM(J49:J52)</f>
        <v>85254.39</v>
      </c>
    </row>
    <row r="49" spans="1:12" s="112" customFormat="1" ht="28.5">
      <c r="A49" s="147" t="s">
        <v>182</v>
      </c>
      <c r="B49" s="148">
        <v>98525</v>
      </c>
      <c r="C49" s="164" t="s">
        <v>183</v>
      </c>
      <c r="D49" s="148" t="s">
        <v>119</v>
      </c>
      <c r="E49" s="148" t="s">
        <v>139</v>
      </c>
      <c r="F49" s="149">
        <v>3951.22</v>
      </c>
      <c r="G49" s="149">
        <v>0.66</v>
      </c>
      <c r="H49" s="151">
        <f>'14 -BDI-EDIFICAÇÕES - SEM DESON'!$H$23</f>
        <v>0.2222616419077901</v>
      </c>
      <c r="I49" s="149">
        <f t="shared" ref="I49:I52" si="10">ROUND(G49*(1+H49),2)</f>
        <v>0.81</v>
      </c>
      <c r="J49" s="149">
        <f t="shared" ref="J49:J52" si="11">ROUND(ROUND(F49,2)*ROUND(I49,2),2)</f>
        <v>3200.49</v>
      </c>
    </row>
    <row r="50" spans="1:12" ht="42.75">
      <c r="A50" s="147" t="s">
        <v>2278</v>
      </c>
      <c r="B50" s="148">
        <v>100983</v>
      </c>
      <c r="C50" s="164" t="s">
        <v>184</v>
      </c>
      <c r="D50" s="148" t="s">
        <v>119</v>
      </c>
      <c r="E50" s="148" t="s">
        <v>167</v>
      </c>
      <c r="F50" s="149">
        <v>770.49</v>
      </c>
      <c r="G50" s="149">
        <v>9.16</v>
      </c>
      <c r="H50" s="151">
        <f>'14 -BDI-EDIFICAÇÕES - SEM DESON'!$H$23</f>
        <v>0.2222616419077901</v>
      </c>
      <c r="I50" s="149">
        <f t="shared" si="10"/>
        <v>11.2</v>
      </c>
      <c r="J50" s="149">
        <f t="shared" si="11"/>
        <v>8629.49</v>
      </c>
      <c r="L50" s="112"/>
    </row>
    <row r="51" spans="1:12" ht="28.5">
      <c r="A51" s="147" t="s">
        <v>2279</v>
      </c>
      <c r="B51" s="148">
        <v>93591</v>
      </c>
      <c r="C51" s="164" t="s">
        <v>3950</v>
      </c>
      <c r="D51" s="148" t="s">
        <v>119</v>
      </c>
      <c r="E51" s="148" t="s">
        <v>185</v>
      </c>
      <c r="F51" s="149">
        <v>14793.37</v>
      </c>
      <c r="G51" s="149">
        <v>2.79</v>
      </c>
      <c r="H51" s="151">
        <f>'14 -BDI-EDIFICAÇÕES - SEM DESON'!$H$23</f>
        <v>0.2222616419077901</v>
      </c>
      <c r="I51" s="149">
        <f t="shared" si="10"/>
        <v>3.41</v>
      </c>
      <c r="J51" s="149">
        <f t="shared" si="11"/>
        <v>50445.39</v>
      </c>
      <c r="L51" s="112"/>
    </row>
    <row r="52" spans="1:12" ht="28.5">
      <c r="A52" s="147" t="s">
        <v>2280</v>
      </c>
      <c r="B52" s="148" t="s">
        <v>1863</v>
      </c>
      <c r="C52" s="164" t="s">
        <v>3949</v>
      </c>
      <c r="D52" s="148" t="s">
        <v>3832</v>
      </c>
      <c r="E52" s="148" t="s">
        <v>1882</v>
      </c>
      <c r="F52" s="149">
        <v>1232.78</v>
      </c>
      <c r="G52" s="149">
        <f>'6 - COTAÇÃO MERCADO'!$D$35</f>
        <v>15.25</v>
      </c>
      <c r="H52" s="151">
        <f>'14 -BDI-EDIFICAÇÕES - SEM DESON'!$H$23</f>
        <v>0.2222616419077901</v>
      </c>
      <c r="I52" s="149">
        <f t="shared" si="10"/>
        <v>18.64</v>
      </c>
      <c r="J52" s="149">
        <f t="shared" si="11"/>
        <v>22979.02</v>
      </c>
      <c r="L52" s="112"/>
    </row>
    <row r="53" spans="1:12" s="112" customFormat="1" ht="29.25" customHeight="1">
      <c r="A53" s="109" t="s">
        <v>186</v>
      </c>
      <c r="B53" s="145" t="s">
        <v>187</v>
      </c>
      <c r="C53" s="143"/>
      <c r="D53" s="143"/>
      <c r="E53" s="143"/>
      <c r="F53" s="143"/>
      <c r="G53" s="143"/>
      <c r="H53" s="143"/>
      <c r="I53" s="144"/>
      <c r="J53" s="113">
        <f>SUM(J54:J56)</f>
        <v>334770.11</v>
      </c>
    </row>
    <row r="54" spans="1:12" s="112" customFormat="1" ht="42.75">
      <c r="A54" s="147" t="s">
        <v>188</v>
      </c>
      <c r="B54" s="148">
        <v>101135</v>
      </c>
      <c r="C54" s="164" t="s">
        <v>3381</v>
      </c>
      <c r="D54" s="148" t="s">
        <v>119</v>
      </c>
      <c r="E54" s="148" t="s">
        <v>167</v>
      </c>
      <c r="F54" s="149">
        <v>138.96</v>
      </c>
      <c r="G54" s="149">
        <v>15.01</v>
      </c>
      <c r="H54" s="151">
        <f>'14 -BDI-EDIFICAÇÕES - SEM DESON'!$H$23</f>
        <v>0.2222616419077901</v>
      </c>
      <c r="I54" s="149">
        <f t="shared" ref="I54" si="12">ROUND(G54*(1+H54),2)</f>
        <v>18.350000000000001</v>
      </c>
      <c r="J54" s="149">
        <f t="shared" ref="J54" si="13">ROUND(ROUND(F54,2)*ROUND(I54,2),2)</f>
        <v>2549.92</v>
      </c>
    </row>
    <row r="55" spans="1:12" s="112" customFormat="1" ht="28.5">
      <c r="A55" s="147" t="s">
        <v>189</v>
      </c>
      <c r="B55" s="148" t="s">
        <v>3384</v>
      </c>
      <c r="C55" s="164" t="s">
        <v>3618</v>
      </c>
      <c r="D55" s="148" t="s">
        <v>1881</v>
      </c>
      <c r="E55" s="148" t="s">
        <v>167</v>
      </c>
      <c r="F55" s="149">
        <v>1601.16</v>
      </c>
      <c r="G55" s="149">
        <f>'5 - R. ANALÍTICO - MODIFICAD'!$H$1121</f>
        <v>155.9</v>
      </c>
      <c r="H55" s="151">
        <f>'14 -BDI-EDIFICAÇÕES - SEM DESON'!$H$23</f>
        <v>0.2222616419077901</v>
      </c>
      <c r="I55" s="149">
        <f t="shared" ref="I55:I56" si="14">ROUND(G55*(1+H55),2)</f>
        <v>190.55</v>
      </c>
      <c r="J55" s="149">
        <f t="shared" ref="J55:J56" si="15">ROUND(ROUND(F55,2)*ROUND(I55,2),2)</f>
        <v>305101.03999999998</v>
      </c>
    </row>
    <row r="56" spans="1:12" ht="28.5">
      <c r="A56" s="147" t="s">
        <v>191</v>
      </c>
      <c r="B56" s="148">
        <v>96385</v>
      </c>
      <c r="C56" s="164" t="s">
        <v>190</v>
      </c>
      <c r="D56" s="148" t="s">
        <v>119</v>
      </c>
      <c r="E56" s="148" t="s">
        <v>167</v>
      </c>
      <c r="F56" s="149">
        <v>1781.81</v>
      </c>
      <c r="G56" s="149">
        <v>12.45</v>
      </c>
      <c r="H56" s="151">
        <f>'14 -BDI-EDIFICAÇÕES - SEM DESON'!$H$23</f>
        <v>0.2222616419077901</v>
      </c>
      <c r="I56" s="149">
        <f t="shared" si="14"/>
        <v>15.22</v>
      </c>
      <c r="J56" s="149">
        <f t="shared" si="15"/>
        <v>27119.15</v>
      </c>
      <c r="L56" s="112"/>
    </row>
    <row r="57" spans="1:12" s="112" customFormat="1" ht="29.25" customHeight="1">
      <c r="A57" s="109" t="s">
        <v>994</v>
      </c>
      <c r="B57" s="145" t="s">
        <v>24</v>
      </c>
      <c r="C57" s="143"/>
      <c r="D57" s="143"/>
      <c r="E57" s="143"/>
      <c r="F57" s="143"/>
      <c r="G57" s="143"/>
      <c r="H57" s="143"/>
      <c r="I57" s="144"/>
      <c r="J57" s="113">
        <f>J58+J88+J96+J103+J154</f>
        <v>1293683.67</v>
      </c>
    </row>
    <row r="58" spans="1:12" s="112" customFormat="1" ht="29.25" customHeight="1">
      <c r="A58" s="109" t="s">
        <v>39</v>
      </c>
      <c r="B58" s="145" t="s">
        <v>193</v>
      </c>
      <c r="C58" s="143"/>
      <c r="D58" s="143"/>
      <c r="E58" s="143"/>
      <c r="F58" s="143"/>
      <c r="G58" s="143"/>
      <c r="H58" s="143"/>
      <c r="I58" s="144"/>
      <c r="J58" s="113">
        <f>J59+J67+J74+J81</f>
        <v>271997.41000000003</v>
      </c>
    </row>
    <row r="59" spans="1:12" s="112" customFormat="1" ht="29.25" customHeight="1">
      <c r="A59" s="109" t="s">
        <v>194</v>
      </c>
      <c r="B59" s="145" t="s">
        <v>195</v>
      </c>
      <c r="C59" s="143"/>
      <c r="D59" s="143"/>
      <c r="E59" s="143"/>
      <c r="F59" s="143"/>
      <c r="G59" s="143"/>
      <c r="H59" s="143"/>
      <c r="I59" s="144"/>
      <c r="J59" s="113">
        <f>SUM(J60:J66)</f>
        <v>155948.38999999998</v>
      </c>
    </row>
    <row r="60" spans="1:12" ht="28.5">
      <c r="A60" s="147" t="s">
        <v>196</v>
      </c>
      <c r="B60" s="148" t="s">
        <v>2225</v>
      </c>
      <c r="C60" s="164" t="s">
        <v>2798</v>
      </c>
      <c r="D60" s="148" t="s">
        <v>1881</v>
      </c>
      <c r="E60" s="148" t="s">
        <v>173</v>
      </c>
      <c r="F60" s="149">
        <v>523</v>
      </c>
      <c r="G60" s="149">
        <f>'5 - R. ANALÍTICO - MODIFICAD'!$H$473</f>
        <v>182.89</v>
      </c>
      <c r="H60" s="151">
        <f>'14 -BDI-EDIFICAÇÕES - SEM DESON'!$H$23</f>
        <v>0.2222616419077901</v>
      </c>
      <c r="I60" s="149">
        <f t="shared" ref="I60:I66" si="16">ROUND(G60*(1+H60),2)</f>
        <v>223.54</v>
      </c>
      <c r="J60" s="149">
        <f t="shared" ref="J60:J66" si="17">ROUND(ROUND(F60,2)*ROUND(I60,2),2)</f>
        <v>116911.42</v>
      </c>
      <c r="L60" s="112"/>
    </row>
    <row r="61" spans="1:12" ht="28.5">
      <c r="A61" s="147" t="s">
        <v>197</v>
      </c>
      <c r="B61" s="148" t="s">
        <v>2226</v>
      </c>
      <c r="C61" s="164" t="s">
        <v>2200</v>
      </c>
      <c r="D61" s="148" t="s">
        <v>1881</v>
      </c>
      <c r="E61" s="148" t="s">
        <v>173</v>
      </c>
      <c r="F61" s="149">
        <v>10</v>
      </c>
      <c r="G61" s="149">
        <f>'5 - R. ANALÍTICO - MODIFICAD'!$H$152</f>
        <v>108.43</v>
      </c>
      <c r="H61" s="151">
        <f>'14 -BDI-EDIFICAÇÕES - SEM DESON'!$H$23</f>
        <v>0.2222616419077901</v>
      </c>
      <c r="I61" s="149">
        <f t="shared" si="16"/>
        <v>132.53</v>
      </c>
      <c r="J61" s="149">
        <f t="shared" si="17"/>
        <v>1325.3</v>
      </c>
      <c r="L61" s="112"/>
    </row>
    <row r="62" spans="1:12" ht="28.5">
      <c r="A62" s="147" t="s">
        <v>198</v>
      </c>
      <c r="B62" s="148">
        <v>95592</v>
      </c>
      <c r="C62" s="164" t="s">
        <v>2866</v>
      </c>
      <c r="D62" s="148" t="s">
        <v>119</v>
      </c>
      <c r="E62" s="148" t="s">
        <v>200</v>
      </c>
      <c r="F62" s="149">
        <v>6</v>
      </c>
      <c r="G62" s="149">
        <v>17.440000000000001</v>
      </c>
      <c r="H62" s="151">
        <f>'14 -BDI-EDIFICAÇÕES - SEM DESON'!$H$23</f>
        <v>0.2222616419077901</v>
      </c>
      <c r="I62" s="149">
        <f t="shared" si="16"/>
        <v>21.32</v>
      </c>
      <c r="J62" s="149">
        <f t="shared" si="17"/>
        <v>127.92</v>
      </c>
      <c r="L62" s="112"/>
    </row>
    <row r="63" spans="1:12" ht="28.5">
      <c r="A63" s="147" t="s">
        <v>201</v>
      </c>
      <c r="B63" s="148">
        <v>95584</v>
      </c>
      <c r="C63" s="164" t="s">
        <v>199</v>
      </c>
      <c r="D63" s="148" t="s">
        <v>119</v>
      </c>
      <c r="E63" s="148" t="s">
        <v>200</v>
      </c>
      <c r="F63" s="149">
        <v>678</v>
      </c>
      <c r="G63" s="149">
        <v>15.24</v>
      </c>
      <c r="H63" s="151">
        <f>'14 -BDI-EDIFICAÇÕES - SEM DESON'!$H$23</f>
        <v>0.2222616419077901</v>
      </c>
      <c r="I63" s="149">
        <f t="shared" si="16"/>
        <v>18.63</v>
      </c>
      <c r="J63" s="149">
        <f t="shared" si="17"/>
        <v>12631.14</v>
      </c>
      <c r="L63" s="112"/>
    </row>
    <row r="64" spans="1:12" ht="14.25">
      <c r="A64" s="147" t="s">
        <v>203</v>
      </c>
      <c r="B64" s="148">
        <v>95577</v>
      </c>
      <c r="C64" s="164" t="s">
        <v>2867</v>
      </c>
      <c r="D64" s="148" t="s">
        <v>119</v>
      </c>
      <c r="E64" s="148" t="s">
        <v>200</v>
      </c>
      <c r="F64" s="149">
        <v>23</v>
      </c>
      <c r="G64" s="149">
        <v>11.54</v>
      </c>
      <c r="H64" s="151">
        <f>'14 -BDI-EDIFICAÇÕES - SEM DESON'!$H$23</f>
        <v>0.2222616419077901</v>
      </c>
      <c r="I64" s="149">
        <f t="shared" si="16"/>
        <v>14.1</v>
      </c>
      <c r="J64" s="149">
        <f t="shared" si="17"/>
        <v>324.3</v>
      </c>
      <c r="L64" s="112"/>
    </row>
    <row r="65" spans="1:12" ht="14.25">
      <c r="A65" s="147" t="s">
        <v>2864</v>
      </c>
      <c r="B65" s="148">
        <v>95578</v>
      </c>
      <c r="C65" s="164" t="s">
        <v>202</v>
      </c>
      <c r="D65" s="148" t="s">
        <v>119</v>
      </c>
      <c r="E65" s="148" t="s">
        <v>200</v>
      </c>
      <c r="F65" s="149">
        <v>1953</v>
      </c>
      <c r="G65" s="149">
        <v>9.58</v>
      </c>
      <c r="H65" s="151">
        <f>'14 -BDI-EDIFICAÇÕES - SEM DESON'!$H$23</f>
        <v>0.2222616419077901</v>
      </c>
      <c r="I65" s="149">
        <f t="shared" si="16"/>
        <v>11.71</v>
      </c>
      <c r="J65" s="149">
        <f t="shared" si="17"/>
        <v>22869.63</v>
      </c>
      <c r="L65" s="112"/>
    </row>
    <row r="66" spans="1:12" ht="14.25">
      <c r="A66" s="147" t="s">
        <v>2865</v>
      </c>
      <c r="B66" s="148">
        <v>95601</v>
      </c>
      <c r="C66" s="164" t="s">
        <v>204</v>
      </c>
      <c r="D66" s="148" t="s">
        <v>119</v>
      </c>
      <c r="E66" s="148" t="s">
        <v>144</v>
      </c>
      <c r="F66" s="149">
        <v>77</v>
      </c>
      <c r="G66" s="149">
        <v>18.690000000000001</v>
      </c>
      <c r="H66" s="151">
        <f>'14 -BDI-EDIFICAÇÕES - SEM DESON'!$H$23</f>
        <v>0.2222616419077901</v>
      </c>
      <c r="I66" s="149">
        <f t="shared" si="16"/>
        <v>22.84</v>
      </c>
      <c r="J66" s="149">
        <f t="shared" si="17"/>
        <v>1758.68</v>
      </c>
      <c r="L66" s="112"/>
    </row>
    <row r="67" spans="1:12" s="112" customFormat="1" ht="29.25" customHeight="1">
      <c r="A67" s="109" t="s">
        <v>205</v>
      </c>
      <c r="B67" s="145" t="s">
        <v>206</v>
      </c>
      <c r="C67" s="143"/>
      <c r="D67" s="143"/>
      <c r="E67" s="143"/>
      <c r="F67" s="143"/>
      <c r="G67" s="143"/>
      <c r="H67" s="143"/>
      <c r="I67" s="144"/>
      <c r="J67" s="113">
        <f>SUM(J68:J73)</f>
        <v>32708.190000000002</v>
      </c>
    </row>
    <row r="68" spans="1:12" s="112" customFormat="1" ht="28.5">
      <c r="A68" s="147" t="s">
        <v>207</v>
      </c>
      <c r="B68" s="148">
        <v>96523</v>
      </c>
      <c r="C68" s="164" t="s">
        <v>208</v>
      </c>
      <c r="D68" s="148" t="s">
        <v>119</v>
      </c>
      <c r="E68" s="148" t="s">
        <v>167</v>
      </c>
      <c r="F68" s="149">
        <v>26.09</v>
      </c>
      <c r="G68" s="149">
        <v>104.51</v>
      </c>
      <c r="H68" s="151">
        <f>'14 -BDI-EDIFICAÇÕES - SEM DESON'!$H$23</f>
        <v>0.2222616419077901</v>
      </c>
      <c r="I68" s="149">
        <f t="shared" ref="I68:I73" si="18">ROUND(G68*(1+H68),2)</f>
        <v>127.74</v>
      </c>
      <c r="J68" s="149">
        <f t="shared" ref="J68:J73" si="19">ROUND(ROUND(F68,2)*ROUND(I68,2),2)</f>
        <v>3332.74</v>
      </c>
    </row>
    <row r="69" spans="1:12" ht="28.5">
      <c r="A69" s="147" t="s">
        <v>209</v>
      </c>
      <c r="B69" s="148">
        <v>101616</v>
      </c>
      <c r="C69" s="164" t="s">
        <v>211</v>
      </c>
      <c r="D69" s="148" t="s">
        <v>119</v>
      </c>
      <c r="E69" s="148" t="s">
        <v>139</v>
      </c>
      <c r="F69" s="149">
        <v>24.57</v>
      </c>
      <c r="G69" s="149">
        <v>7.03</v>
      </c>
      <c r="H69" s="151">
        <f>'14 -BDI-EDIFICAÇÕES - SEM DESON'!$H$23</f>
        <v>0.2222616419077901</v>
      </c>
      <c r="I69" s="149">
        <f t="shared" si="18"/>
        <v>8.59</v>
      </c>
      <c r="J69" s="149">
        <f t="shared" si="19"/>
        <v>211.06</v>
      </c>
      <c r="L69" s="112"/>
    </row>
    <row r="70" spans="1:12" ht="14.25">
      <c r="A70" s="147" t="s">
        <v>212</v>
      </c>
      <c r="B70" s="148">
        <v>96616</v>
      </c>
      <c r="C70" s="164" t="s">
        <v>213</v>
      </c>
      <c r="D70" s="148" t="s">
        <v>119</v>
      </c>
      <c r="E70" s="148" t="s">
        <v>167</v>
      </c>
      <c r="F70" s="149">
        <v>1.23</v>
      </c>
      <c r="G70" s="149">
        <v>861.32</v>
      </c>
      <c r="H70" s="151">
        <f>'14 -BDI-EDIFICAÇÕES - SEM DESON'!$H$23</f>
        <v>0.2222616419077901</v>
      </c>
      <c r="I70" s="149">
        <f t="shared" si="18"/>
        <v>1052.76</v>
      </c>
      <c r="J70" s="149">
        <f t="shared" si="19"/>
        <v>1294.8900000000001</v>
      </c>
      <c r="L70" s="112"/>
    </row>
    <row r="71" spans="1:12" ht="28.5">
      <c r="A71" s="147" t="s">
        <v>214</v>
      </c>
      <c r="B71" s="148">
        <v>95640</v>
      </c>
      <c r="C71" s="164" t="s">
        <v>215</v>
      </c>
      <c r="D71" s="148" t="s">
        <v>119</v>
      </c>
      <c r="E71" s="148" t="s">
        <v>139</v>
      </c>
      <c r="F71" s="149">
        <v>97.38</v>
      </c>
      <c r="G71" s="149">
        <v>130.03</v>
      </c>
      <c r="H71" s="151">
        <f>'14 -BDI-EDIFICAÇÕES - SEM DESON'!$H$23</f>
        <v>0.2222616419077901</v>
      </c>
      <c r="I71" s="149">
        <f t="shared" si="18"/>
        <v>158.93</v>
      </c>
      <c r="J71" s="149">
        <f t="shared" si="19"/>
        <v>15476.6</v>
      </c>
      <c r="L71" s="112"/>
    </row>
    <row r="72" spans="1:12" ht="28.5">
      <c r="A72" s="147" t="s">
        <v>216</v>
      </c>
      <c r="B72" s="148">
        <v>96557</v>
      </c>
      <c r="C72" s="164" t="s">
        <v>217</v>
      </c>
      <c r="D72" s="148" t="s">
        <v>119</v>
      </c>
      <c r="E72" s="148" t="s">
        <v>167</v>
      </c>
      <c r="F72" s="149">
        <v>14.31</v>
      </c>
      <c r="G72" s="149">
        <v>686.22</v>
      </c>
      <c r="H72" s="151">
        <f>'14 -BDI-EDIFICAÇÕES - SEM DESON'!$H$23</f>
        <v>0.2222616419077901</v>
      </c>
      <c r="I72" s="149">
        <f t="shared" si="18"/>
        <v>838.74</v>
      </c>
      <c r="J72" s="149">
        <f t="shared" si="19"/>
        <v>12002.37</v>
      </c>
      <c r="L72" s="112"/>
    </row>
    <row r="73" spans="1:12" ht="14.25">
      <c r="A73" s="147" t="s">
        <v>218</v>
      </c>
      <c r="B73" s="148">
        <v>93382</v>
      </c>
      <c r="C73" s="164" t="s">
        <v>220</v>
      </c>
      <c r="D73" s="148" t="s">
        <v>119</v>
      </c>
      <c r="E73" s="148" t="s">
        <v>167</v>
      </c>
      <c r="F73" s="149">
        <v>11.77</v>
      </c>
      <c r="G73" s="149">
        <v>27.15</v>
      </c>
      <c r="H73" s="151">
        <f>'14 -BDI-EDIFICAÇÕES - SEM DESON'!$H$23</f>
        <v>0.2222616419077901</v>
      </c>
      <c r="I73" s="149">
        <f t="shared" si="18"/>
        <v>33.18</v>
      </c>
      <c r="J73" s="149">
        <f t="shared" si="19"/>
        <v>390.53</v>
      </c>
      <c r="L73" s="112"/>
    </row>
    <row r="74" spans="1:12" s="112" customFormat="1" ht="29.25" customHeight="1">
      <c r="A74" s="109" t="s">
        <v>221</v>
      </c>
      <c r="B74" s="145" t="s">
        <v>222</v>
      </c>
      <c r="C74" s="143"/>
      <c r="D74" s="143"/>
      <c r="E74" s="143"/>
      <c r="F74" s="143"/>
      <c r="G74" s="143"/>
      <c r="H74" s="143"/>
      <c r="I74" s="144"/>
      <c r="J74" s="113">
        <f>SUM(J75:J80)</f>
        <v>44328.92</v>
      </c>
    </row>
    <row r="75" spans="1:12" s="112" customFormat="1" ht="28.5">
      <c r="A75" s="147" t="s">
        <v>223</v>
      </c>
      <c r="B75" s="148">
        <v>96527</v>
      </c>
      <c r="C75" s="164" t="s">
        <v>224</v>
      </c>
      <c r="D75" s="148" t="s">
        <v>119</v>
      </c>
      <c r="E75" s="148" t="s">
        <v>167</v>
      </c>
      <c r="F75" s="149">
        <v>51.08</v>
      </c>
      <c r="G75" s="149">
        <v>114.94</v>
      </c>
      <c r="H75" s="151">
        <f>'14 -BDI-EDIFICAÇÕES - SEM DESON'!$H$23</f>
        <v>0.2222616419077901</v>
      </c>
      <c r="I75" s="149">
        <f t="shared" ref="I75:I80" si="20">ROUND(G75*(1+H75),2)</f>
        <v>140.49</v>
      </c>
      <c r="J75" s="149">
        <f t="shared" ref="J75:J80" si="21">ROUND(ROUND(F75,2)*ROUND(I75,2),2)</f>
        <v>7176.23</v>
      </c>
    </row>
    <row r="76" spans="1:12" ht="28.5">
      <c r="A76" s="147" t="s">
        <v>225</v>
      </c>
      <c r="B76" s="148">
        <v>101616</v>
      </c>
      <c r="C76" s="164" t="s">
        <v>211</v>
      </c>
      <c r="D76" s="148" t="s">
        <v>119</v>
      </c>
      <c r="E76" s="148" t="s">
        <v>139</v>
      </c>
      <c r="F76" s="149">
        <v>57.95</v>
      </c>
      <c r="G76" s="149">
        <v>7.03</v>
      </c>
      <c r="H76" s="151">
        <f>'14 -BDI-EDIFICAÇÕES - SEM DESON'!$H$23</f>
        <v>0.2222616419077901</v>
      </c>
      <c r="I76" s="149">
        <f t="shared" si="20"/>
        <v>8.59</v>
      </c>
      <c r="J76" s="149">
        <f t="shared" si="21"/>
        <v>497.79</v>
      </c>
      <c r="L76" s="112"/>
    </row>
    <row r="77" spans="1:12" ht="14.25">
      <c r="A77" s="147" t="s">
        <v>226</v>
      </c>
      <c r="B77" s="148">
        <v>96616</v>
      </c>
      <c r="C77" s="164" t="s">
        <v>213</v>
      </c>
      <c r="D77" s="148" t="s">
        <v>119</v>
      </c>
      <c r="E77" s="148" t="s">
        <v>167</v>
      </c>
      <c r="F77" s="149">
        <v>2.9</v>
      </c>
      <c r="G77" s="149">
        <v>861.32</v>
      </c>
      <c r="H77" s="151">
        <f>'14 -BDI-EDIFICAÇÕES - SEM DESON'!$H$23</f>
        <v>0.2222616419077901</v>
      </c>
      <c r="I77" s="149">
        <f t="shared" si="20"/>
        <v>1052.76</v>
      </c>
      <c r="J77" s="149">
        <f t="shared" si="21"/>
        <v>3053</v>
      </c>
      <c r="L77" s="112"/>
    </row>
    <row r="78" spans="1:12" ht="28.5">
      <c r="A78" s="147" t="s">
        <v>227</v>
      </c>
      <c r="B78" s="148">
        <v>96542</v>
      </c>
      <c r="C78" s="164" t="s">
        <v>228</v>
      </c>
      <c r="D78" s="148" t="s">
        <v>119</v>
      </c>
      <c r="E78" s="148" t="s">
        <v>139</v>
      </c>
      <c r="F78" s="149">
        <v>170.08</v>
      </c>
      <c r="G78" s="149">
        <v>96.91</v>
      </c>
      <c r="H78" s="151">
        <f>'14 -BDI-EDIFICAÇÕES - SEM DESON'!$H$23</f>
        <v>0.2222616419077901</v>
      </c>
      <c r="I78" s="149">
        <f t="shared" si="20"/>
        <v>118.45</v>
      </c>
      <c r="J78" s="149">
        <f t="shared" si="21"/>
        <v>20145.98</v>
      </c>
      <c r="L78" s="112"/>
    </row>
    <row r="79" spans="1:12" ht="28.5">
      <c r="A79" s="147" t="s">
        <v>229</v>
      </c>
      <c r="B79" s="148">
        <v>96557</v>
      </c>
      <c r="C79" s="164" t="s">
        <v>217</v>
      </c>
      <c r="D79" s="148" t="s">
        <v>119</v>
      </c>
      <c r="E79" s="148" t="s">
        <v>167</v>
      </c>
      <c r="F79" s="149">
        <v>14.59</v>
      </c>
      <c r="G79" s="149">
        <v>686.22</v>
      </c>
      <c r="H79" s="151">
        <f>'14 -BDI-EDIFICAÇÕES - SEM DESON'!$H$23</f>
        <v>0.2222616419077901</v>
      </c>
      <c r="I79" s="149">
        <f t="shared" si="20"/>
        <v>838.74</v>
      </c>
      <c r="J79" s="149">
        <f t="shared" si="21"/>
        <v>12237.22</v>
      </c>
      <c r="L79" s="112"/>
    </row>
    <row r="80" spans="1:12" ht="14.25">
      <c r="A80" s="147" t="s">
        <v>230</v>
      </c>
      <c r="B80" s="148">
        <v>93382</v>
      </c>
      <c r="C80" s="164" t="s">
        <v>220</v>
      </c>
      <c r="D80" s="148" t="s">
        <v>119</v>
      </c>
      <c r="E80" s="148" t="s">
        <v>167</v>
      </c>
      <c r="F80" s="149">
        <v>36.729999999999997</v>
      </c>
      <c r="G80" s="149">
        <v>27.15</v>
      </c>
      <c r="H80" s="151">
        <f>'14 -BDI-EDIFICAÇÕES - SEM DESON'!$H$23</f>
        <v>0.2222616419077901</v>
      </c>
      <c r="I80" s="149">
        <f t="shared" si="20"/>
        <v>33.18</v>
      </c>
      <c r="J80" s="149">
        <f t="shared" si="21"/>
        <v>1218.7</v>
      </c>
      <c r="L80" s="112"/>
    </row>
    <row r="81" spans="1:12" s="112" customFormat="1" ht="29.25" customHeight="1">
      <c r="A81" s="109" t="s">
        <v>231</v>
      </c>
      <c r="B81" s="145" t="s">
        <v>466</v>
      </c>
      <c r="C81" s="143"/>
      <c r="D81" s="143"/>
      <c r="E81" s="143"/>
      <c r="F81" s="143"/>
      <c r="G81" s="143"/>
      <c r="H81" s="143"/>
      <c r="I81" s="144"/>
      <c r="J81" s="113">
        <f>SUM(J82:J87)</f>
        <v>39011.910000000003</v>
      </c>
    </row>
    <row r="82" spans="1:12" s="112" customFormat="1" ht="14.25">
      <c r="A82" s="147" t="s">
        <v>232</v>
      </c>
      <c r="B82" s="148">
        <v>96543</v>
      </c>
      <c r="C82" s="164" t="s">
        <v>242</v>
      </c>
      <c r="D82" s="148" t="s">
        <v>119</v>
      </c>
      <c r="E82" s="148" t="s">
        <v>200</v>
      </c>
      <c r="F82" s="149">
        <v>310</v>
      </c>
      <c r="G82" s="149">
        <v>21.8</v>
      </c>
      <c r="H82" s="151">
        <f>'14 -BDI-EDIFICAÇÕES - SEM DESON'!$H$23</f>
        <v>0.2222616419077901</v>
      </c>
      <c r="I82" s="149">
        <f t="shared" ref="I82:I87" si="22">ROUND(G82*(1+H82),2)</f>
        <v>26.65</v>
      </c>
      <c r="J82" s="149">
        <f t="shared" ref="J82:J87" si="23">ROUND(ROUND(F82,2)*ROUND(I82,2),2)</f>
        <v>8261.5</v>
      </c>
    </row>
    <row r="83" spans="1:12" ht="14.25">
      <c r="A83" s="147" t="s">
        <v>233</v>
      </c>
      <c r="B83" s="148">
        <v>96544</v>
      </c>
      <c r="C83" s="164" t="s">
        <v>243</v>
      </c>
      <c r="D83" s="148" t="s">
        <v>119</v>
      </c>
      <c r="E83" s="148" t="s">
        <v>200</v>
      </c>
      <c r="F83" s="149">
        <v>29</v>
      </c>
      <c r="G83" s="149">
        <v>19.510000000000002</v>
      </c>
      <c r="H83" s="151">
        <f>'14 -BDI-EDIFICAÇÕES - SEM DESON'!$H$23</f>
        <v>0.2222616419077901</v>
      </c>
      <c r="I83" s="149">
        <f t="shared" si="22"/>
        <v>23.85</v>
      </c>
      <c r="J83" s="149">
        <f t="shared" si="23"/>
        <v>691.65</v>
      </c>
      <c r="L83" s="112"/>
    </row>
    <row r="84" spans="1:12" ht="14.25">
      <c r="A84" s="147" t="s">
        <v>234</v>
      </c>
      <c r="B84" s="148">
        <v>96545</v>
      </c>
      <c r="C84" s="164" t="s">
        <v>244</v>
      </c>
      <c r="D84" s="148" t="s">
        <v>119</v>
      </c>
      <c r="E84" s="148" t="s">
        <v>200</v>
      </c>
      <c r="F84" s="149">
        <v>8</v>
      </c>
      <c r="G84" s="149">
        <v>17.489999999999998</v>
      </c>
      <c r="H84" s="151">
        <f>'14 -BDI-EDIFICAÇÕES - SEM DESON'!$H$23</f>
        <v>0.2222616419077901</v>
      </c>
      <c r="I84" s="149">
        <f t="shared" si="22"/>
        <v>21.38</v>
      </c>
      <c r="J84" s="149">
        <f t="shared" si="23"/>
        <v>171.04</v>
      </c>
      <c r="L84" s="112"/>
    </row>
    <row r="85" spans="1:12" ht="14.25">
      <c r="A85" s="147" t="s">
        <v>235</v>
      </c>
      <c r="B85" s="148">
        <v>96546</v>
      </c>
      <c r="C85" s="164" t="s">
        <v>245</v>
      </c>
      <c r="D85" s="148" t="s">
        <v>119</v>
      </c>
      <c r="E85" s="148" t="s">
        <v>200</v>
      </c>
      <c r="F85" s="149">
        <v>1481</v>
      </c>
      <c r="G85" s="149">
        <v>15.23</v>
      </c>
      <c r="H85" s="151">
        <f>'14 -BDI-EDIFICAÇÕES - SEM DESON'!$H$23</f>
        <v>0.2222616419077901</v>
      </c>
      <c r="I85" s="149">
        <f t="shared" si="22"/>
        <v>18.62</v>
      </c>
      <c r="J85" s="149">
        <f t="shared" si="23"/>
        <v>27576.22</v>
      </c>
      <c r="L85" s="112"/>
    </row>
    <row r="86" spans="1:12" ht="28.5">
      <c r="A86" s="147" t="s">
        <v>2199</v>
      </c>
      <c r="B86" s="148">
        <v>104920</v>
      </c>
      <c r="C86" s="164" t="s">
        <v>246</v>
      </c>
      <c r="D86" s="148" t="s">
        <v>119</v>
      </c>
      <c r="E86" s="148" t="s">
        <v>200</v>
      </c>
      <c r="F86" s="149">
        <v>95</v>
      </c>
      <c r="G86" s="149">
        <v>11.67</v>
      </c>
      <c r="H86" s="151">
        <f>'14 -BDI-EDIFICAÇÕES - SEM DESON'!$H$23</f>
        <v>0.2222616419077901</v>
      </c>
      <c r="I86" s="149">
        <f t="shared" si="22"/>
        <v>14.26</v>
      </c>
      <c r="J86" s="149">
        <f t="shared" si="23"/>
        <v>1354.7</v>
      </c>
      <c r="L86" s="112"/>
    </row>
    <row r="87" spans="1:12" ht="28.5">
      <c r="A87" s="147" t="s">
        <v>2432</v>
      </c>
      <c r="B87" s="148">
        <v>104922</v>
      </c>
      <c r="C87" s="164" t="s">
        <v>2433</v>
      </c>
      <c r="D87" s="148" t="s">
        <v>119</v>
      </c>
      <c r="E87" s="148" t="s">
        <v>200</v>
      </c>
      <c r="F87" s="149">
        <v>65</v>
      </c>
      <c r="G87" s="149">
        <v>12.04</v>
      </c>
      <c r="H87" s="151">
        <f>'14 -BDI-EDIFICAÇÕES - SEM DESON'!$H$23</f>
        <v>0.2222616419077901</v>
      </c>
      <c r="I87" s="149">
        <f t="shared" si="22"/>
        <v>14.72</v>
      </c>
      <c r="J87" s="149">
        <f t="shared" si="23"/>
        <v>956.8</v>
      </c>
      <c r="L87" s="112"/>
    </row>
    <row r="88" spans="1:12" s="112" customFormat="1" ht="29.25" customHeight="1">
      <c r="A88" s="109" t="s">
        <v>40</v>
      </c>
      <c r="B88" s="145" t="s">
        <v>236</v>
      </c>
      <c r="C88" s="143"/>
      <c r="D88" s="143"/>
      <c r="E88" s="143"/>
      <c r="F88" s="143"/>
      <c r="G88" s="143"/>
      <c r="H88" s="143"/>
      <c r="I88" s="144"/>
      <c r="J88" s="113">
        <f>J89</f>
        <v>68591.22</v>
      </c>
    </row>
    <row r="89" spans="1:12" s="112" customFormat="1" ht="29.25" customHeight="1">
      <c r="A89" s="109" t="s">
        <v>237</v>
      </c>
      <c r="B89" s="145" t="s">
        <v>241</v>
      </c>
      <c r="C89" s="143"/>
      <c r="D89" s="143"/>
      <c r="E89" s="143"/>
      <c r="F89" s="143"/>
      <c r="G89" s="143"/>
      <c r="H89" s="143"/>
      <c r="I89" s="144"/>
      <c r="J89" s="113">
        <f>SUM(J90:J95)</f>
        <v>68591.22</v>
      </c>
    </row>
    <row r="90" spans="1:12" s="112" customFormat="1" ht="28.5">
      <c r="A90" s="147" t="s">
        <v>239</v>
      </c>
      <c r="B90" s="148" t="s">
        <v>2227</v>
      </c>
      <c r="C90" s="164" t="s">
        <v>3980</v>
      </c>
      <c r="D90" s="148" t="s">
        <v>1881</v>
      </c>
      <c r="E90" s="148" t="s">
        <v>139</v>
      </c>
      <c r="F90" s="149">
        <v>113.3</v>
      </c>
      <c r="G90" s="149">
        <f>'5 - R. ANALÍTICO - MODIFICAD'!$H$2092</f>
        <v>353.89000000000004</v>
      </c>
      <c r="H90" s="151">
        <f>'14 -BDI-EDIFICAÇÕES - SEM DESON'!$H$23</f>
        <v>0.2222616419077901</v>
      </c>
      <c r="I90" s="149">
        <f t="shared" ref="I90:I94" si="24">ROUND(G90*(1+H90),2)</f>
        <v>432.55</v>
      </c>
      <c r="J90" s="149">
        <f t="shared" ref="J90:J94" si="25">ROUND(ROUND(F90,2)*ROUND(I90,2),2)</f>
        <v>49007.92</v>
      </c>
    </row>
    <row r="91" spans="1:12" ht="28.5">
      <c r="A91" s="147" t="s">
        <v>2270</v>
      </c>
      <c r="B91" s="148">
        <v>98546</v>
      </c>
      <c r="C91" s="164" t="s">
        <v>1055</v>
      </c>
      <c r="D91" s="148" t="s">
        <v>119</v>
      </c>
      <c r="E91" s="148" t="s">
        <v>139</v>
      </c>
      <c r="F91" s="149">
        <v>55.87</v>
      </c>
      <c r="G91" s="149">
        <v>119.73</v>
      </c>
      <c r="H91" s="151">
        <f>'14 -BDI-EDIFICAÇÕES - SEM DESON'!$H$23</f>
        <v>0.2222616419077901</v>
      </c>
      <c r="I91" s="149">
        <f t="shared" si="24"/>
        <v>146.34</v>
      </c>
      <c r="J91" s="149">
        <f t="shared" si="25"/>
        <v>8176.02</v>
      </c>
      <c r="L91" s="112"/>
    </row>
    <row r="92" spans="1:12" s="112" customFormat="1" ht="28.5">
      <c r="A92" s="147" t="s">
        <v>2271</v>
      </c>
      <c r="B92" s="148">
        <v>98565</v>
      </c>
      <c r="C92" s="164" t="s">
        <v>1056</v>
      </c>
      <c r="D92" s="148" t="s">
        <v>119</v>
      </c>
      <c r="E92" s="148" t="s">
        <v>139</v>
      </c>
      <c r="F92" s="149">
        <v>55.87</v>
      </c>
      <c r="G92" s="149">
        <v>54.43</v>
      </c>
      <c r="H92" s="151">
        <f>'14 -BDI-EDIFICAÇÕES - SEM DESON'!$H$23</f>
        <v>0.2222616419077901</v>
      </c>
      <c r="I92" s="149">
        <f t="shared" si="24"/>
        <v>66.53</v>
      </c>
      <c r="J92" s="149">
        <f t="shared" si="25"/>
        <v>3717.03</v>
      </c>
    </row>
    <row r="93" spans="1:12" s="112" customFormat="1" ht="14.25">
      <c r="A93" s="147" t="s">
        <v>2272</v>
      </c>
      <c r="B93" s="148" t="s">
        <v>2001</v>
      </c>
      <c r="C93" s="164" t="s">
        <v>2751</v>
      </c>
      <c r="D93" s="148" t="s">
        <v>1881</v>
      </c>
      <c r="E93" s="148" t="s">
        <v>139</v>
      </c>
      <c r="F93" s="149">
        <v>0.64</v>
      </c>
      <c r="G93" s="149">
        <f>'5 - R. ANALÍTICO - MODIFICAD'!$H$1876</f>
        <v>1426.02</v>
      </c>
      <c r="H93" s="151">
        <f>'14 -BDI-EDIFICAÇÕES - SEM DESON'!$H$23</f>
        <v>0.2222616419077901</v>
      </c>
      <c r="I93" s="149">
        <f t="shared" si="24"/>
        <v>1742.97</v>
      </c>
      <c r="J93" s="149">
        <f t="shared" si="25"/>
        <v>1115.5</v>
      </c>
    </row>
    <row r="94" spans="1:12" s="112" customFormat="1" ht="28.5">
      <c r="A94" s="147" t="s">
        <v>2750</v>
      </c>
      <c r="B94" s="148" t="s">
        <v>2812</v>
      </c>
      <c r="C94" s="164" t="s">
        <v>2813</v>
      </c>
      <c r="D94" s="148" t="s">
        <v>1881</v>
      </c>
      <c r="E94" s="148" t="s">
        <v>173</v>
      </c>
      <c r="F94" s="149">
        <v>5.32</v>
      </c>
      <c r="G94" s="149">
        <f>'5 - R. ANALÍTICO - MODIFICAD'!$H$888</f>
        <v>976.87000000000012</v>
      </c>
      <c r="H94" s="151">
        <f>'14 -BDI-EDIFICAÇÕES - SEM DESON'!$H$23</f>
        <v>0.2222616419077901</v>
      </c>
      <c r="I94" s="149">
        <f t="shared" si="24"/>
        <v>1193.99</v>
      </c>
      <c r="J94" s="149">
        <f t="shared" si="25"/>
        <v>6352.03</v>
      </c>
    </row>
    <row r="95" spans="1:12" ht="14.25">
      <c r="A95" s="147" t="s">
        <v>2811</v>
      </c>
      <c r="B95" s="148" t="s">
        <v>1923</v>
      </c>
      <c r="C95" s="164" t="s">
        <v>3349</v>
      </c>
      <c r="D95" s="148" t="s">
        <v>1881</v>
      </c>
      <c r="E95" s="148" t="s">
        <v>144</v>
      </c>
      <c r="F95" s="149">
        <v>2</v>
      </c>
      <c r="G95" s="149">
        <f>'5 - R. ANALÍTICO - MODIFICAD'!$H$2725</f>
        <v>91.11</v>
      </c>
      <c r="H95" s="151">
        <f>'14 -BDI-EDIFICAÇÕES - SEM DESON'!$H$23</f>
        <v>0.2222616419077901</v>
      </c>
      <c r="I95" s="149">
        <f t="shared" ref="I95" si="26">ROUND(G95*(1+H95),2)</f>
        <v>111.36</v>
      </c>
      <c r="J95" s="149">
        <f t="shared" ref="J95" si="27">ROUND(ROUND(F95,2)*ROUND(I95,2),2)</f>
        <v>222.72</v>
      </c>
      <c r="L95" s="112"/>
    </row>
    <row r="96" spans="1:12" s="112" customFormat="1" ht="29.25" customHeight="1">
      <c r="A96" s="109" t="s">
        <v>41</v>
      </c>
      <c r="B96" s="145" t="s">
        <v>249</v>
      </c>
      <c r="C96" s="143"/>
      <c r="D96" s="143"/>
      <c r="E96" s="143"/>
      <c r="F96" s="143"/>
      <c r="G96" s="143"/>
      <c r="H96" s="143"/>
      <c r="I96" s="144"/>
      <c r="J96" s="113">
        <f>SUM(J97:J102)</f>
        <v>299135.67</v>
      </c>
    </row>
    <row r="97" spans="1:12" s="112" customFormat="1" ht="42.75">
      <c r="A97" s="147" t="s">
        <v>2273</v>
      </c>
      <c r="B97" s="148" t="s">
        <v>1891</v>
      </c>
      <c r="C97" s="164" t="s">
        <v>3713</v>
      </c>
      <c r="D97" s="148" t="s">
        <v>1881</v>
      </c>
      <c r="E97" s="148" t="s">
        <v>200</v>
      </c>
      <c r="F97" s="149">
        <v>3785</v>
      </c>
      <c r="G97" s="149">
        <f>'5 - R. ANALÍTICO - MODIFICAD'!$H$1187</f>
        <v>13.67</v>
      </c>
      <c r="H97" s="151">
        <f>'14 -BDI-EDIFICAÇÕES - SEM DESON'!$H$23</f>
        <v>0.2222616419077901</v>
      </c>
      <c r="I97" s="149">
        <f t="shared" ref="I97:I100" si="28">ROUND(G97*(1+H97),2)</f>
        <v>16.71</v>
      </c>
      <c r="J97" s="149">
        <f t="shared" ref="J97:J100" si="29">ROUND(ROUND(F97,2)*ROUND(I97,2),2)</f>
        <v>63247.35</v>
      </c>
    </row>
    <row r="98" spans="1:12" s="112" customFormat="1" ht="42.75">
      <c r="A98" s="147" t="s">
        <v>2274</v>
      </c>
      <c r="B98" s="148" t="s">
        <v>3714</v>
      </c>
      <c r="C98" s="164" t="s">
        <v>3715</v>
      </c>
      <c r="D98" s="148" t="s">
        <v>1881</v>
      </c>
      <c r="E98" s="148" t="s">
        <v>200</v>
      </c>
      <c r="F98" s="149">
        <v>9261.1</v>
      </c>
      <c r="G98" s="149">
        <f>'5 - R. ANALÍTICO - MODIFICAD'!$H$1211</f>
        <v>15.14</v>
      </c>
      <c r="H98" s="151">
        <f>'14 -BDI-EDIFICAÇÕES - SEM DESON'!$H$23</f>
        <v>0.2222616419077901</v>
      </c>
      <c r="I98" s="149">
        <f t="shared" ref="I98" si="30">ROUND(G98*(1+H98),2)</f>
        <v>18.510000000000002</v>
      </c>
      <c r="J98" s="149">
        <f t="shared" ref="J98" si="31">ROUND(ROUND(F98,2)*ROUND(I98,2),2)</f>
        <v>171422.96</v>
      </c>
    </row>
    <row r="99" spans="1:12" s="112" customFormat="1" ht="28.5">
      <c r="A99" s="147" t="s">
        <v>2275</v>
      </c>
      <c r="B99" s="148">
        <v>100721</v>
      </c>
      <c r="C99" s="164" t="s">
        <v>1072</v>
      </c>
      <c r="D99" s="148" t="s">
        <v>119</v>
      </c>
      <c r="E99" s="148" t="s">
        <v>139</v>
      </c>
      <c r="F99" s="149">
        <v>607.75</v>
      </c>
      <c r="G99" s="149">
        <v>27.9</v>
      </c>
      <c r="H99" s="151">
        <f>'14 -BDI-EDIFICAÇÕES - SEM DESON'!$H$23</f>
        <v>0.2222616419077901</v>
      </c>
      <c r="I99" s="149">
        <f t="shared" si="28"/>
        <v>34.1</v>
      </c>
      <c r="J99" s="149">
        <f t="shared" si="29"/>
        <v>20724.28</v>
      </c>
    </row>
    <row r="100" spans="1:12" s="112" customFormat="1" ht="28.5">
      <c r="A100" s="147" t="s">
        <v>2936</v>
      </c>
      <c r="B100" s="148">
        <v>100757</v>
      </c>
      <c r="C100" s="164" t="s">
        <v>2504</v>
      </c>
      <c r="D100" s="148" t="s">
        <v>119</v>
      </c>
      <c r="E100" s="148" t="s">
        <v>139</v>
      </c>
      <c r="F100" s="149">
        <v>607.75</v>
      </c>
      <c r="G100" s="149">
        <v>55</v>
      </c>
      <c r="H100" s="151">
        <f>'14 -BDI-EDIFICAÇÕES - SEM DESON'!$H$23</f>
        <v>0.2222616419077901</v>
      </c>
      <c r="I100" s="149">
        <f t="shared" si="28"/>
        <v>67.22</v>
      </c>
      <c r="J100" s="149">
        <f t="shared" si="29"/>
        <v>40852.959999999999</v>
      </c>
    </row>
    <row r="101" spans="1:12" s="112" customFormat="1" ht="42.75">
      <c r="A101" s="147" t="s">
        <v>2938</v>
      </c>
      <c r="B101" s="148">
        <v>92916</v>
      </c>
      <c r="C101" s="164" t="s">
        <v>2937</v>
      </c>
      <c r="D101" s="148" t="s">
        <v>119</v>
      </c>
      <c r="E101" s="148" t="s">
        <v>200</v>
      </c>
      <c r="F101" s="149">
        <v>93.87</v>
      </c>
      <c r="G101" s="149">
        <v>16.61</v>
      </c>
      <c r="H101" s="151">
        <f>'14 -BDI-EDIFICAÇÕES - SEM DESON'!$H$23</f>
        <v>0.2222616419077901</v>
      </c>
      <c r="I101" s="149">
        <f t="shared" ref="I101:I102" si="32">ROUND(G101*(1+H101),2)</f>
        <v>20.3</v>
      </c>
      <c r="J101" s="149">
        <f t="shared" ref="J101:J102" si="33">ROUND(ROUND(F101,2)*ROUND(I101,2),2)</f>
        <v>1905.56</v>
      </c>
    </row>
    <row r="102" spans="1:12" s="112" customFormat="1" ht="14.25">
      <c r="A102" s="147" t="s">
        <v>3712</v>
      </c>
      <c r="B102" s="148" t="s">
        <v>2939</v>
      </c>
      <c r="C102" s="164" t="s">
        <v>2940</v>
      </c>
      <c r="D102" s="148" t="s">
        <v>1881</v>
      </c>
      <c r="E102" s="148" t="s">
        <v>173</v>
      </c>
      <c r="F102" s="149">
        <v>48</v>
      </c>
      <c r="G102" s="149">
        <f>'5 - R. ANALÍTICO - MODIFICAD'!$H$2352</f>
        <v>16.75</v>
      </c>
      <c r="H102" s="151">
        <f>'14 -BDI-EDIFICAÇÕES - SEM DESON'!$H$23</f>
        <v>0.2222616419077901</v>
      </c>
      <c r="I102" s="149">
        <f t="shared" si="32"/>
        <v>20.47</v>
      </c>
      <c r="J102" s="149">
        <f t="shared" si="33"/>
        <v>982.56</v>
      </c>
    </row>
    <row r="103" spans="1:12" s="112" customFormat="1" ht="29.25" customHeight="1">
      <c r="A103" s="109" t="s">
        <v>888</v>
      </c>
      <c r="B103" s="145" t="s">
        <v>1057</v>
      </c>
      <c r="C103" s="143"/>
      <c r="D103" s="143"/>
      <c r="E103" s="143"/>
      <c r="F103" s="143"/>
      <c r="G103" s="143"/>
      <c r="H103" s="143"/>
      <c r="I103" s="144"/>
      <c r="J103" s="113">
        <f>J104+J131+J138+J152</f>
        <v>613359.03999999992</v>
      </c>
    </row>
    <row r="104" spans="1:12" s="112" customFormat="1" ht="29.25" customHeight="1">
      <c r="A104" s="109" t="s">
        <v>889</v>
      </c>
      <c r="B104" s="145" t="s">
        <v>193</v>
      </c>
      <c r="C104" s="143"/>
      <c r="D104" s="143"/>
      <c r="E104" s="143"/>
      <c r="F104" s="143"/>
      <c r="G104" s="143"/>
      <c r="H104" s="143"/>
      <c r="I104" s="144"/>
      <c r="J104" s="113">
        <f>J105+J111+J118+J125</f>
        <v>163735.16999999998</v>
      </c>
    </row>
    <row r="105" spans="1:12" s="112" customFormat="1" ht="29.25" customHeight="1">
      <c r="A105" s="109" t="s">
        <v>890</v>
      </c>
      <c r="B105" s="145" t="s">
        <v>195</v>
      </c>
      <c r="C105" s="143"/>
      <c r="D105" s="143"/>
      <c r="E105" s="143"/>
      <c r="F105" s="143"/>
      <c r="G105" s="143"/>
      <c r="H105" s="143"/>
      <c r="I105" s="144"/>
      <c r="J105" s="113">
        <f>SUM(J106:J110)</f>
        <v>66361.899999999994</v>
      </c>
    </row>
    <row r="106" spans="1:12" ht="28.5">
      <c r="A106" s="147" t="s">
        <v>891</v>
      </c>
      <c r="B106" s="148" t="s">
        <v>1892</v>
      </c>
      <c r="C106" s="164" t="s">
        <v>3612</v>
      </c>
      <c r="D106" s="148" t="s">
        <v>1881</v>
      </c>
      <c r="E106" s="148" t="s">
        <v>173</v>
      </c>
      <c r="F106" s="149">
        <v>216</v>
      </c>
      <c r="G106" s="149">
        <f>'5 - R. ANALÍTICO - MODIFICAD'!$H$186</f>
        <v>115.87</v>
      </c>
      <c r="H106" s="151">
        <f>'14 -BDI-EDIFICAÇÕES - SEM DESON'!$H$23</f>
        <v>0.2222616419077901</v>
      </c>
      <c r="I106" s="149">
        <f t="shared" ref="I106:I110" si="34">ROUND(G106*(1+H106),2)</f>
        <v>141.62</v>
      </c>
      <c r="J106" s="149">
        <f t="shared" ref="J106:J110" si="35">ROUND(ROUND(F106,2)*ROUND(I106,2),2)</f>
        <v>30589.919999999998</v>
      </c>
      <c r="L106" s="112"/>
    </row>
    <row r="107" spans="1:12" ht="28.5">
      <c r="A107" s="147" t="s">
        <v>892</v>
      </c>
      <c r="B107" s="148" t="s">
        <v>2105</v>
      </c>
      <c r="C107" s="164" t="s">
        <v>2106</v>
      </c>
      <c r="D107" s="148" t="s">
        <v>1881</v>
      </c>
      <c r="E107" s="148" t="s">
        <v>173</v>
      </c>
      <c r="F107" s="149">
        <v>218</v>
      </c>
      <c r="G107" s="149">
        <f>'5 - R. ANALÍTICO - MODIFICAD'!$H$114</f>
        <v>52.16</v>
      </c>
      <c r="H107" s="151">
        <f>'14 -BDI-EDIFICAÇÕES - SEM DESON'!$H$23</f>
        <v>0.2222616419077901</v>
      </c>
      <c r="I107" s="149">
        <f t="shared" si="34"/>
        <v>63.75</v>
      </c>
      <c r="J107" s="149">
        <f t="shared" si="35"/>
        <v>13897.5</v>
      </c>
      <c r="L107" s="112"/>
    </row>
    <row r="108" spans="1:12" ht="28.5">
      <c r="A108" s="147" t="s">
        <v>2276</v>
      </c>
      <c r="B108" s="148">
        <v>95592</v>
      </c>
      <c r="C108" s="164" t="s">
        <v>2866</v>
      </c>
      <c r="D108" s="148" t="s">
        <v>119</v>
      </c>
      <c r="E108" s="148" t="s">
        <v>200</v>
      </c>
      <c r="F108" s="149">
        <v>249</v>
      </c>
      <c r="G108" s="149">
        <v>17.440000000000001</v>
      </c>
      <c r="H108" s="151">
        <f>'14 -BDI-EDIFICAÇÕES - SEM DESON'!$H$23</f>
        <v>0.2222616419077901</v>
      </c>
      <c r="I108" s="149">
        <f t="shared" ref="I108:I109" si="36">ROUND(G108*(1+H108),2)</f>
        <v>21.32</v>
      </c>
      <c r="J108" s="149">
        <f t="shared" ref="J108:J109" si="37">ROUND(ROUND(F108,2)*ROUND(I108,2),2)</f>
        <v>5308.68</v>
      </c>
      <c r="L108" s="112"/>
    </row>
    <row r="109" spans="1:12" ht="14.25">
      <c r="A109" s="147" t="s">
        <v>2934</v>
      </c>
      <c r="B109" s="148">
        <v>95577</v>
      </c>
      <c r="C109" s="164" t="s">
        <v>2867</v>
      </c>
      <c r="D109" s="148" t="s">
        <v>119</v>
      </c>
      <c r="E109" s="148" t="s">
        <v>200</v>
      </c>
      <c r="F109" s="149">
        <v>940</v>
      </c>
      <c r="G109" s="149">
        <v>11.54</v>
      </c>
      <c r="H109" s="151">
        <f>'14 -BDI-EDIFICAÇÕES - SEM DESON'!$H$23</f>
        <v>0.2222616419077901</v>
      </c>
      <c r="I109" s="149">
        <f t="shared" si="36"/>
        <v>14.1</v>
      </c>
      <c r="J109" s="149">
        <f t="shared" si="37"/>
        <v>13254</v>
      </c>
      <c r="L109" s="112"/>
    </row>
    <row r="110" spans="1:12" s="112" customFormat="1" ht="14.25">
      <c r="A110" s="147" t="s">
        <v>2935</v>
      </c>
      <c r="B110" s="148">
        <v>95601</v>
      </c>
      <c r="C110" s="164" t="s">
        <v>204</v>
      </c>
      <c r="D110" s="148" t="s">
        <v>119</v>
      </c>
      <c r="E110" s="148" t="s">
        <v>144</v>
      </c>
      <c r="F110" s="149">
        <v>145</v>
      </c>
      <c r="G110" s="149">
        <v>18.690000000000001</v>
      </c>
      <c r="H110" s="151">
        <f>'14 -BDI-EDIFICAÇÕES - SEM DESON'!$H$23</f>
        <v>0.2222616419077901</v>
      </c>
      <c r="I110" s="149">
        <f t="shared" si="34"/>
        <v>22.84</v>
      </c>
      <c r="J110" s="149">
        <f t="shared" si="35"/>
        <v>3311.8</v>
      </c>
    </row>
    <row r="111" spans="1:12" s="112" customFormat="1" ht="29.25" customHeight="1">
      <c r="A111" s="109" t="s">
        <v>893</v>
      </c>
      <c r="B111" s="145" t="s">
        <v>206</v>
      </c>
      <c r="C111" s="143"/>
      <c r="D111" s="143"/>
      <c r="E111" s="143"/>
      <c r="F111" s="143"/>
      <c r="G111" s="143"/>
      <c r="H111" s="143"/>
      <c r="I111" s="144"/>
      <c r="J111" s="113">
        <f>SUM(J112:J117)</f>
        <v>8813.98</v>
      </c>
    </row>
    <row r="112" spans="1:12" ht="28.5">
      <c r="A112" s="147" t="s">
        <v>894</v>
      </c>
      <c r="B112" s="148">
        <v>96523</v>
      </c>
      <c r="C112" s="164" t="s">
        <v>208</v>
      </c>
      <c r="D112" s="148" t="s">
        <v>119</v>
      </c>
      <c r="E112" s="148" t="s">
        <v>167</v>
      </c>
      <c r="F112" s="149">
        <v>6.91</v>
      </c>
      <c r="G112" s="149">
        <v>104.51</v>
      </c>
      <c r="H112" s="151">
        <f>'14 -BDI-EDIFICAÇÕES - SEM DESON'!$H$23</f>
        <v>0.2222616419077901</v>
      </c>
      <c r="I112" s="149">
        <f t="shared" ref="I112:I117" si="38">ROUND(G112*(1+H112),2)</f>
        <v>127.74</v>
      </c>
      <c r="J112" s="149">
        <f t="shared" ref="J112:J117" si="39">ROUND(ROUND(F112,2)*ROUND(I112,2),2)</f>
        <v>882.68</v>
      </c>
      <c r="L112" s="112"/>
    </row>
    <row r="113" spans="1:12" ht="28.5">
      <c r="A113" s="147" t="s">
        <v>895</v>
      </c>
      <c r="B113" s="148">
        <v>101616</v>
      </c>
      <c r="C113" s="164" t="s">
        <v>211</v>
      </c>
      <c r="D113" s="148" t="s">
        <v>119</v>
      </c>
      <c r="E113" s="148" t="s">
        <v>139</v>
      </c>
      <c r="F113" s="149">
        <v>6.48</v>
      </c>
      <c r="G113" s="149">
        <v>7.03</v>
      </c>
      <c r="H113" s="151">
        <f>'14 -BDI-EDIFICAÇÕES - SEM DESON'!$H$23</f>
        <v>0.2222616419077901</v>
      </c>
      <c r="I113" s="149">
        <f t="shared" si="38"/>
        <v>8.59</v>
      </c>
      <c r="J113" s="149">
        <f t="shared" si="39"/>
        <v>55.66</v>
      </c>
      <c r="L113" s="112"/>
    </row>
    <row r="114" spans="1:12" ht="14.25">
      <c r="A114" s="147" t="s">
        <v>896</v>
      </c>
      <c r="B114" s="148">
        <v>96616</v>
      </c>
      <c r="C114" s="164" t="s">
        <v>213</v>
      </c>
      <c r="D114" s="148" t="s">
        <v>119</v>
      </c>
      <c r="E114" s="148" t="s">
        <v>167</v>
      </c>
      <c r="F114" s="149">
        <v>0.32</v>
      </c>
      <c r="G114" s="149">
        <v>861.32</v>
      </c>
      <c r="H114" s="151">
        <f>'14 -BDI-EDIFICAÇÕES - SEM DESON'!$H$23</f>
        <v>0.2222616419077901</v>
      </c>
      <c r="I114" s="149">
        <f t="shared" si="38"/>
        <v>1052.76</v>
      </c>
      <c r="J114" s="149">
        <f t="shared" si="39"/>
        <v>336.88</v>
      </c>
      <c r="L114" s="112"/>
    </row>
    <row r="115" spans="1:12" ht="28.5">
      <c r="A115" s="147" t="s">
        <v>897</v>
      </c>
      <c r="B115" s="148">
        <v>96540</v>
      </c>
      <c r="C115" s="164" t="s">
        <v>215</v>
      </c>
      <c r="D115" s="148" t="s">
        <v>119</v>
      </c>
      <c r="E115" s="148" t="s">
        <v>139</v>
      </c>
      <c r="F115" s="149">
        <v>25.92</v>
      </c>
      <c r="G115" s="149">
        <v>130.03</v>
      </c>
      <c r="H115" s="151">
        <f>'14 -BDI-EDIFICAÇÕES - SEM DESON'!$H$23</f>
        <v>0.2222616419077901</v>
      </c>
      <c r="I115" s="149">
        <f t="shared" si="38"/>
        <v>158.93</v>
      </c>
      <c r="J115" s="149">
        <f t="shared" si="39"/>
        <v>4119.47</v>
      </c>
      <c r="L115" s="112"/>
    </row>
    <row r="116" spans="1:12" ht="28.5">
      <c r="A116" s="147" t="s">
        <v>898</v>
      </c>
      <c r="B116" s="148">
        <v>96557</v>
      </c>
      <c r="C116" s="164" t="s">
        <v>217</v>
      </c>
      <c r="D116" s="148" t="s">
        <v>119</v>
      </c>
      <c r="E116" s="148" t="s">
        <v>167</v>
      </c>
      <c r="F116" s="149">
        <v>3.96</v>
      </c>
      <c r="G116" s="149">
        <v>686.22</v>
      </c>
      <c r="H116" s="151">
        <f>'14 -BDI-EDIFICAÇÕES - SEM DESON'!$H$23</f>
        <v>0.2222616419077901</v>
      </c>
      <c r="I116" s="149">
        <f t="shared" si="38"/>
        <v>838.74</v>
      </c>
      <c r="J116" s="149">
        <f t="shared" si="39"/>
        <v>3321.41</v>
      </c>
      <c r="L116" s="112"/>
    </row>
    <row r="117" spans="1:12" s="112" customFormat="1" ht="14.25">
      <c r="A117" s="147" t="s">
        <v>899</v>
      </c>
      <c r="B117" s="148">
        <v>93382</v>
      </c>
      <c r="C117" s="164" t="s">
        <v>220</v>
      </c>
      <c r="D117" s="148" t="s">
        <v>119</v>
      </c>
      <c r="E117" s="148" t="s">
        <v>167</v>
      </c>
      <c r="F117" s="149">
        <v>2.95</v>
      </c>
      <c r="G117" s="149">
        <v>27.15</v>
      </c>
      <c r="H117" s="151">
        <f>'14 -BDI-EDIFICAÇÕES - SEM DESON'!$H$23</f>
        <v>0.2222616419077901</v>
      </c>
      <c r="I117" s="149">
        <f t="shared" si="38"/>
        <v>33.18</v>
      </c>
      <c r="J117" s="149">
        <f t="shared" si="39"/>
        <v>97.88</v>
      </c>
    </row>
    <row r="118" spans="1:12" s="112" customFormat="1" ht="29.25" customHeight="1">
      <c r="A118" s="109" t="s">
        <v>900</v>
      </c>
      <c r="B118" s="145" t="s">
        <v>222</v>
      </c>
      <c r="C118" s="143"/>
      <c r="D118" s="143"/>
      <c r="E118" s="143"/>
      <c r="F118" s="143"/>
      <c r="G118" s="143"/>
      <c r="H118" s="143"/>
      <c r="I118" s="144"/>
      <c r="J118" s="113">
        <f>SUM(J119:J124)</f>
        <v>55480.77</v>
      </c>
    </row>
    <row r="119" spans="1:12" ht="28.5">
      <c r="A119" s="147" t="s">
        <v>901</v>
      </c>
      <c r="B119" s="148">
        <v>96527</v>
      </c>
      <c r="C119" s="164" t="s">
        <v>224</v>
      </c>
      <c r="D119" s="148" t="s">
        <v>119</v>
      </c>
      <c r="E119" s="148" t="s">
        <v>167</v>
      </c>
      <c r="F119" s="149">
        <v>59.51</v>
      </c>
      <c r="G119" s="149">
        <v>114.94</v>
      </c>
      <c r="H119" s="151">
        <f>'14 -BDI-EDIFICAÇÕES - SEM DESON'!$H$23</f>
        <v>0.2222616419077901</v>
      </c>
      <c r="I119" s="149">
        <f t="shared" ref="I119:I124" si="40">ROUND(G119*(1+H119),2)</f>
        <v>140.49</v>
      </c>
      <c r="J119" s="149">
        <f t="shared" ref="J119:J124" si="41">ROUND(ROUND(F119,2)*ROUND(I119,2),2)</f>
        <v>8360.56</v>
      </c>
      <c r="L119" s="112"/>
    </row>
    <row r="120" spans="1:12" ht="28.5">
      <c r="A120" s="147" t="s">
        <v>902</v>
      </c>
      <c r="B120" s="148">
        <v>101616</v>
      </c>
      <c r="C120" s="164" t="s">
        <v>211</v>
      </c>
      <c r="D120" s="148" t="s">
        <v>119</v>
      </c>
      <c r="E120" s="148" t="s">
        <v>139</v>
      </c>
      <c r="F120" s="149">
        <v>83.05</v>
      </c>
      <c r="G120" s="149">
        <v>7.03</v>
      </c>
      <c r="H120" s="151">
        <f>'14 -BDI-EDIFICAÇÕES - SEM DESON'!$H$23</f>
        <v>0.2222616419077901</v>
      </c>
      <c r="I120" s="149">
        <f t="shared" si="40"/>
        <v>8.59</v>
      </c>
      <c r="J120" s="149">
        <f t="shared" si="41"/>
        <v>713.4</v>
      </c>
      <c r="L120" s="112"/>
    </row>
    <row r="121" spans="1:12" ht="14.25">
      <c r="A121" s="147" t="s">
        <v>903</v>
      </c>
      <c r="B121" s="148">
        <v>96616</v>
      </c>
      <c r="C121" s="164" t="s">
        <v>213</v>
      </c>
      <c r="D121" s="148" t="s">
        <v>119</v>
      </c>
      <c r="E121" s="148" t="s">
        <v>167</v>
      </c>
      <c r="F121" s="149">
        <v>4.1500000000000004</v>
      </c>
      <c r="G121" s="149">
        <v>861.32</v>
      </c>
      <c r="H121" s="151">
        <f>'14 -BDI-EDIFICAÇÕES - SEM DESON'!$H$23</f>
        <v>0.2222616419077901</v>
      </c>
      <c r="I121" s="149">
        <f t="shared" si="40"/>
        <v>1052.76</v>
      </c>
      <c r="J121" s="149">
        <f t="shared" si="41"/>
        <v>4368.95</v>
      </c>
      <c r="L121" s="112"/>
    </row>
    <row r="122" spans="1:12" ht="28.5">
      <c r="A122" s="147" t="s">
        <v>904</v>
      </c>
      <c r="B122" s="148">
        <v>96542</v>
      </c>
      <c r="C122" s="164" t="s">
        <v>228</v>
      </c>
      <c r="D122" s="148" t="s">
        <v>119</v>
      </c>
      <c r="E122" s="148" t="s">
        <v>139</v>
      </c>
      <c r="F122" s="149">
        <v>210.85</v>
      </c>
      <c r="G122" s="149">
        <v>96.91</v>
      </c>
      <c r="H122" s="151">
        <f>'14 -BDI-EDIFICAÇÕES - SEM DESON'!$H$23</f>
        <v>0.2222616419077901</v>
      </c>
      <c r="I122" s="149">
        <f t="shared" si="40"/>
        <v>118.45</v>
      </c>
      <c r="J122" s="149">
        <f t="shared" si="41"/>
        <v>24975.18</v>
      </c>
      <c r="L122" s="112"/>
    </row>
    <row r="123" spans="1:12" ht="28.5">
      <c r="A123" s="147" t="s">
        <v>905</v>
      </c>
      <c r="B123" s="148">
        <v>96557</v>
      </c>
      <c r="C123" s="164" t="s">
        <v>217</v>
      </c>
      <c r="D123" s="148" t="s">
        <v>119</v>
      </c>
      <c r="E123" s="148" t="s">
        <v>167</v>
      </c>
      <c r="F123" s="149">
        <v>18.73</v>
      </c>
      <c r="G123" s="149">
        <v>686.22</v>
      </c>
      <c r="H123" s="151">
        <f>'14 -BDI-EDIFICAÇÕES - SEM DESON'!$H$23</f>
        <v>0.2222616419077901</v>
      </c>
      <c r="I123" s="149">
        <f t="shared" si="40"/>
        <v>838.74</v>
      </c>
      <c r="J123" s="149">
        <f t="shared" si="41"/>
        <v>15709.6</v>
      </c>
      <c r="L123" s="112"/>
    </row>
    <row r="124" spans="1:12" s="112" customFormat="1" ht="14.25">
      <c r="A124" s="147" t="s">
        <v>906</v>
      </c>
      <c r="B124" s="148">
        <v>93382</v>
      </c>
      <c r="C124" s="164" t="s">
        <v>220</v>
      </c>
      <c r="D124" s="148" t="s">
        <v>119</v>
      </c>
      <c r="E124" s="148" t="s">
        <v>167</v>
      </c>
      <c r="F124" s="149">
        <v>40.78</v>
      </c>
      <c r="G124" s="149">
        <v>27.15</v>
      </c>
      <c r="H124" s="151">
        <f>'14 -BDI-EDIFICAÇÕES - SEM DESON'!$H$23</f>
        <v>0.2222616419077901</v>
      </c>
      <c r="I124" s="149">
        <f t="shared" si="40"/>
        <v>33.18</v>
      </c>
      <c r="J124" s="149">
        <f t="shared" si="41"/>
        <v>1353.08</v>
      </c>
    </row>
    <row r="125" spans="1:12" s="112" customFormat="1" ht="29.25" customHeight="1">
      <c r="A125" s="109" t="s">
        <v>907</v>
      </c>
      <c r="B125" s="145" t="s">
        <v>466</v>
      </c>
      <c r="C125" s="143"/>
      <c r="D125" s="143"/>
      <c r="E125" s="143"/>
      <c r="F125" s="143"/>
      <c r="G125" s="143"/>
      <c r="H125" s="143"/>
      <c r="I125" s="144"/>
      <c r="J125" s="113">
        <f>SUM(J126:J130)</f>
        <v>33078.519999999997</v>
      </c>
    </row>
    <row r="126" spans="1:12" ht="28.5">
      <c r="A126" s="147" t="s">
        <v>908</v>
      </c>
      <c r="B126" s="148">
        <v>96543</v>
      </c>
      <c r="C126" s="164" t="s">
        <v>911</v>
      </c>
      <c r="D126" s="148" t="s">
        <v>119</v>
      </c>
      <c r="E126" s="148" t="s">
        <v>200</v>
      </c>
      <c r="F126" s="149">
        <v>309.93</v>
      </c>
      <c r="G126" s="149">
        <v>21.8</v>
      </c>
      <c r="H126" s="151">
        <f>'14 -BDI-EDIFICAÇÕES - SEM DESON'!$H$23</f>
        <v>0.2222616419077901</v>
      </c>
      <c r="I126" s="149">
        <f t="shared" ref="I126:I130" si="42">ROUND(G126*(1+H126),2)</f>
        <v>26.65</v>
      </c>
      <c r="J126" s="149">
        <f t="shared" ref="J126:J130" si="43">ROUND(ROUND(F126,2)*ROUND(I126,2),2)</f>
        <v>8259.6299999999992</v>
      </c>
      <c r="L126" s="112"/>
    </row>
    <row r="127" spans="1:12" ht="28.5">
      <c r="A127" s="147" t="s">
        <v>909</v>
      </c>
      <c r="B127" s="148">
        <v>96544</v>
      </c>
      <c r="C127" s="164" t="s">
        <v>912</v>
      </c>
      <c r="D127" s="148" t="s">
        <v>119</v>
      </c>
      <c r="E127" s="148" t="s">
        <v>200</v>
      </c>
      <c r="F127" s="149">
        <v>9</v>
      </c>
      <c r="G127" s="149">
        <v>19.510000000000002</v>
      </c>
      <c r="H127" s="151">
        <f>'14 -BDI-EDIFICAÇÕES - SEM DESON'!$H$23</f>
        <v>0.2222616419077901</v>
      </c>
      <c r="I127" s="149">
        <f t="shared" si="42"/>
        <v>23.85</v>
      </c>
      <c r="J127" s="149">
        <f t="shared" si="43"/>
        <v>214.65</v>
      </c>
      <c r="L127" s="112"/>
    </row>
    <row r="128" spans="1:12" ht="28.5">
      <c r="A128" s="147" t="s">
        <v>1223</v>
      </c>
      <c r="B128" s="148">
        <v>96545</v>
      </c>
      <c r="C128" s="164" t="s">
        <v>1224</v>
      </c>
      <c r="D128" s="148" t="s">
        <v>119</v>
      </c>
      <c r="E128" s="148" t="s">
        <v>200</v>
      </c>
      <c r="F128" s="149">
        <v>42</v>
      </c>
      <c r="G128" s="149">
        <v>17.489999999999998</v>
      </c>
      <c r="H128" s="151">
        <f>'14 -BDI-EDIFICAÇÕES - SEM DESON'!$H$23</f>
        <v>0.2222616419077901</v>
      </c>
      <c r="I128" s="149">
        <f t="shared" si="42"/>
        <v>21.38</v>
      </c>
      <c r="J128" s="149">
        <f t="shared" si="43"/>
        <v>897.96</v>
      </c>
      <c r="L128" s="112"/>
    </row>
    <row r="129" spans="1:12" s="112" customFormat="1" ht="28.5">
      <c r="A129" s="147" t="s">
        <v>910</v>
      </c>
      <c r="B129" s="148">
        <v>96546</v>
      </c>
      <c r="C129" s="164" t="s">
        <v>913</v>
      </c>
      <c r="D129" s="148" t="s">
        <v>119</v>
      </c>
      <c r="E129" s="148" t="s">
        <v>200</v>
      </c>
      <c r="F129" s="149">
        <v>1216.49</v>
      </c>
      <c r="G129" s="149">
        <v>15.23</v>
      </c>
      <c r="H129" s="151">
        <f>'14 -BDI-EDIFICAÇÕES - SEM DESON'!$H$23</f>
        <v>0.2222616419077901</v>
      </c>
      <c r="I129" s="149">
        <f t="shared" si="42"/>
        <v>18.62</v>
      </c>
      <c r="J129" s="149">
        <f t="shared" si="43"/>
        <v>22651.040000000001</v>
      </c>
    </row>
    <row r="130" spans="1:12" s="112" customFormat="1" ht="28.5">
      <c r="A130" s="147" t="s">
        <v>2912</v>
      </c>
      <c r="B130" s="148">
        <v>104920</v>
      </c>
      <c r="C130" s="164" t="s">
        <v>2913</v>
      </c>
      <c r="D130" s="148" t="s">
        <v>119</v>
      </c>
      <c r="E130" s="148" t="s">
        <v>200</v>
      </c>
      <c r="F130" s="149">
        <v>74</v>
      </c>
      <c r="G130" s="149">
        <v>11.67</v>
      </c>
      <c r="H130" s="151">
        <f>'14 -BDI-EDIFICAÇÕES - SEM DESON'!$H$23</f>
        <v>0.2222616419077901</v>
      </c>
      <c r="I130" s="149">
        <f t="shared" si="42"/>
        <v>14.26</v>
      </c>
      <c r="J130" s="149">
        <f t="shared" si="43"/>
        <v>1055.24</v>
      </c>
    </row>
    <row r="131" spans="1:12" s="112" customFormat="1" ht="29.25" customHeight="1">
      <c r="A131" s="109" t="s">
        <v>914</v>
      </c>
      <c r="B131" s="145" t="s">
        <v>236</v>
      </c>
      <c r="C131" s="143"/>
      <c r="D131" s="143"/>
      <c r="E131" s="143"/>
      <c r="F131" s="143"/>
      <c r="G131" s="143"/>
      <c r="H131" s="143"/>
      <c r="I131" s="144"/>
      <c r="J131" s="113">
        <f>J132+J135</f>
        <v>6692.02</v>
      </c>
    </row>
    <row r="132" spans="1:12" s="112" customFormat="1" ht="29.25" customHeight="1">
      <c r="A132" s="109" t="s">
        <v>915</v>
      </c>
      <c r="B132" s="145" t="s">
        <v>238</v>
      </c>
      <c r="C132" s="143"/>
      <c r="D132" s="143"/>
      <c r="E132" s="143"/>
      <c r="F132" s="143"/>
      <c r="G132" s="143"/>
      <c r="H132" s="143"/>
      <c r="I132" s="144"/>
      <c r="J132" s="113">
        <f>SUM(J133:J134)</f>
        <v>1962.6</v>
      </c>
    </row>
    <row r="133" spans="1:12" ht="28.5">
      <c r="A133" s="147" t="s">
        <v>1058</v>
      </c>
      <c r="B133" s="148">
        <v>92431</v>
      </c>
      <c r="C133" s="164" t="s">
        <v>240</v>
      </c>
      <c r="D133" s="148" t="s">
        <v>119</v>
      </c>
      <c r="E133" s="148" t="s">
        <v>139</v>
      </c>
      <c r="F133" s="149">
        <v>16.45</v>
      </c>
      <c r="G133" s="149">
        <v>64.09</v>
      </c>
      <c r="H133" s="151">
        <f>'14 -BDI-EDIFICAÇÕES - SEM DESON'!$H$23</f>
        <v>0.2222616419077901</v>
      </c>
      <c r="I133" s="149">
        <f t="shared" ref="I133:I134" si="44">ROUND(G133*(1+H133),2)</f>
        <v>78.33</v>
      </c>
      <c r="J133" s="149">
        <f t="shared" ref="J133:J134" si="45">ROUND(ROUND(F133,2)*ROUND(I133,2),2)</f>
        <v>1288.53</v>
      </c>
      <c r="L133" s="112"/>
    </row>
    <row r="134" spans="1:12" s="112" customFormat="1" ht="28.5">
      <c r="A134" s="147" t="s">
        <v>1059</v>
      </c>
      <c r="B134" s="148" t="s">
        <v>4191</v>
      </c>
      <c r="C134" s="164" t="s">
        <v>4190</v>
      </c>
      <c r="D134" s="148" t="s">
        <v>1881</v>
      </c>
      <c r="E134" s="148" t="s">
        <v>167</v>
      </c>
      <c r="F134" s="149">
        <v>0.86</v>
      </c>
      <c r="G134" s="149">
        <f>'5 - R. ANALÍTICO - MODIFICAD'!$H$1322</f>
        <v>641.2700000000001</v>
      </c>
      <c r="H134" s="151">
        <f>'14 -BDI-EDIFICAÇÕES - SEM DESON'!$H$23</f>
        <v>0.2222616419077901</v>
      </c>
      <c r="I134" s="149">
        <f t="shared" si="44"/>
        <v>783.8</v>
      </c>
      <c r="J134" s="149">
        <f t="shared" si="45"/>
        <v>674.07</v>
      </c>
    </row>
    <row r="135" spans="1:12" s="112" customFormat="1" ht="29.25" customHeight="1">
      <c r="A135" s="109" t="s">
        <v>916</v>
      </c>
      <c r="B135" s="145" t="s">
        <v>466</v>
      </c>
      <c r="C135" s="143"/>
      <c r="D135" s="143"/>
      <c r="E135" s="143"/>
      <c r="F135" s="143"/>
      <c r="G135" s="143"/>
      <c r="H135" s="143"/>
      <c r="I135" s="144"/>
      <c r="J135" s="113">
        <f>SUM(J136:J137)</f>
        <v>4729.42</v>
      </c>
    </row>
    <row r="136" spans="1:12" ht="28.5">
      <c r="A136" s="147" t="s">
        <v>918</v>
      </c>
      <c r="B136" s="148">
        <v>92759</v>
      </c>
      <c r="C136" s="164" t="s">
        <v>247</v>
      </c>
      <c r="D136" s="148" t="s">
        <v>119</v>
      </c>
      <c r="E136" s="148" t="s">
        <v>200</v>
      </c>
      <c r="F136" s="149">
        <v>58</v>
      </c>
      <c r="G136" s="149">
        <v>15.33</v>
      </c>
      <c r="H136" s="151">
        <f>'14 -BDI-EDIFICAÇÕES - SEM DESON'!$H$23</f>
        <v>0.2222616419077901</v>
      </c>
      <c r="I136" s="149">
        <f t="shared" ref="I136:I137" si="46">ROUND(G136*(1+H136),2)</f>
        <v>18.739999999999998</v>
      </c>
      <c r="J136" s="149">
        <f t="shared" ref="J136:J137" si="47">ROUND(ROUND(F136,2)*ROUND(I136,2),2)</f>
        <v>1086.92</v>
      </c>
      <c r="L136" s="112"/>
    </row>
    <row r="137" spans="1:12" s="112" customFormat="1" ht="28.5">
      <c r="A137" s="147" t="s">
        <v>919</v>
      </c>
      <c r="B137" s="148">
        <v>92762</v>
      </c>
      <c r="C137" s="164" t="s">
        <v>248</v>
      </c>
      <c r="D137" s="148" t="s">
        <v>119</v>
      </c>
      <c r="E137" s="148" t="s">
        <v>200</v>
      </c>
      <c r="F137" s="149">
        <v>250</v>
      </c>
      <c r="G137" s="149">
        <v>11.92</v>
      </c>
      <c r="H137" s="151">
        <f>'14 -BDI-EDIFICAÇÕES - SEM DESON'!$H$23</f>
        <v>0.2222616419077901</v>
      </c>
      <c r="I137" s="149">
        <f t="shared" si="46"/>
        <v>14.57</v>
      </c>
      <c r="J137" s="149">
        <f t="shared" si="47"/>
        <v>3642.5</v>
      </c>
    </row>
    <row r="138" spans="1:12" s="112" customFormat="1" ht="29.25" customHeight="1">
      <c r="A138" s="109" t="s">
        <v>917</v>
      </c>
      <c r="B138" s="145" t="s">
        <v>930</v>
      </c>
      <c r="C138" s="143"/>
      <c r="D138" s="143"/>
      <c r="E138" s="143"/>
      <c r="F138" s="143"/>
      <c r="G138" s="143"/>
      <c r="H138" s="143"/>
      <c r="I138" s="144"/>
      <c r="J138" s="113">
        <f>SUM(J139:J151)</f>
        <v>407948.43999999994</v>
      </c>
    </row>
    <row r="139" spans="1:12" ht="28.5">
      <c r="A139" s="147" t="s">
        <v>920</v>
      </c>
      <c r="B139" s="148">
        <v>103316</v>
      </c>
      <c r="C139" s="164" t="s">
        <v>2277</v>
      </c>
      <c r="D139" s="148" t="s">
        <v>119</v>
      </c>
      <c r="E139" s="148" t="s">
        <v>139</v>
      </c>
      <c r="F139" s="149">
        <v>58.74</v>
      </c>
      <c r="G139" s="149">
        <v>87.08</v>
      </c>
      <c r="H139" s="151">
        <f>'14 -BDI-EDIFICAÇÕES - SEM DESON'!$H$23</f>
        <v>0.2222616419077901</v>
      </c>
      <c r="I139" s="149">
        <f t="shared" ref="I139:I149" si="48">ROUND(G139*(1+H139),2)</f>
        <v>106.43</v>
      </c>
      <c r="J139" s="149">
        <f t="shared" ref="J139:J149" si="49">ROUND(ROUND(F139,2)*ROUND(I139,2),2)</f>
        <v>6251.7</v>
      </c>
      <c r="L139" s="112"/>
    </row>
    <row r="140" spans="1:12" ht="28.5">
      <c r="A140" s="147" t="s">
        <v>921</v>
      </c>
      <c r="B140" s="148">
        <v>103342</v>
      </c>
      <c r="C140" s="164" t="s">
        <v>256</v>
      </c>
      <c r="D140" s="148" t="s">
        <v>119</v>
      </c>
      <c r="E140" s="148" t="s">
        <v>139</v>
      </c>
      <c r="F140" s="149">
        <v>312.42</v>
      </c>
      <c r="G140" s="149">
        <v>131.83000000000001</v>
      </c>
      <c r="H140" s="151">
        <f>'14 -BDI-EDIFICAÇÕES - SEM DESON'!$H$23</f>
        <v>0.2222616419077901</v>
      </c>
      <c r="I140" s="149">
        <f t="shared" si="48"/>
        <v>161.13</v>
      </c>
      <c r="J140" s="149">
        <f t="shared" si="49"/>
        <v>50340.23</v>
      </c>
      <c r="L140" s="112"/>
    </row>
    <row r="141" spans="1:12" ht="28.5">
      <c r="A141" s="147" t="s">
        <v>922</v>
      </c>
      <c r="B141" s="475">
        <v>87879</v>
      </c>
      <c r="C141" s="476" t="s">
        <v>4032</v>
      </c>
      <c r="D141" s="148" t="s">
        <v>119</v>
      </c>
      <c r="E141" s="148" t="s">
        <v>139</v>
      </c>
      <c r="F141" s="149">
        <v>683.58</v>
      </c>
      <c r="G141" s="149">
        <v>4.91</v>
      </c>
      <c r="H141" s="151">
        <f>'14 -BDI-EDIFICAÇÕES - SEM DESON'!$H$23</f>
        <v>0.2222616419077901</v>
      </c>
      <c r="I141" s="149">
        <f t="shared" si="48"/>
        <v>6</v>
      </c>
      <c r="J141" s="149">
        <f t="shared" si="49"/>
        <v>4101.4799999999996</v>
      </c>
      <c r="L141" s="112"/>
    </row>
    <row r="142" spans="1:12" ht="28.5">
      <c r="A142" s="147" t="s">
        <v>923</v>
      </c>
      <c r="B142" s="148">
        <v>87547</v>
      </c>
      <c r="C142" s="164" t="s">
        <v>4029</v>
      </c>
      <c r="D142" s="148" t="s">
        <v>119</v>
      </c>
      <c r="E142" s="148" t="s">
        <v>139</v>
      </c>
      <c r="F142" s="149">
        <v>683.58</v>
      </c>
      <c r="G142" s="149">
        <v>28.54</v>
      </c>
      <c r="H142" s="151">
        <f>'14 -BDI-EDIFICAÇÕES - SEM DESON'!$H$23</f>
        <v>0.2222616419077901</v>
      </c>
      <c r="I142" s="149">
        <f t="shared" si="48"/>
        <v>34.880000000000003</v>
      </c>
      <c r="J142" s="149">
        <f t="shared" si="49"/>
        <v>23843.27</v>
      </c>
      <c r="L142" s="112"/>
    </row>
    <row r="143" spans="1:12" ht="14.25">
      <c r="A143" s="147" t="s">
        <v>924</v>
      </c>
      <c r="B143" s="148">
        <v>98557</v>
      </c>
      <c r="C143" s="164" t="s">
        <v>219</v>
      </c>
      <c r="D143" s="148" t="s">
        <v>119</v>
      </c>
      <c r="E143" s="148" t="s">
        <v>139</v>
      </c>
      <c r="F143" s="149">
        <v>58.74</v>
      </c>
      <c r="G143" s="149">
        <v>43.56</v>
      </c>
      <c r="H143" s="151">
        <f>'14 -BDI-EDIFICAÇÕES - SEM DESON'!$H$23</f>
        <v>0.2222616419077901</v>
      </c>
      <c r="I143" s="149">
        <f t="shared" si="48"/>
        <v>53.24</v>
      </c>
      <c r="J143" s="149">
        <f t="shared" si="49"/>
        <v>3127.32</v>
      </c>
      <c r="L143" s="112"/>
    </row>
    <row r="144" spans="1:12" ht="28.5">
      <c r="A144" s="147" t="s">
        <v>925</v>
      </c>
      <c r="B144" s="148" t="s">
        <v>3927</v>
      </c>
      <c r="C144" s="164" t="s">
        <v>3928</v>
      </c>
      <c r="D144" s="148" t="s">
        <v>1881</v>
      </c>
      <c r="E144" s="148" t="s">
        <v>167</v>
      </c>
      <c r="F144" s="149">
        <v>312.42</v>
      </c>
      <c r="G144" s="149">
        <f>'5 - R. ANALÍTICO - MODIFICAD'!$H$2015</f>
        <v>604.38</v>
      </c>
      <c r="H144" s="151">
        <f>'14 -BDI-EDIFICAÇÕES - SEM DESON'!$H$23</f>
        <v>0.2222616419077901</v>
      </c>
      <c r="I144" s="149">
        <f t="shared" ref="I144" si="50">ROUND(G144*(1+H144),2)</f>
        <v>738.71</v>
      </c>
      <c r="J144" s="149">
        <f t="shared" ref="J144" si="51">ROUND(ROUND(F144,2)*ROUND(I144,2),2)</f>
        <v>230787.78</v>
      </c>
      <c r="L144" s="112"/>
    </row>
    <row r="145" spans="1:12" ht="14.25">
      <c r="A145" s="147" t="s">
        <v>1054</v>
      </c>
      <c r="B145" s="148">
        <v>88485</v>
      </c>
      <c r="C145" s="164" t="s">
        <v>303</v>
      </c>
      <c r="D145" s="148" t="s">
        <v>119</v>
      </c>
      <c r="E145" s="148" t="s">
        <v>139</v>
      </c>
      <c r="F145" s="149">
        <v>683.58</v>
      </c>
      <c r="G145" s="149">
        <v>4.78</v>
      </c>
      <c r="H145" s="151">
        <f>'14 -BDI-EDIFICAÇÕES - SEM DESON'!$H$23</f>
        <v>0.2222616419077901</v>
      </c>
      <c r="I145" s="149">
        <f t="shared" si="48"/>
        <v>5.84</v>
      </c>
      <c r="J145" s="149">
        <f t="shared" si="49"/>
        <v>3992.11</v>
      </c>
      <c r="L145" s="112"/>
    </row>
    <row r="146" spans="1:12" s="112" customFormat="1" ht="14.25">
      <c r="A146" s="147" t="s">
        <v>1060</v>
      </c>
      <c r="B146" s="148">
        <v>88489</v>
      </c>
      <c r="C146" s="164" t="s">
        <v>304</v>
      </c>
      <c r="D146" s="148" t="s">
        <v>119</v>
      </c>
      <c r="E146" s="148" t="s">
        <v>139</v>
      </c>
      <c r="F146" s="149">
        <v>683.58</v>
      </c>
      <c r="G146" s="149">
        <v>13.84</v>
      </c>
      <c r="H146" s="151">
        <f>'14 -BDI-EDIFICAÇÕES - SEM DESON'!$H$23</f>
        <v>0.2222616419077901</v>
      </c>
      <c r="I146" s="149">
        <f t="shared" si="48"/>
        <v>16.920000000000002</v>
      </c>
      <c r="J146" s="149">
        <f t="shared" si="49"/>
        <v>11566.17</v>
      </c>
    </row>
    <row r="147" spans="1:12" s="112" customFormat="1" ht="28.5">
      <c r="A147" s="147" t="s">
        <v>1061</v>
      </c>
      <c r="B147" s="148">
        <v>105034</v>
      </c>
      <c r="C147" s="164" t="s">
        <v>2907</v>
      </c>
      <c r="D147" s="148" t="s">
        <v>119</v>
      </c>
      <c r="E147" s="148" t="s">
        <v>173</v>
      </c>
      <c r="F147" s="149">
        <v>140.71</v>
      </c>
      <c r="G147" s="149">
        <v>45.75</v>
      </c>
      <c r="H147" s="151">
        <f>'14 -BDI-EDIFICAÇÕES - SEM DESON'!$H$23</f>
        <v>0.2222616419077901</v>
      </c>
      <c r="I147" s="149">
        <f t="shared" si="48"/>
        <v>55.92</v>
      </c>
      <c r="J147" s="149">
        <f t="shared" si="49"/>
        <v>7868.5</v>
      </c>
    </row>
    <row r="148" spans="1:12" s="112" customFormat="1" ht="28.5">
      <c r="A148" s="147" t="s">
        <v>2918</v>
      </c>
      <c r="B148" s="148">
        <v>105033</v>
      </c>
      <c r="C148" s="164" t="s">
        <v>2908</v>
      </c>
      <c r="D148" s="148" t="s">
        <v>119</v>
      </c>
      <c r="E148" s="148" t="s">
        <v>173</v>
      </c>
      <c r="F148" s="149">
        <v>719.42</v>
      </c>
      <c r="G148" s="149">
        <v>64.23</v>
      </c>
      <c r="H148" s="151">
        <f>'14 -BDI-EDIFICAÇÕES - SEM DESON'!$H$23</f>
        <v>0.2222616419077901</v>
      </c>
      <c r="I148" s="149">
        <f t="shared" si="48"/>
        <v>78.510000000000005</v>
      </c>
      <c r="J148" s="149">
        <f t="shared" si="49"/>
        <v>56481.66</v>
      </c>
    </row>
    <row r="149" spans="1:12" s="112" customFormat="1" ht="14.25">
      <c r="A149" s="147" t="s">
        <v>3222</v>
      </c>
      <c r="B149" s="148">
        <v>89993</v>
      </c>
      <c r="C149" s="164" t="s">
        <v>2919</v>
      </c>
      <c r="D149" s="148" t="s">
        <v>119</v>
      </c>
      <c r="E149" s="148" t="s">
        <v>167</v>
      </c>
      <c r="F149" s="149">
        <v>4.55</v>
      </c>
      <c r="G149" s="149">
        <v>1191.3900000000001</v>
      </c>
      <c r="H149" s="151">
        <f>'14 -BDI-EDIFICAÇÕES - SEM DESON'!$H$23</f>
        <v>0.2222616419077901</v>
      </c>
      <c r="I149" s="149">
        <f t="shared" si="48"/>
        <v>1456.19</v>
      </c>
      <c r="J149" s="149">
        <f t="shared" si="49"/>
        <v>6625.66</v>
      </c>
    </row>
    <row r="150" spans="1:12" s="112" customFormat="1" ht="28.5">
      <c r="A150" s="147" t="s">
        <v>3223</v>
      </c>
      <c r="B150" s="148">
        <v>97083</v>
      </c>
      <c r="C150" s="164" t="s">
        <v>3224</v>
      </c>
      <c r="D150" s="148" t="s">
        <v>119</v>
      </c>
      <c r="E150" s="148" t="s">
        <v>139</v>
      </c>
      <c r="F150" s="149">
        <v>25.84</v>
      </c>
      <c r="G150" s="149">
        <v>3.7</v>
      </c>
      <c r="H150" s="151">
        <f>'14 -BDI-EDIFICAÇÕES - SEM DESON'!$H$23</f>
        <v>0.2222616419077901</v>
      </c>
      <c r="I150" s="149">
        <f t="shared" ref="I150:I151" si="52">ROUND(G150*(1+H150),2)</f>
        <v>4.5199999999999996</v>
      </c>
      <c r="J150" s="149">
        <f t="shared" ref="J150:J151" si="53">ROUND(ROUND(F150,2)*ROUND(I150,2),2)</f>
        <v>116.8</v>
      </c>
    </row>
    <row r="151" spans="1:12" s="112" customFormat="1" ht="28.5">
      <c r="A151" s="147" t="s">
        <v>3926</v>
      </c>
      <c r="B151" s="148">
        <v>94995</v>
      </c>
      <c r="C151" s="164" t="s">
        <v>2924</v>
      </c>
      <c r="D151" s="148" t="s">
        <v>119</v>
      </c>
      <c r="E151" s="148" t="s">
        <v>139</v>
      </c>
      <c r="F151" s="149">
        <v>25.84</v>
      </c>
      <c r="G151" s="149">
        <v>90.1</v>
      </c>
      <c r="H151" s="151">
        <f>'14 -BDI-EDIFICAÇÕES - SEM DESON'!$H$23</f>
        <v>0.2222616419077901</v>
      </c>
      <c r="I151" s="149">
        <f t="shared" si="52"/>
        <v>110.13</v>
      </c>
      <c r="J151" s="149">
        <f t="shared" si="53"/>
        <v>2845.76</v>
      </c>
    </row>
    <row r="152" spans="1:12" s="112" customFormat="1" ht="29.25" customHeight="1">
      <c r="A152" s="109" t="s">
        <v>1207</v>
      </c>
      <c r="B152" s="145" t="s">
        <v>1208</v>
      </c>
      <c r="C152" s="143"/>
      <c r="D152" s="143"/>
      <c r="E152" s="143"/>
      <c r="F152" s="143"/>
      <c r="G152" s="143"/>
      <c r="H152" s="143"/>
      <c r="I152" s="144"/>
      <c r="J152" s="113">
        <f>J153</f>
        <v>34983.410000000003</v>
      </c>
    </row>
    <row r="153" spans="1:12" ht="28.5">
      <c r="A153" s="147" t="s">
        <v>1210</v>
      </c>
      <c r="B153" s="148">
        <v>102723</v>
      </c>
      <c r="C153" s="164" t="s">
        <v>1209</v>
      </c>
      <c r="D153" s="148" t="s">
        <v>119</v>
      </c>
      <c r="E153" s="148" t="s">
        <v>173</v>
      </c>
      <c r="F153" s="149">
        <v>249.01</v>
      </c>
      <c r="G153" s="149">
        <v>114.94</v>
      </c>
      <c r="H153" s="151">
        <f>'14 -BDI-EDIFICAÇÕES - SEM DESON'!$H$23</f>
        <v>0.2222616419077901</v>
      </c>
      <c r="I153" s="149">
        <f>ROUND(G153*(1+H153),2)</f>
        <v>140.49</v>
      </c>
      <c r="J153" s="149">
        <f>ROUND(ROUND(F153,2)*ROUND(I153,2),2)</f>
        <v>34983.410000000003</v>
      </c>
      <c r="L153" s="112"/>
    </row>
    <row r="154" spans="1:12" s="112" customFormat="1" ht="29.25" customHeight="1">
      <c r="A154" s="109" t="s">
        <v>3815</v>
      </c>
      <c r="B154" s="145" t="s">
        <v>3816</v>
      </c>
      <c r="C154" s="143"/>
      <c r="D154" s="143"/>
      <c r="E154" s="143"/>
      <c r="F154" s="143"/>
      <c r="G154" s="143"/>
      <c r="H154" s="143"/>
      <c r="I154" s="144"/>
      <c r="J154" s="113">
        <f>J155+J157</f>
        <v>40600.33</v>
      </c>
    </row>
    <row r="155" spans="1:12" s="112" customFormat="1" ht="29.25" customHeight="1">
      <c r="A155" s="109" t="s">
        <v>3817</v>
      </c>
      <c r="B155" s="145" t="s">
        <v>3818</v>
      </c>
      <c r="C155" s="143"/>
      <c r="D155" s="143"/>
      <c r="E155" s="143"/>
      <c r="F155" s="143"/>
      <c r="G155" s="143"/>
      <c r="H155" s="143"/>
      <c r="I155" s="144"/>
      <c r="J155" s="113">
        <f>J156</f>
        <v>33907.49</v>
      </c>
    </row>
    <row r="156" spans="1:12" ht="14.25">
      <c r="A156" s="147" t="s">
        <v>3819</v>
      </c>
      <c r="B156" s="148">
        <v>98557</v>
      </c>
      <c r="C156" s="164" t="s">
        <v>219</v>
      </c>
      <c r="D156" s="148" t="s">
        <v>119</v>
      </c>
      <c r="E156" s="148" t="s">
        <v>139</v>
      </c>
      <c r="F156" s="149">
        <v>636.88</v>
      </c>
      <c r="G156" s="149">
        <v>43.56</v>
      </c>
      <c r="H156" s="151">
        <f>'14 -BDI-EDIFICAÇÕES - SEM DESON'!$H$23</f>
        <v>0.2222616419077901</v>
      </c>
      <c r="I156" s="149">
        <f t="shared" ref="I156" si="54">ROUND(G156*(1+H156),2)</f>
        <v>53.24</v>
      </c>
      <c r="J156" s="149">
        <f t="shared" ref="J156" si="55">ROUND(ROUND(F156,2)*ROUND(I156,2),2)</f>
        <v>33907.49</v>
      </c>
      <c r="L156" s="112"/>
    </row>
    <row r="157" spans="1:12" s="112" customFormat="1" ht="29.25" customHeight="1">
      <c r="A157" s="109" t="s">
        <v>3820</v>
      </c>
      <c r="B157" s="145" t="s">
        <v>3997</v>
      </c>
      <c r="C157" s="143"/>
      <c r="D157" s="143"/>
      <c r="E157" s="143"/>
      <c r="F157" s="143"/>
      <c r="G157" s="143"/>
      <c r="H157" s="143"/>
      <c r="I157" s="144"/>
      <c r="J157" s="113">
        <f>J158+J159</f>
        <v>6692.84</v>
      </c>
    </row>
    <row r="158" spans="1:12" ht="28.5">
      <c r="A158" s="147" t="s">
        <v>3821</v>
      </c>
      <c r="B158" s="148">
        <v>98547</v>
      </c>
      <c r="C158" s="164" t="s">
        <v>3822</v>
      </c>
      <c r="D158" s="148" t="s">
        <v>119</v>
      </c>
      <c r="E158" s="148" t="s">
        <v>139</v>
      </c>
      <c r="F158" s="149">
        <v>21.47</v>
      </c>
      <c r="G158" s="149">
        <v>200.61</v>
      </c>
      <c r="H158" s="151">
        <f>'14 -BDI-EDIFICAÇÕES - SEM DESON'!$H$23</f>
        <v>0.2222616419077901</v>
      </c>
      <c r="I158" s="149">
        <f t="shared" ref="I158:I159" si="56">ROUND(G158*(1+H158),2)</f>
        <v>245.2</v>
      </c>
      <c r="J158" s="149">
        <f t="shared" ref="J158:J159" si="57">ROUND(ROUND(F158,2)*ROUND(I158,2),2)</f>
        <v>5264.44</v>
      </c>
      <c r="L158" s="112"/>
    </row>
    <row r="159" spans="1:12" ht="28.5">
      <c r="A159" s="147" t="s">
        <v>3823</v>
      </c>
      <c r="B159" s="148">
        <v>98565</v>
      </c>
      <c r="C159" s="164" t="s">
        <v>1056</v>
      </c>
      <c r="D159" s="148" t="s">
        <v>119</v>
      </c>
      <c r="E159" s="148" t="s">
        <v>139</v>
      </c>
      <c r="F159" s="149">
        <v>21.47</v>
      </c>
      <c r="G159" s="149">
        <v>54.43</v>
      </c>
      <c r="H159" s="151">
        <f>'14 -BDI-EDIFICAÇÕES - SEM DESON'!$H$23</f>
        <v>0.2222616419077901</v>
      </c>
      <c r="I159" s="149">
        <f t="shared" si="56"/>
        <v>66.53</v>
      </c>
      <c r="J159" s="149">
        <f t="shared" si="57"/>
        <v>1428.4</v>
      </c>
      <c r="L159" s="112"/>
    </row>
    <row r="160" spans="1:12" s="112" customFormat="1" ht="29.25" customHeight="1">
      <c r="A160" s="109" t="s">
        <v>993</v>
      </c>
      <c r="B160" s="145" t="s">
        <v>25</v>
      </c>
      <c r="C160" s="143"/>
      <c r="D160" s="143"/>
      <c r="E160" s="143"/>
      <c r="F160" s="143"/>
      <c r="G160" s="143"/>
      <c r="H160" s="143"/>
      <c r="I160" s="144"/>
      <c r="J160" s="113">
        <f>J161+J298+J307+J346</f>
        <v>2229878.11</v>
      </c>
    </row>
    <row r="161" spans="1:12" s="112" customFormat="1" ht="29.25" customHeight="1">
      <c r="A161" s="109" t="s">
        <v>42</v>
      </c>
      <c r="B161" s="145" t="s">
        <v>251</v>
      </c>
      <c r="C161" s="143"/>
      <c r="D161" s="143"/>
      <c r="E161" s="143"/>
      <c r="F161" s="143"/>
      <c r="G161" s="143"/>
      <c r="H161" s="143"/>
      <c r="I161" s="144"/>
      <c r="J161" s="113">
        <f>J162+J172+J194+J198+J205+J252+J293+J295</f>
        <v>1243322.17</v>
      </c>
    </row>
    <row r="162" spans="1:12" s="112" customFormat="1" ht="29.25" customHeight="1">
      <c r="A162" s="109" t="s">
        <v>252</v>
      </c>
      <c r="B162" s="145" t="s">
        <v>253</v>
      </c>
      <c r="C162" s="143"/>
      <c r="D162" s="143"/>
      <c r="E162" s="143"/>
      <c r="F162" s="143"/>
      <c r="G162" s="143"/>
      <c r="H162" s="143"/>
      <c r="I162" s="144"/>
      <c r="J162" s="113">
        <f>J163+J167</f>
        <v>81604.66</v>
      </c>
    </row>
    <row r="163" spans="1:12" s="112" customFormat="1" ht="29.25" customHeight="1">
      <c r="A163" s="109" t="s">
        <v>254</v>
      </c>
      <c r="B163" s="145" t="s">
        <v>255</v>
      </c>
      <c r="C163" s="143"/>
      <c r="D163" s="143"/>
      <c r="E163" s="143"/>
      <c r="F163" s="143"/>
      <c r="G163" s="143"/>
      <c r="H163" s="143"/>
      <c r="I163" s="144"/>
      <c r="J163" s="113">
        <f>SUM(J164:J166)</f>
        <v>74918.25</v>
      </c>
    </row>
    <row r="164" spans="1:12" ht="28.5">
      <c r="A164" s="147" t="s">
        <v>2421</v>
      </c>
      <c r="B164" s="450">
        <v>103368</v>
      </c>
      <c r="C164" s="164" t="s">
        <v>3848</v>
      </c>
      <c r="D164" s="148" t="s">
        <v>119</v>
      </c>
      <c r="E164" s="148" t="s">
        <v>139</v>
      </c>
      <c r="F164" s="149">
        <v>716.99</v>
      </c>
      <c r="G164" s="149">
        <v>74.069999999999993</v>
      </c>
      <c r="H164" s="151">
        <f>'14 -BDI-EDIFICAÇÕES - SEM DESON'!$H$23</f>
        <v>0.2222616419077901</v>
      </c>
      <c r="I164" s="149">
        <f t="shared" ref="I164:I166" si="58">ROUND(G164*(1+H164),2)</f>
        <v>90.53</v>
      </c>
      <c r="J164" s="149">
        <f t="shared" ref="J164:J166" si="59">ROUND(ROUND(F164,2)*ROUND(I164,2),2)</f>
        <v>64909.1</v>
      </c>
      <c r="L164" s="112"/>
    </row>
    <row r="165" spans="1:12" ht="28.5">
      <c r="A165" s="147" t="s">
        <v>257</v>
      </c>
      <c r="B165" s="148">
        <v>93200</v>
      </c>
      <c r="C165" s="164" t="s">
        <v>2806</v>
      </c>
      <c r="D165" s="148" t="s">
        <v>119</v>
      </c>
      <c r="E165" s="148" t="s">
        <v>173</v>
      </c>
      <c r="F165" s="149">
        <v>219.96</v>
      </c>
      <c r="G165" s="149">
        <v>12.81</v>
      </c>
      <c r="H165" s="151">
        <f>'14 -BDI-EDIFICAÇÕES - SEM DESON'!$H$23</f>
        <v>0.2222616419077901</v>
      </c>
      <c r="I165" s="149">
        <f t="shared" si="58"/>
        <v>15.66</v>
      </c>
      <c r="J165" s="149">
        <f t="shared" si="59"/>
        <v>3444.57</v>
      </c>
      <c r="L165" s="112"/>
    </row>
    <row r="166" spans="1:12" ht="14.25">
      <c r="A166" s="147" t="s">
        <v>258</v>
      </c>
      <c r="B166" s="148">
        <v>93199</v>
      </c>
      <c r="C166" s="164" t="s">
        <v>259</v>
      </c>
      <c r="D166" s="148" t="s">
        <v>119</v>
      </c>
      <c r="E166" s="148" t="s">
        <v>173</v>
      </c>
      <c r="F166" s="149">
        <v>95.36</v>
      </c>
      <c r="G166" s="149">
        <v>56.32</v>
      </c>
      <c r="H166" s="151">
        <f>'14 -BDI-EDIFICAÇÕES - SEM DESON'!$H$23</f>
        <v>0.2222616419077901</v>
      </c>
      <c r="I166" s="149">
        <f t="shared" si="58"/>
        <v>68.84</v>
      </c>
      <c r="J166" s="149">
        <f t="shared" si="59"/>
        <v>6564.58</v>
      </c>
      <c r="L166" s="112"/>
    </row>
    <row r="167" spans="1:12" s="112" customFormat="1" ht="29.25" customHeight="1">
      <c r="A167" s="109" t="s">
        <v>260</v>
      </c>
      <c r="B167" s="145" t="s">
        <v>261</v>
      </c>
      <c r="C167" s="143"/>
      <c r="D167" s="143"/>
      <c r="E167" s="143"/>
      <c r="F167" s="143"/>
      <c r="G167" s="143"/>
      <c r="H167" s="143"/>
      <c r="I167" s="144"/>
      <c r="J167" s="113">
        <f>SUM(J168:J171)</f>
        <v>6686.4100000000008</v>
      </c>
    </row>
    <row r="168" spans="1:12" s="112" customFormat="1" ht="28.5">
      <c r="A168" s="147" t="s">
        <v>262</v>
      </c>
      <c r="B168" s="148">
        <v>96368</v>
      </c>
      <c r="C168" s="164" t="s">
        <v>2493</v>
      </c>
      <c r="D168" s="148" t="s">
        <v>119</v>
      </c>
      <c r="E168" s="148" t="s">
        <v>139</v>
      </c>
      <c r="F168" s="149">
        <v>22.18</v>
      </c>
      <c r="G168" s="149">
        <v>155.91999999999999</v>
      </c>
      <c r="H168" s="151">
        <f>'14 -BDI-EDIFICAÇÕES - SEM DESON'!$H$23</f>
        <v>0.2222616419077901</v>
      </c>
      <c r="I168" s="149">
        <f t="shared" ref="I168:I170" si="60">ROUND(G168*(1+H168),2)</f>
        <v>190.58</v>
      </c>
      <c r="J168" s="149">
        <f t="shared" ref="J168:J170" si="61">ROUND(ROUND(F168,2)*ROUND(I168,2),2)</f>
        <v>4227.0600000000004</v>
      </c>
    </row>
    <row r="169" spans="1:12" ht="14.25">
      <c r="A169" s="147" t="s">
        <v>263</v>
      </c>
      <c r="B169" s="148" t="s">
        <v>1893</v>
      </c>
      <c r="C169" s="164" t="s">
        <v>1894</v>
      </c>
      <c r="D169" s="148" t="s">
        <v>1881</v>
      </c>
      <c r="E169" s="148" t="s">
        <v>139</v>
      </c>
      <c r="F169" s="149">
        <v>22.18</v>
      </c>
      <c r="G169" s="149">
        <f>'5 - R. ANALÍTICO - MODIFICAD'!$H$2470</f>
        <v>50.61</v>
      </c>
      <c r="H169" s="151">
        <f>'14 -BDI-EDIFICAÇÕES - SEM DESON'!$H$23</f>
        <v>0.2222616419077901</v>
      </c>
      <c r="I169" s="149">
        <f t="shared" si="60"/>
        <v>61.86</v>
      </c>
      <c r="J169" s="149">
        <f t="shared" si="61"/>
        <v>1372.05</v>
      </c>
      <c r="L169" s="112"/>
    </row>
    <row r="170" spans="1:12" ht="28.5">
      <c r="A170" s="147" t="s">
        <v>2494</v>
      </c>
      <c r="B170" s="148">
        <v>96370</v>
      </c>
      <c r="C170" s="164" t="s">
        <v>3934</v>
      </c>
      <c r="D170" s="148" t="s">
        <v>119</v>
      </c>
      <c r="E170" s="148" t="s">
        <v>139</v>
      </c>
      <c r="F170" s="149">
        <v>13.95</v>
      </c>
      <c r="G170" s="149">
        <v>55.11</v>
      </c>
      <c r="H170" s="151">
        <f>'14 -BDI-EDIFICAÇÕES - SEM DESON'!$H$23</f>
        <v>0.2222616419077901</v>
      </c>
      <c r="I170" s="149">
        <f t="shared" si="60"/>
        <v>67.36</v>
      </c>
      <c r="J170" s="149">
        <f t="shared" si="61"/>
        <v>939.67</v>
      </c>
      <c r="L170" s="112"/>
    </row>
    <row r="171" spans="1:12" ht="28.5">
      <c r="A171" s="147" t="s">
        <v>3935</v>
      </c>
      <c r="B171" s="148" t="s">
        <v>3936</v>
      </c>
      <c r="C171" s="164" t="s">
        <v>3937</v>
      </c>
      <c r="D171" s="148" t="s">
        <v>1881</v>
      </c>
      <c r="E171" s="148" t="s">
        <v>139</v>
      </c>
      <c r="F171" s="149">
        <v>1.98</v>
      </c>
      <c r="G171" s="149">
        <f>'5 - R. ANALÍTICO - MODIFICAD'!H1262</f>
        <v>61</v>
      </c>
      <c r="H171" s="151">
        <f>'14 -BDI-EDIFICAÇÕES - SEM DESON'!$H$23</f>
        <v>0.2222616419077901</v>
      </c>
      <c r="I171" s="149">
        <f t="shared" ref="I171" si="62">ROUND(G171*(1+H171),2)</f>
        <v>74.56</v>
      </c>
      <c r="J171" s="149">
        <f t="shared" ref="J171" si="63">ROUND(ROUND(F171,2)*ROUND(I171,2),2)</f>
        <v>147.63</v>
      </c>
      <c r="L171" s="112"/>
    </row>
    <row r="172" spans="1:12" s="112" customFormat="1" ht="29.25" customHeight="1">
      <c r="A172" s="109" t="s">
        <v>264</v>
      </c>
      <c r="B172" s="145" t="s">
        <v>265</v>
      </c>
      <c r="C172" s="143"/>
      <c r="D172" s="143"/>
      <c r="E172" s="143"/>
      <c r="F172" s="143"/>
      <c r="G172" s="143"/>
      <c r="H172" s="143"/>
      <c r="I172" s="144"/>
      <c r="J172" s="113">
        <f>J173+J191</f>
        <v>154085.32999999999</v>
      </c>
    </row>
    <row r="173" spans="1:12" s="112" customFormat="1" ht="29.25" customHeight="1">
      <c r="A173" s="109" t="s">
        <v>266</v>
      </c>
      <c r="B173" s="145" t="s">
        <v>267</v>
      </c>
      <c r="C173" s="143"/>
      <c r="D173" s="143"/>
      <c r="E173" s="143"/>
      <c r="F173" s="143"/>
      <c r="G173" s="143"/>
      <c r="H173" s="143"/>
      <c r="I173" s="144"/>
      <c r="J173" s="113">
        <f>SUM(J174:J190)</f>
        <v>139827.71</v>
      </c>
    </row>
    <row r="174" spans="1:12" ht="42.75">
      <c r="A174" s="147" t="s">
        <v>268</v>
      </c>
      <c r="B174" s="148" t="s">
        <v>1895</v>
      </c>
      <c r="C174" s="240" t="s">
        <v>4008</v>
      </c>
      <c r="D174" s="148" t="s">
        <v>1881</v>
      </c>
      <c r="E174" s="148" t="s">
        <v>144</v>
      </c>
      <c r="F174" s="149">
        <v>10</v>
      </c>
      <c r="G174" s="149">
        <f>'5 - R. ANALÍTICO - MODIFICAD'!$H$36</f>
        <v>1399.9299999999998</v>
      </c>
      <c r="H174" s="151">
        <f>'14 -BDI-EDIFICAÇÕES - SEM DESON'!$H$23</f>
        <v>0.2222616419077901</v>
      </c>
      <c r="I174" s="149">
        <f t="shared" ref="I174:I189" si="64">ROUND(G174*(1+H174),2)</f>
        <v>1711.08</v>
      </c>
      <c r="J174" s="149">
        <f t="shared" ref="J174:J189" si="65">ROUND(ROUND(F174,2)*ROUND(I174,2),2)</f>
        <v>17110.8</v>
      </c>
      <c r="L174" s="112"/>
    </row>
    <row r="175" spans="1:12" ht="42.75">
      <c r="A175" s="147" t="s">
        <v>269</v>
      </c>
      <c r="B175" s="148" t="s">
        <v>1968</v>
      </c>
      <c r="C175" s="240" t="s">
        <v>4012</v>
      </c>
      <c r="D175" s="148" t="s">
        <v>1881</v>
      </c>
      <c r="E175" s="148" t="s">
        <v>144</v>
      </c>
      <c r="F175" s="149">
        <v>1</v>
      </c>
      <c r="G175" s="149">
        <f>'5 - R. ANALÍTICO - MODIFICAD'!$H$165</f>
        <v>1399.9299999999998</v>
      </c>
      <c r="H175" s="151">
        <f>'14 -BDI-EDIFICAÇÕES - SEM DESON'!$H$23</f>
        <v>0.2222616419077901</v>
      </c>
      <c r="I175" s="149">
        <f t="shared" si="64"/>
        <v>1711.08</v>
      </c>
      <c r="J175" s="149">
        <f t="shared" si="65"/>
        <v>1711.08</v>
      </c>
      <c r="L175" s="112"/>
    </row>
    <row r="176" spans="1:12" ht="42.75">
      <c r="A176" s="147" t="s">
        <v>270</v>
      </c>
      <c r="B176" s="148" t="s">
        <v>1896</v>
      </c>
      <c r="C176" s="240" t="s">
        <v>4009</v>
      </c>
      <c r="D176" s="148" t="s">
        <v>1881</v>
      </c>
      <c r="E176" s="148" t="s">
        <v>144</v>
      </c>
      <c r="F176" s="149">
        <v>7</v>
      </c>
      <c r="G176" s="149">
        <f>'5 - R. ANALÍTICO - MODIFICAD'!$H$49</f>
        <v>1418.96</v>
      </c>
      <c r="H176" s="151">
        <f>'14 -BDI-EDIFICAÇÕES - SEM DESON'!$H$23</f>
        <v>0.2222616419077901</v>
      </c>
      <c r="I176" s="149">
        <f t="shared" si="64"/>
        <v>1734.34</v>
      </c>
      <c r="J176" s="149">
        <f t="shared" si="65"/>
        <v>12140.38</v>
      </c>
      <c r="L176" s="112"/>
    </row>
    <row r="177" spans="1:12" ht="28.5">
      <c r="A177" s="147" t="s">
        <v>271</v>
      </c>
      <c r="B177" s="148" t="s">
        <v>1897</v>
      </c>
      <c r="C177" s="164" t="s">
        <v>1898</v>
      </c>
      <c r="D177" s="148" t="s">
        <v>1881</v>
      </c>
      <c r="E177" s="148" t="s">
        <v>173</v>
      </c>
      <c r="F177" s="149">
        <v>10.8</v>
      </c>
      <c r="G177" s="149">
        <f>'5 - R. ANALÍTICO - MODIFICAD'!$H$1386</f>
        <v>464.32</v>
      </c>
      <c r="H177" s="151">
        <f>'14 -BDI-EDIFICAÇÕES - SEM DESON'!$H$23</f>
        <v>0.2222616419077901</v>
      </c>
      <c r="I177" s="149">
        <f t="shared" si="64"/>
        <v>567.52</v>
      </c>
      <c r="J177" s="149">
        <f t="shared" si="65"/>
        <v>6129.22</v>
      </c>
      <c r="L177" s="112"/>
    </row>
    <row r="178" spans="1:12" ht="14.25">
      <c r="A178" s="147" t="s">
        <v>272</v>
      </c>
      <c r="B178" s="148" t="s">
        <v>1923</v>
      </c>
      <c r="C178" s="164" t="s">
        <v>3349</v>
      </c>
      <c r="D178" s="148" t="s">
        <v>1881</v>
      </c>
      <c r="E178" s="148" t="s">
        <v>144</v>
      </c>
      <c r="F178" s="149">
        <v>6</v>
      </c>
      <c r="G178" s="149">
        <f>'5 - R. ANALÍTICO - MODIFICAD'!$H$2725</f>
        <v>91.11</v>
      </c>
      <c r="H178" s="151">
        <f>'14 -BDI-EDIFICAÇÕES - SEM DESON'!$H$23</f>
        <v>0.2222616419077901</v>
      </c>
      <c r="I178" s="149">
        <f t="shared" si="64"/>
        <v>111.36</v>
      </c>
      <c r="J178" s="149">
        <f t="shared" si="65"/>
        <v>668.16</v>
      </c>
      <c r="L178" s="112"/>
    </row>
    <row r="179" spans="1:12" ht="28.5">
      <c r="A179" s="147" t="s">
        <v>273</v>
      </c>
      <c r="B179" s="148" t="s">
        <v>3355</v>
      </c>
      <c r="C179" s="164" t="s">
        <v>3356</v>
      </c>
      <c r="D179" s="148" t="s">
        <v>1881</v>
      </c>
      <c r="E179" s="148" t="s">
        <v>139</v>
      </c>
      <c r="F179" s="149">
        <v>14.34</v>
      </c>
      <c r="G179" s="149">
        <f>'5 - R. ANALÍTICO - MODIFICAD'!$H$1971</f>
        <v>1153.43</v>
      </c>
      <c r="H179" s="151">
        <f>'14 -BDI-EDIFICAÇÕES - SEM DESON'!$H$23</f>
        <v>0.2222616419077901</v>
      </c>
      <c r="I179" s="149">
        <f t="shared" si="64"/>
        <v>1409.79</v>
      </c>
      <c r="J179" s="149">
        <f t="shared" si="65"/>
        <v>20216.39</v>
      </c>
      <c r="L179" s="112"/>
    </row>
    <row r="180" spans="1:12" ht="28.5">
      <c r="A180" s="147" t="s">
        <v>274</v>
      </c>
      <c r="B180" s="148" t="s">
        <v>1899</v>
      </c>
      <c r="C180" s="164" t="s">
        <v>1902</v>
      </c>
      <c r="D180" s="148" t="s">
        <v>1881</v>
      </c>
      <c r="E180" s="148" t="s">
        <v>144</v>
      </c>
      <c r="F180" s="149">
        <v>1</v>
      </c>
      <c r="G180" s="149">
        <f>'5 - R. ANALÍTICO - MODIFICAD'!$H$1406</f>
        <v>12571.41</v>
      </c>
      <c r="H180" s="151">
        <f>'14 -BDI-EDIFICAÇÕES - SEM DESON'!$H$23</f>
        <v>0.2222616419077901</v>
      </c>
      <c r="I180" s="149">
        <f t="shared" si="64"/>
        <v>15365.55</v>
      </c>
      <c r="J180" s="149">
        <f t="shared" si="65"/>
        <v>15365.55</v>
      </c>
      <c r="L180" s="112"/>
    </row>
    <row r="181" spans="1:12" ht="28.5">
      <c r="A181" s="147" t="s">
        <v>1051</v>
      </c>
      <c r="B181" s="148" t="s">
        <v>2990</v>
      </c>
      <c r="C181" s="164" t="s">
        <v>3361</v>
      </c>
      <c r="D181" s="148" t="s">
        <v>1881</v>
      </c>
      <c r="E181" s="148" t="s">
        <v>144</v>
      </c>
      <c r="F181" s="149">
        <v>8.4499999999999993</v>
      </c>
      <c r="G181" s="149">
        <f>'5 - R. ANALÍTICO - MODIFICAD'!$H$970</f>
        <v>1566.23</v>
      </c>
      <c r="H181" s="151">
        <f>'14 -BDI-EDIFICAÇÕES - SEM DESON'!$H$23</f>
        <v>0.2222616419077901</v>
      </c>
      <c r="I181" s="149">
        <f t="shared" si="64"/>
        <v>1914.34</v>
      </c>
      <c r="J181" s="149">
        <f t="shared" si="65"/>
        <v>16176.17</v>
      </c>
      <c r="L181" s="112"/>
    </row>
    <row r="182" spans="1:12" s="112" customFormat="1" ht="28.5">
      <c r="A182" s="147" t="s">
        <v>1052</v>
      </c>
      <c r="B182" s="148" t="s">
        <v>2794</v>
      </c>
      <c r="C182" s="164" t="s">
        <v>2795</v>
      </c>
      <c r="D182" s="148" t="s">
        <v>1881</v>
      </c>
      <c r="E182" s="148" t="s">
        <v>144</v>
      </c>
      <c r="F182" s="149">
        <v>10</v>
      </c>
      <c r="G182" s="149">
        <f>'5 - R. ANALÍTICO - MODIFICAD'!$H$314</f>
        <v>271.78000000000003</v>
      </c>
      <c r="H182" s="151">
        <f>'14 -BDI-EDIFICAÇÕES - SEM DESON'!$H$23</f>
        <v>0.2222616419077901</v>
      </c>
      <c r="I182" s="149">
        <f t="shared" si="64"/>
        <v>332.19</v>
      </c>
      <c r="J182" s="149">
        <f t="shared" si="65"/>
        <v>3321.9</v>
      </c>
    </row>
    <row r="183" spans="1:12" s="112" customFormat="1" ht="28.5">
      <c r="A183" s="147" t="s">
        <v>1181</v>
      </c>
      <c r="B183" s="148" t="s">
        <v>2821</v>
      </c>
      <c r="C183" s="164" t="s">
        <v>2822</v>
      </c>
      <c r="D183" s="148" t="s">
        <v>1881</v>
      </c>
      <c r="E183" s="148" t="s">
        <v>144</v>
      </c>
      <c r="F183" s="149">
        <v>8</v>
      </c>
      <c r="G183" s="149">
        <f>'5 - R. ANALÍTICO - MODIFICAD'!$H$326</f>
        <v>293.2</v>
      </c>
      <c r="H183" s="151">
        <f>'14 -BDI-EDIFICAÇÕES - SEM DESON'!$H$23</f>
        <v>0.2222616419077901</v>
      </c>
      <c r="I183" s="149">
        <f t="shared" si="64"/>
        <v>358.37</v>
      </c>
      <c r="J183" s="149">
        <f t="shared" si="65"/>
        <v>2866.96</v>
      </c>
    </row>
    <row r="184" spans="1:12" s="112" customFormat="1" ht="57">
      <c r="A184" s="147" t="s">
        <v>1182</v>
      </c>
      <c r="B184" s="148" t="s">
        <v>2228</v>
      </c>
      <c r="C184" s="164" t="s">
        <v>3364</v>
      </c>
      <c r="D184" s="148" t="s">
        <v>1881</v>
      </c>
      <c r="E184" s="148" t="s">
        <v>139</v>
      </c>
      <c r="F184" s="149">
        <v>42.43</v>
      </c>
      <c r="G184" s="149">
        <f>'5 - R. ANALÍTICO - MODIFICAD'!$H$2396</f>
        <v>370.44</v>
      </c>
      <c r="H184" s="151">
        <f>'14 -BDI-EDIFICAÇÕES - SEM DESON'!$H$23</f>
        <v>0.2222616419077901</v>
      </c>
      <c r="I184" s="149">
        <f t="shared" si="64"/>
        <v>452.77</v>
      </c>
      <c r="J184" s="149">
        <f t="shared" si="65"/>
        <v>19211.03</v>
      </c>
    </row>
    <row r="185" spans="1:12" s="112" customFormat="1" ht="14.25">
      <c r="A185" s="147" t="s">
        <v>1183</v>
      </c>
      <c r="B185" s="148" t="s">
        <v>1900</v>
      </c>
      <c r="C185" s="164" t="s">
        <v>1903</v>
      </c>
      <c r="D185" s="148" t="s">
        <v>1881</v>
      </c>
      <c r="E185" s="148" t="s">
        <v>139</v>
      </c>
      <c r="F185" s="149">
        <v>9.89</v>
      </c>
      <c r="G185" s="149">
        <f>'5 - R. ANALÍTICO - MODIFICAD'!$H$1418</f>
        <v>80.639999999999986</v>
      </c>
      <c r="H185" s="151">
        <f>'14 -BDI-EDIFICAÇÕES - SEM DESON'!$H$23</f>
        <v>0.2222616419077901</v>
      </c>
      <c r="I185" s="149">
        <f t="shared" si="64"/>
        <v>98.56</v>
      </c>
      <c r="J185" s="149">
        <f t="shared" si="65"/>
        <v>974.76</v>
      </c>
    </row>
    <row r="186" spans="1:12" s="112" customFormat="1" ht="28.5">
      <c r="A186" s="147" t="s">
        <v>1225</v>
      </c>
      <c r="B186" s="148" t="s">
        <v>1901</v>
      </c>
      <c r="C186" s="164" t="s">
        <v>3951</v>
      </c>
      <c r="D186" s="148" t="s">
        <v>1881</v>
      </c>
      <c r="E186" s="148" t="s">
        <v>139</v>
      </c>
      <c r="F186" s="149">
        <v>2.59</v>
      </c>
      <c r="G186" s="149">
        <f>'5 - R. ANALÍTICO - MODIFICAD'!$H$1432</f>
        <v>1335.1000000000001</v>
      </c>
      <c r="H186" s="151">
        <f>'14 -BDI-EDIFICAÇÕES - SEM DESON'!$H$23</f>
        <v>0.2222616419077901</v>
      </c>
      <c r="I186" s="149">
        <f t="shared" si="64"/>
        <v>1631.84</v>
      </c>
      <c r="J186" s="149">
        <f t="shared" si="65"/>
        <v>4226.47</v>
      </c>
    </row>
    <row r="187" spans="1:12" s="112" customFormat="1" ht="14.25">
      <c r="A187" s="147" t="s">
        <v>1231</v>
      </c>
      <c r="B187" s="148" t="s">
        <v>2992</v>
      </c>
      <c r="C187" s="164" t="s">
        <v>3654</v>
      </c>
      <c r="D187" s="148" t="s">
        <v>1881</v>
      </c>
      <c r="E187" s="148" t="s">
        <v>139</v>
      </c>
      <c r="F187" s="149">
        <v>9.61</v>
      </c>
      <c r="G187" s="149">
        <f>'5 - R. ANALÍTICO - MODIFICAD'!$H$985</f>
        <v>851.52</v>
      </c>
      <c r="H187" s="151">
        <f>'14 -BDI-EDIFICAÇÕES - SEM DESON'!$H$23</f>
        <v>0.2222616419077901</v>
      </c>
      <c r="I187" s="149">
        <f t="shared" ref="I187" si="66">ROUND(G187*(1+H187),2)</f>
        <v>1040.78</v>
      </c>
      <c r="J187" s="149">
        <f t="shared" ref="J187" si="67">ROUND(ROUND(F187,2)*ROUND(I187,2),2)</f>
        <v>10001.9</v>
      </c>
    </row>
    <row r="188" spans="1:12" s="112" customFormat="1" ht="14.25">
      <c r="A188" s="147" t="s">
        <v>2138</v>
      </c>
      <c r="B188" s="148" t="s">
        <v>3653</v>
      </c>
      <c r="C188" s="164" t="s">
        <v>3655</v>
      </c>
      <c r="D188" s="148" t="s">
        <v>1881</v>
      </c>
      <c r="E188" s="148" t="s">
        <v>139</v>
      </c>
      <c r="F188" s="149">
        <v>13.18</v>
      </c>
      <c r="G188" s="149">
        <f>'5 - R. ANALÍTICO - MODIFICAD'!$H$1151</f>
        <v>444.37</v>
      </c>
      <c r="H188" s="151">
        <f>'14 -BDI-EDIFICAÇÕES - SEM DESON'!$H$23</f>
        <v>0.2222616419077901</v>
      </c>
      <c r="I188" s="149">
        <f t="shared" ref="I188" si="68">ROUND(G188*(1+H188),2)</f>
        <v>543.14</v>
      </c>
      <c r="J188" s="149">
        <f t="shared" ref="J188" si="69">ROUND(ROUND(F188,2)*ROUND(I188,2),2)</f>
        <v>7158.59</v>
      </c>
    </row>
    <row r="189" spans="1:12" s="112" customFormat="1" ht="28.5">
      <c r="A189" s="147" t="s">
        <v>2139</v>
      </c>
      <c r="B189" s="148" t="s">
        <v>2844</v>
      </c>
      <c r="C189" s="164" t="s">
        <v>2845</v>
      </c>
      <c r="D189" s="148" t="s">
        <v>1881</v>
      </c>
      <c r="E189" s="148" t="s">
        <v>139</v>
      </c>
      <c r="F189" s="149">
        <v>5.18</v>
      </c>
      <c r="G189" s="149">
        <f>'5 - R. ANALÍTICO - MODIFICAD'!$H$1907</f>
        <v>291.11</v>
      </c>
      <c r="H189" s="151">
        <f>'14 -BDI-EDIFICAÇÕES - SEM DESON'!$H$23</f>
        <v>0.2222616419077901</v>
      </c>
      <c r="I189" s="149">
        <f t="shared" si="64"/>
        <v>355.81</v>
      </c>
      <c r="J189" s="149">
        <f t="shared" si="65"/>
        <v>1843.1</v>
      </c>
    </row>
    <row r="190" spans="1:12" ht="14.25">
      <c r="A190" s="147" t="s">
        <v>4121</v>
      </c>
      <c r="B190" s="148" t="s">
        <v>4122</v>
      </c>
      <c r="C190" s="240" t="s">
        <v>4123</v>
      </c>
      <c r="D190" s="148" t="s">
        <v>1881</v>
      </c>
      <c r="E190" s="148" t="s">
        <v>139</v>
      </c>
      <c r="F190" s="149">
        <v>5.93</v>
      </c>
      <c r="G190" s="149">
        <f>'5 - R. ANALÍTICO - MODIFICAD'!$H$2455</f>
        <v>97.300000000000011</v>
      </c>
      <c r="H190" s="151">
        <f>'14 -BDI-EDIFICAÇÕES - SEM DESON'!$H$23</f>
        <v>0.2222616419077901</v>
      </c>
      <c r="I190" s="149">
        <f t="shared" ref="I190" si="70">ROUND(G190*(1+H190),2)</f>
        <v>118.93</v>
      </c>
      <c r="J190" s="149">
        <f t="shared" ref="J190" si="71">ROUND(ROUND(F190,2)*ROUND(I190,2),2)</f>
        <v>705.25</v>
      </c>
      <c r="L190" s="112"/>
    </row>
    <row r="191" spans="1:12" s="112" customFormat="1" ht="29.25" customHeight="1">
      <c r="A191" s="109" t="s">
        <v>275</v>
      </c>
      <c r="B191" s="145" t="s">
        <v>467</v>
      </c>
      <c r="C191" s="143"/>
      <c r="D191" s="143"/>
      <c r="E191" s="143"/>
      <c r="F191" s="143"/>
      <c r="G191" s="143"/>
      <c r="H191" s="143"/>
      <c r="I191" s="144"/>
      <c r="J191" s="113">
        <f>SUM(J192:J193)</f>
        <v>14257.619999999999</v>
      </c>
    </row>
    <row r="192" spans="1:12" ht="14.25">
      <c r="A192" s="147" t="s">
        <v>276</v>
      </c>
      <c r="B192" s="148" t="s">
        <v>1904</v>
      </c>
      <c r="C192" s="164" t="s">
        <v>2542</v>
      </c>
      <c r="D192" s="148" t="s">
        <v>1881</v>
      </c>
      <c r="E192" s="148" t="s">
        <v>173</v>
      </c>
      <c r="F192" s="149">
        <v>17.27</v>
      </c>
      <c r="G192" s="149">
        <f>'5 - R. ANALÍTICO - MODIFICAD'!$H$418</f>
        <v>142.04000000000002</v>
      </c>
      <c r="H192" s="151">
        <f>'14 -BDI-EDIFICAÇÕES - SEM DESON'!$H$23</f>
        <v>0.2222616419077901</v>
      </c>
      <c r="I192" s="149">
        <f t="shared" ref="I192:I193" si="72">ROUND(G192*(1+H192),2)</f>
        <v>173.61</v>
      </c>
      <c r="J192" s="149">
        <f t="shared" ref="J192:J193" si="73">ROUND(ROUND(F192,2)*ROUND(I192,2),2)</f>
        <v>2998.24</v>
      </c>
      <c r="L192" s="112"/>
    </row>
    <row r="193" spans="1:12" s="112" customFormat="1" ht="14.25">
      <c r="A193" s="147" t="s">
        <v>1085</v>
      </c>
      <c r="B193" s="148" t="s">
        <v>1905</v>
      </c>
      <c r="C193" s="164" t="s">
        <v>2559</v>
      </c>
      <c r="D193" s="148" t="s">
        <v>1881</v>
      </c>
      <c r="E193" s="148" t="s">
        <v>173</v>
      </c>
      <c r="F193" s="149">
        <v>42.2</v>
      </c>
      <c r="G193" s="149">
        <f>'5 - R. ANALÍTICO - MODIFICAD'!$H$437</f>
        <v>218.29000000000002</v>
      </c>
      <c r="H193" s="151">
        <f>'14 -BDI-EDIFICAÇÕES - SEM DESON'!$H$23</f>
        <v>0.2222616419077901</v>
      </c>
      <c r="I193" s="149">
        <f t="shared" si="72"/>
        <v>266.81</v>
      </c>
      <c r="J193" s="149">
        <f t="shared" si="73"/>
        <v>11259.38</v>
      </c>
    </row>
    <row r="194" spans="1:12" s="112" customFormat="1" ht="29.25" customHeight="1">
      <c r="A194" s="109" t="s">
        <v>277</v>
      </c>
      <c r="B194" s="145" t="s">
        <v>3892</v>
      </c>
      <c r="C194" s="143"/>
      <c r="D194" s="143"/>
      <c r="E194" s="143"/>
      <c r="F194" s="143"/>
      <c r="G194" s="143"/>
      <c r="H194" s="143"/>
      <c r="I194" s="144"/>
      <c r="J194" s="113">
        <f>SUM(J195:J197)</f>
        <v>176016.46000000002</v>
      </c>
    </row>
    <row r="195" spans="1:12" ht="42.75">
      <c r="A195" s="147" t="s">
        <v>278</v>
      </c>
      <c r="B195" s="148" t="s">
        <v>3831</v>
      </c>
      <c r="C195" s="164" t="s">
        <v>4024</v>
      </c>
      <c r="D195" s="148" t="s">
        <v>3832</v>
      </c>
      <c r="E195" s="148" t="s">
        <v>139</v>
      </c>
      <c r="F195" s="149">
        <v>104.5</v>
      </c>
      <c r="G195" s="149">
        <f>'6 - COTAÇÃO MERCADO'!$D$196</f>
        <v>972.34612440191381</v>
      </c>
      <c r="H195" s="151">
        <f>'14 -BDI-EDIFICAÇÕES - SEM DESON'!$H$23</f>
        <v>0.2222616419077901</v>
      </c>
      <c r="I195" s="149">
        <f t="shared" ref="I195" si="74">ROUND(G195*(1+H195),2)</f>
        <v>1188.46</v>
      </c>
      <c r="J195" s="149">
        <f t="shared" ref="J195" si="75">ROUND(ROUND(F195,2)*ROUND(I195,2),2)</f>
        <v>124194.07</v>
      </c>
      <c r="L195" s="112"/>
    </row>
    <row r="196" spans="1:12" ht="28.5">
      <c r="A196" s="147" t="s">
        <v>3893</v>
      </c>
      <c r="B196" s="148" t="s">
        <v>3895</v>
      </c>
      <c r="C196" s="164" t="s">
        <v>3900</v>
      </c>
      <c r="D196" s="148" t="s">
        <v>1881</v>
      </c>
      <c r="E196" s="148" t="s">
        <v>139</v>
      </c>
      <c r="F196" s="149">
        <v>21.64</v>
      </c>
      <c r="G196" s="149">
        <f>'5 - R. ANALÍTICO - MODIFICAD'!$H$2002</f>
        <v>1107.76</v>
      </c>
      <c r="H196" s="151">
        <f>'14 -BDI-EDIFICAÇÕES - SEM DESON'!$H$23</f>
        <v>0.2222616419077901</v>
      </c>
      <c r="I196" s="149">
        <f t="shared" ref="I196:I197" si="76">ROUND(G196*(1+H196),2)</f>
        <v>1353.97</v>
      </c>
      <c r="J196" s="149">
        <f t="shared" ref="J196:J197" si="77">ROUND(ROUND(F196,2)*ROUND(I196,2),2)</f>
        <v>29299.91</v>
      </c>
      <c r="L196" s="112"/>
    </row>
    <row r="197" spans="1:12" ht="14.25">
      <c r="A197" s="147" t="s">
        <v>3894</v>
      </c>
      <c r="B197" s="148" t="s">
        <v>3896</v>
      </c>
      <c r="C197" s="164" t="s">
        <v>4194</v>
      </c>
      <c r="D197" s="148" t="s">
        <v>1881</v>
      </c>
      <c r="E197" s="148" t="s">
        <v>139</v>
      </c>
      <c r="F197" s="149">
        <v>21.64</v>
      </c>
      <c r="G197" s="149">
        <f>'5 - R. ANALÍTICO - MODIFICAD'!$H$1242</f>
        <v>851.52</v>
      </c>
      <c r="H197" s="151">
        <f>'14 -BDI-EDIFICAÇÕES - SEM DESON'!$H$23</f>
        <v>0.2222616419077901</v>
      </c>
      <c r="I197" s="149">
        <f t="shared" si="76"/>
        <v>1040.78</v>
      </c>
      <c r="J197" s="149">
        <f t="shared" si="77"/>
        <v>22522.48</v>
      </c>
      <c r="L197" s="112"/>
    </row>
    <row r="198" spans="1:12" s="112" customFormat="1" ht="29.25" customHeight="1">
      <c r="A198" s="109" t="s">
        <v>279</v>
      </c>
      <c r="B198" s="145" t="s">
        <v>250</v>
      </c>
      <c r="C198" s="143"/>
      <c r="D198" s="143"/>
      <c r="E198" s="143"/>
      <c r="F198" s="143"/>
      <c r="G198" s="143"/>
      <c r="H198" s="143"/>
      <c r="I198" s="144"/>
      <c r="J198" s="113">
        <f>SUM(J199:J204)</f>
        <v>141065.94999999998</v>
      </c>
    </row>
    <row r="199" spans="1:12" s="112" customFormat="1" ht="28.5">
      <c r="A199" s="147" t="s">
        <v>280</v>
      </c>
      <c r="B199" s="148" t="s">
        <v>1907</v>
      </c>
      <c r="C199" s="164" t="s">
        <v>2612</v>
      </c>
      <c r="D199" s="148" t="s">
        <v>1881</v>
      </c>
      <c r="E199" s="148" t="s">
        <v>139</v>
      </c>
      <c r="F199" s="149">
        <v>337.09</v>
      </c>
      <c r="G199" s="149">
        <f>'5 - R. ANALÍTICO - MODIFICAD'!$H$766</f>
        <v>194.75000000000003</v>
      </c>
      <c r="H199" s="151">
        <f>'14 -BDI-EDIFICAÇÕES - SEM DESON'!$H$23</f>
        <v>0.2222616419077901</v>
      </c>
      <c r="I199" s="149">
        <f t="shared" ref="I199:I204" si="78">ROUND(G199*(1+H199),2)</f>
        <v>238.04</v>
      </c>
      <c r="J199" s="149">
        <f t="shared" ref="J199:J204" si="79">ROUND(ROUND(F199,2)*ROUND(I199,2),2)</f>
        <v>80240.899999999994</v>
      </c>
    </row>
    <row r="200" spans="1:12" s="112" customFormat="1" ht="28.5">
      <c r="A200" s="147" t="s">
        <v>281</v>
      </c>
      <c r="B200" s="148" t="s">
        <v>3658</v>
      </c>
      <c r="C200" s="164" t="s">
        <v>3659</v>
      </c>
      <c r="D200" s="148" t="s">
        <v>1881</v>
      </c>
      <c r="E200" s="148" t="s">
        <v>173</v>
      </c>
      <c r="F200" s="149">
        <v>17.850000000000001</v>
      </c>
      <c r="G200" s="149">
        <f>'5 - R. ANALÍTICO - MODIFICAD'!$H$1166</f>
        <v>56.370000000000005</v>
      </c>
      <c r="H200" s="151">
        <f>'14 -BDI-EDIFICAÇÕES - SEM DESON'!$H$23</f>
        <v>0.2222616419077901</v>
      </c>
      <c r="I200" s="149">
        <f t="shared" ref="I200" si="80">ROUND(G200*(1+H200),2)</f>
        <v>68.900000000000006</v>
      </c>
      <c r="J200" s="149">
        <f t="shared" ref="J200" si="81">ROUND(ROUND(F200,2)*ROUND(I200,2),2)</f>
        <v>1229.8699999999999</v>
      </c>
    </row>
    <row r="201" spans="1:12" s="112" customFormat="1" ht="28.5">
      <c r="A201" s="147" t="s">
        <v>282</v>
      </c>
      <c r="B201" s="148">
        <v>94231</v>
      </c>
      <c r="C201" s="164" t="s">
        <v>1817</v>
      </c>
      <c r="D201" s="148" t="s">
        <v>119</v>
      </c>
      <c r="E201" s="148" t="s">
        <v>173</v>
      </c>
      <c r="F201" s="149">
        <v>184.5</v>
      </c>
      <c r="G201" s="149">
        <v>49.94</v>
      </c>
      <c r="H201" s="151">
        <f>'14 -BDI-EDIFICAÇÕES - SEM DESON'!$H$23</f>
        <v>0.2222616419077901</v>
      </c>
      <c r="I201" s="149">
        <f t="shared" si="78"/>
        <v>61.04</v>
      </c>
      <c r="J201" s="149">
        <f t="shared" si="79"/>
        <v>11261.88</v>
      </c>
    </row>
    <row r="202" spans="1:12" ht="28.5">
      <c r="A202" s="147" t="s">
        <v>2253</v>
      </c>
      <c r="B202" s="148">
        <v>94229</v>
      </c>
      <c r="C202" s="164" t="s">
        <v>3994</v>
      </c>
      <c r="D202" s="148" t="s">
        <v>119</v>
      </c>
      <c r="E202" s="148" t="s">
        <v>173</v>
      </c>
      <c r="F202" s="149">
        <v>57.52</v>
      </c>
      <c r="G202" s="149">
        <v>161.69999999999999</v>
      </c>
      <c r="H202" s="151">
        <f>'14 -BDI-EDIFICAÇÕES - SEM DESON'!$H$23</f>
        <v>0.2222616419077901</v>
      </c>
      <c r="I202" s="149">
        <f t="shared" si="78"/>
        <v>197.64</v>
      </c>
      <c r="J202" s="149">
        <f t="shared" si="79"/>
        <v>11368.25</v>
      </c>
      <c r="L202" s="112"/>
    </row>
    <row r="203" spans="1:12" ht="14.25">
      <c r="A203" s="147" t="s">
        <v>2690</v>
      </c>
      <c r="B203" s="148" t="s">
        <v>2254</v>
      </c>
      <c r="C203" s="164" t="s">
        <v>4195</v>
      </c>
      <c r="D203" s="148" t="s">
        <v>1881</v>
      </c>
      <c r="E203" s="148" t="s">
        <v>139</v>
      </c>
      <c r="F203" s="149">
        <v>25.78</v>
      </c>
      <c r="G203" s="149">
        <f>'5 - R. ANALÍTICO - MODIFICAD'!$H$452</f>
        <v>851.52</v>
      </c>
      <c r="H203" s="151">
        <f>'14 -BDI-EDIFICAÇÕES - SEM DESON'!$H$23</f>
        <v>0.2222616419077901</v>
      </c>
      <c r="I203" s="149">
        <f t="shared" si="78"/>
        <v>1040.78</v>
      </c>
      <c r="J203" s="149">
        <f t="shared" si="79"/>
        <v>26831.31</v>
      </c>
      <c r="L203" s="112"/>
    </row>
    <row r="204" spans="1:12" ht="14.25">
      <c r="A204" s="147" t="s">
        <v>3661</v>
      </c>
      <c r="B204" s="148" t="s">
        <v>2777</v>
      </c>
      <c r="C204" s="164" t="s">
        <v>2691</v>
      </c>
      <c r="D204" s="148" t="s">
        <v>1881</v>
      </c>
      <c r="E204" s="148" t="s">
        <v>200</v>
      </c>
      <c r="F204" s="149">
        <v>878.14</v>
      </c>
      <c r="G204" s="149">
        <f>'5 - R. ANALÍTICO - MODIFICAD'!$H$2317</f>
        <v>9.44</v>
      </c>
      <c r="H204" s="151">
        <f>'14 -BDI-EDIFICAÇÕES - SEM DESON'!$H$23</f>
        <v>0.2222616419077901</v>
      </c>
      <c r="I204" s="149">
        <f t="shared" si="78"/>
        <v>11.54</v>
      </c>
      <c r="J204" s="149">
        <f t="shared" si="79"/>
        <v>10133.74</v>
      </c>
      <c r="L204" s="112"/>
    </row>
    <row r="205" spans="1:12" s="112" customFormat="1" ht="29.25" customHeight="1">
      <c r="A205" s="109" t="s">
        <v>283</v>
      </c>
      <c r="B205" s="145" t="s">
        <v>284</v>
      </c>
      <c r="C205" s="143"/>
      <c r="D205" s="143"/>
      <c r="E205" s="143"/>
      <c r="F205" s="143"/>
      <c r="G205" s="143"/>
      <c r="H205" s="143"/>
      <c r="I205" s="144"/>
      <c r="J205" s="113">
        <f>J206+J224+J246</f>
        <v>458886.88999999996</v>
      </c>
    </row>
    <row r="206" spans="1:12" s="112" customFormat="1" ht="29.25" customHeight="1">
      <c r="A206" s="109" t="s">
        <v>285</v>
      </c>
      <c r="B206" s="145" t="s">
        <v>286</v>
      </c>
      <c r="C206" s="143"/>
      <c r="D206" s="143"/>
      <c r="E206" s="143"/>
      <c r="F206" s="143"/>
      <c r="G206" s="143"/>
      <c r="H206" s="143"/>
      <c r="I206" s="144"/>
      <c r="J206" s="113">
        <f>J207+J213+J222</f>
        <v>206036.29</v>
      </c>
    </row>
    <row r="207" spans="1:12" s="112" customFormat="1" ht="29.25" customHeight="1">
      <c r="A207" s="109" t="s">
        <v>287</v>
      </c>
      <c r="B207" s="145" t="s">
        <v>288</v>
      </c>
      <c r="C207" s="143"/>
      <c r="D207" s="143"/>
      <c r="E207" s="143"/>
      <c r="F207" s="143"/>
      <c r="G207" s="143"/>
      <c r="H207" s="143"/>
      <c r="I207" s="144"/>
      <c r="J207" s="113">
        <f>SUM(J208:J212)</f>
        <v>110299.89000000001</v>
      </c>
    </row>
    <row r="208" spans="1:12" ht="28.5">
      <c r="A208" s="147" t="s">
        <v>289</v>
      </c>
      <c r="B208" s="148">
        <v>100324</v>
      </c>
      <c r="C208" s="164" t="s">
        <v>290</v>
      </c>
      <c r="D208" s="148" t="s">
        <v>119</v>
      </c>
      <c r="E208" s="148" t="s">
        <v>167</v>
      </c>
      <c r="F208" s="149">
        <v>27.04</v>
      </c>
      <c r="G208" s="149">
        <v>300.37</v>
      </c>
      <c r="H208" s="151">
        <f>'14 -BDI-EDIFICAÇÕES - SEM DESON'!$H$23</f>
        <v>0.2222616419077901</v>
      </c>
      <c r="I208" s="149">
        <f t="shared" ref="I208:I212" si="82">ROUND(G208*(1+H208),2)</f>
        <v>367.13</v>
      </c>
      <c r="J208" s="149">
        <f t="shared" ref="J208:J212" si="83">ROUND(ROUND(F208,2)*ROUND(I208,2),2)</f>
        <v>9927.2000000000007</v>
      </c>
      <c r="L208" s="112"/>
    </row>
    <row r="209" spans="1:12" ht="28.5">
      <c r="A209" s="147" t="s">
        <v>291</v>
      </c>
      <c r="B209" s="148">
        <v>94993</v>
      </c>
      <c r="C209" s="164" t="s">
        <v>2768</v>
      </c>
      <c r="D209" s="148" t="s">
        <v>119</v>
      </c>
      <c r="E209" s="148" t="s">
        <v>139</v>
      </c>
      <c r="F209" s="149">
        <v>453.6</v>
      </c>
      <c r="G209" s="149">
        <v>75.64</v>
      </c>
      <c r="H209" s="151">
        <f>'14 -BDI-EDIFICAÇÕES - SEM DESON'!$H$23</f>
        <v>0.2222616419077901</v>
      </c>
      <c r="I209" s="149">
        <f t="shared" si="82"/>
        <v>92.45</v>
      </c>
      <c r="J209" s="149">
        <f t="shared" si="83"/>
        <v>41935.32</v>
      </c>
      <c r="L209" s="112"/>
    </row>
    <row r="210" spans="1:12" s="112" customFormat="1" ht="28.5">
      <c r="A210" s="147" t="s">
        <v>292</v>
      </c>
      <c r="B210" s="148">
        <v>87749</v>
      </c>
      <c r="C210" s="164" t="s">
        <v>1088</v>
      </c>
      <c r="D210" s="148" t="s">
        <v>119</v>
      </c>
      <c r="E210" s="148" t="s">
        <v>139</v>
      </c>
      <c r="F210" s="149">
        <v>57.6</v>
      </c>
      <c r="G210" s="149">
        <v>111.23</v>
      </c>
      <c r="H210" s="151">
        <f>'14 -BDI-EDIFICAÇÕES - SEM DESON'!$H$23</f>
        <v>0.2222616419077901</v>
      </c>
      <c r="I210" s="149">
        <f t="shared" si="82"/>
        <v>135.94999999999999</v>
      </c>
      <c r="J210" s="149">
        <f t="shared" si="83"/>
        <v>7830.72</v>
      </c>
    </row>
    <row r="211" spans="1:12" s="112" customFormat="1" ht="28.5">
      <c r="A211" s="147" t="s">
        <v>1062</v>
      </c>
      <c r="B211" s="148">
        <v>87644</v>
      </c>
      <c r="C211" s="164" t="s">
        <v>2799</v>
      </c>
      <c r="D211" s="148" t="s">
        <v>119</v>
      </c>
      <c r="E211" s="148" t="s">
        <v>167</v>
      </c>
      <c r="F211" s="149">
        <v>331.3</v>
      </c>
      <c r="G211" s="149">
        <v>117.91</v>
      </c>
      <c r="H211" s="151">
        <f>'14 -BDI-EDIFICAÇÕES - SEM DESON'!$H$23</f>
        <v>0.2222616419077901</v>
      </c>
      <c r="I211" s="149">
        <f t="shared" si="82"/>
        <v>144.12</v>
      </c>
      <c r="J211" s="149">
        <f t="shared" si="83"/>
        <v>47746.96</v>
      </c>
    </row>
    <row r="212" spans="1:12" s="112" customFormat="1" ht="28.5">
      <c r="A212" s="147" t="s">
        <v>1065</v>
      </c>
      <c r="B212" s="148" t="s">
        <v>3507</v>
      </c>
      <c r="C212" s="164" t="s">
        <v>3509</v>
      </c>
      <c r="D212" s="148" t="s">
        <v>1881</v>
      </c>
      <c r="E212" s="148" t="s">
        <v>139</v>
      </c>
      <c r="F212" s="149">
        <v>57.32</v>
      </c>
      <c r="G212" s="149">
        <f>'5 - R. ANALÍTICO - MODIFICAD'!$H$1136</f>
        <v>40.82</v>
      </c>
      <c r="H212" s="151">
        <f>'14 -BDI-EDIFICAÇÕES - SEM DESON'!$H$23</f>
        <v>0.2222616419077901</v>
      </c>
      <c r="I212" s="149">
        <f t="shared" si="82"/>
        <v>49.89</v>
      </c>
      <c r="J212" s="149">
        <f t="shared" si="83"/>
        <v>2859.69</v>
      </c>
    </row>
    <row r="213" spans="1:12" s="112" customFormat="1" ht="29.25" customHeight="1">
      <c r="A213" s="109" t="s">
        <v>293</v>
      </c>
      <c r="B213" s="145" t="s">
        <v>294</v>
      </c>
      <c r="C213" s="143"/>
      <c r="D213" s="143"/>
      <c r="E213" s="143"/>
      <c r="F213" s="143"/>
      <c r="G213" s="143"/>
      <c r="H213" s="143"/>
      <c r="I213" s="144"/>
      <c r="J213" s="113">
        <f>SUM(J214:J221)</f>
        <v>92574.559999999983</v>
      </c>
    </row>
    <row r="214" spans="1:12" ht="42.75">
      <c r="A214" s="147" t="s">
        <v>295</v>
      </c>
      <c r="B214" s="148" t="s">
        <v>1908</v>
      </c>
      <c r="C214" s="164" t="s">
        <v>4025</v>
      </c>
      <c r="D214" s="148" t="s">
        <v>1881</v>
      </c>
      <c r="E214" s="148" t="s">
        <v>139</v>
      </c>
      <c r="F214" s="149">
        <v>15.78</v>
      </c>
      <c r="G214" s="149">
        <f>'5 - R. ANALÍTICO - MODIFICAD'!$H$221</f>
        <v>184.39000000000001</v>
      </c>
      <c r="H214" s="151">
        <f>'14 -BDI-EDIFICAÇÕES - SEM DESON'!$H$23</f>
        <v>0.2222616419077901</v>
      </c>
      <c r="I214" s="149">
        <f t="shared" ref="I214:I221" si="84">ROUND(G214*(1+H214),2)</f>
        <v>225.37</v>
      </c>
      <c r="J214" s="149">
        <f t="shared" ref="J214:J221" si="85">ROUND(ROUND(F214,2)*ROUND(I214,2),2)</f>
        <v>3556.34</v>
      </c>
      <c r="L214" s="112"/>
    </row>
    <row r="215" spans="1:12" ht="42.75">
      <c r="A215" s="147" t="s">
        <v>296</v>
      </c>
      <c r="B215" s="148" t="s">
        <v>2763</v>
      </c>
      <c r="C215" s="164" t="s">
        <v>4026</v>
      </c>
      <c r="D215" s="148" t="s">
        <v>1881</v>
      </c>
      <c r="E215" s="148" t="s">
        <v>139</v>
      </c>
      <c r="F215" s="149">
        <v>332.32</v>
      </c>
      <c r="G215" s="149">
        <f>'5 - R. ANALÍTICO - MODIFICAD'!$H$76</f>
        <v>172.46</v>
      </c>
      <c r="H215" s="151">
        <f>'14 -BDI-EDIFICAÇÕES - SEM DESON'!$H$23</f>
        <v>0.2222616419077901</v>
      </c>
      <c r="I215" s="149">
        <f t="shared" si="84"/>
        <v>210.79</v>
      </c>
      <c r="J215" s="149">
        <f t="shared" si="85"/>
        <v>70049.73</v>
      </c>
      <c r="L215" s="112"/>
    </row>
    <row r="216" spans="1:12" ht="42.75">
      <c r="A216" s="147" t="s">
        <v>1166</v>
      </c>
      <c r="B216" s="148" t="s">
        <v>2764</v>
      </c>
      <c r="C216" s="164" t="s">
        <v>4027</v>
      </c>
      <c r="D216" s="148" t="s">
        <v>1881</v>
      </c>
      <c r="E216" s="148" t="s">
        <v>139</v>
      </c>
      <c r="F216" s="149">
        <v>38.25</v>
      </c>
      <c r="G216" s="149">
        <f>'5 - R. ANALÍTICO - MODIFICAD'!$H$90</f>
        <v>200.79</v>
      </c>
      <c r="H216" s="151">
        <f>'14 -BDI-EDIFICAÇÕES - SEM DESON'!$H$23</f>
        <v>0.2222616419077901</v>
      </c>
      <c r="I216" s="149">
        <f t="shared" si="84"/>
        <v>245.42</v>
      </c>
      <c r="J216" s="149">
        <f t="shared" si="85"/>
        <v>9387.32</v>
      </c>
      <c r="L216" s="112"/>
    </row>
    <row r="217" spans="1:12" ht="42.75">
      <c r="A217" s="147" t="s">
        <v>1167</v>
      </c>
      <c r="B217" s="148" t="s">
        <v>1909</v>
      </c>
      <c r="C217" s="164" t="s">
        <v>4028</v>
      </c>
      <c r="D217" s="148" t="s">
        <v>1881</v>
      </c>
      <c r="E217" s="148" t="s">
        <v>173</v>
      </c>
      <c r="F217" s="149">
        <v>161.24</v>
      </c>
      <c r="G217" s="149">
        <f>'5 - R. ANALÍTICO - MODIFICAD'!$H$1446</f>
        <v>41.33</v>
      </c>
      <c r="H217" s="151">
        <f>'14 -BDI-EDIFICAÇÕES - SEM DESON'!$H$23</f>
        <v>0.2222616419077901</v>
      </c>
      <c r="I217" s="149">
        <f t="shared" si="84"/>
        <v>50.52</v>
      </c>
      <c r="J217" s="149">
        <f t="shared" si="85"/>
        <v>8145.84</v>
      </c>
      <c r="L217" s="112"/>
    </row>
    <row r="218" spans="1:12" ht="28.5">
      <c r="A218" s="147" t="s">
        <v>1168</v>
      </c>
      <c r="B218" s="148">
        <v>96542</v>
      </c>
      <c r="C218" s="164" t="s">
        <v>1169</v>
      </c>
      <c r="D218" s="148" t="s">
        <v>119</v>
      </c>
      <c r="E218" s="148" t="s">
        <v>139</v>
      </c>
      <c r="F218" s="149">
        <v>0.46</v>
      </c>
      <c r="G218" s="149">
        <v>96.91</v>
      </c>
      <c r="H218" s="151">
        <f>'14 -BDI-EDIFICAÇÕES - SEM DESON'!$H$23</f>
        <v>0.2222616419077901</v>
      </c>
      <c r="I218" s="149">
        <f t="shared" si="84"/>
        <v>118.45</v>
      </c>
      <c r="J218" s="149">
        <f t="shared" si="85"/>
        <v>54.49</v>
      </c>
      <c r="L218" s="112"/>
    </row>
    <row r="219" spans="1:12" ht="28.5">
      <c r="A219" s="147" t="s">
        <v>2761</v>
      </c>
      <c r="B219" s="148">
        <v>101159</v>
      </c>
      <c r="C219" s="164" t="s">
        <v>3255</v>
      </c>
      <c r="D219" s="148" t="s">
        <v>119</v>
      </c>
      <c r="E219" s="148" t="s">
        <v>139</v>
      </c>
      <c r="F219" s="149">
        <v>2.13</v>
      </c>
      <c r="G219" s="149">
        <v>146.21</v>
      </c>
      <c r="H219" s="151">
        <f>'14 -BDI-EDIFICAÇÕES - SEM DESON'!$H$23</f>
        <v>0.2222616419077901</v>
      </c>
      <c r="I219" s="149">
        <f t="shared" si="84"/>
        <v>178.71</v>
      </c>
      <c r="J219" s="149">
        <f t="shared" si="85"/>
        <v>380.65</v>
      </c>
      <c r="L219" s="112"/>
    </row>
    <row r="220" spans="1:12" ht="28.5">
      <c r="A220" s="147" t="s">
        <v>2762</v>
      </c>
      <c r="B220" s="148" t="s">
        <v>3379</v>
      </c>
      <c r="C220" s="164" t="s">
        <v>3380</v>
      </c>
      <c r="D220" s="148" t="s">
        <v>1881</v>
      </c>
      <c r="E220" s="148" t="s">
        <v>167</v>
      </c>
      <c r="F220" s="149">
        <v>0.06</v>
      </c>
      <c r="G220" s="149">
        <f>'5 - R. ANALÍTICO - MODIFICAD'!$H$1101</f>
        <v>771.15</v>
      </c>
      <c r="H220" s="151">
        <f>'14 -BDI-EDIFICAÇÕES - SEM DESON'!$H$23</f>
        <v>0.2222616419077901</v>
      </c>
      <c r="I220" s="149">
        <f t="shared" ref="I220" si="86">ROUND(G220*(1+H220),2)</f>
        <v>942.55</v>
      </c>
      <c r="J220" s="149">
        <f t="shared" ref="J220" si="87">ROUND(ROUND(F220,2)*ROUND(I220,2),2)</f>
        <v>56.55</v>
      </c>
      <c r="L220" s="112"/>
    </row>
    <row r="221" spans="1:12" ht="14.25">
      <c r="A221" s="147" t="s">
        <v>3256</v>
      </c>
      <c r="B221" s="148" t="s">
        <v>1910</v>
      </c>
      <c r="C221" s="164" t="s">
        <v>2602</v>
      </c>
      <c r="D221" s="148" t="s">
        <v>1881</v>
      </c>
      <c r="E221" s="148" t="s">
        <v>173</v>
      </c>
      <c r="F221" s="149">
        <v>4.63</v>
      </c>
      <c r="G221" s="149">
        <f>'5 - R. ANALÍTICO - MODIFICAD'!$H$706</f>
        <v>166.75</v>
      </c>
      <c r="H221" s="151">
        <f>'14 -BDI-EDIFICAÇÕES - SEM DESON'!$H$23</f>
        <v>0.2222616419077901</v>
      </c>
      <c r="I221" s="149">
        <f t="shared" si="84"/>
        <v>203.81</v>
      </c>
      <c r="J221" s="149">
        <f t="shared" si="85"/>
        <v>943.64</v>
      </c>
      <c r="L221" s="112"/>
    </row>
    <row r="222" spans="1:12" s="112" customFormat="1" ht="29.25" customHeight="1">
      <c r="A222" s="109" t="s">
        <v>297</v>
      </c>
      <c r="B222" s="145" t="s">
        <v>926</v>
      </c>
      <c r="C222" s="143"/>
      <c r="D222" s="143"/>
      <c r="E222" s="143"/>
      <c r="F222" s="143"/>
      <c r="G222" s="143"/>
      <c r="H222" s="143"/>
      <c r="I222" s="144"/>
      <c r="J222" s="113">
        <f>J223</f>
        <v>3161.84</v>
      </c>
    </row>
    <row r="223" spans="1:12" ht="28.5">
      <c r="A223" s="147" t="s">
        <v>298</v>
      </c>
      <c r="B223" s="148" t="s">
        <v>3881</v>
      </c>
      <c r="C223" s="164" t="s">
        <v>3968</v>
      </c>
      <c r="D223" s="148" t="s">
        <v>1881</v>
      </c>
      <c r="E223" s="148" t="s">
        <v>173</v>
      </c>
      <c r="F223" s="149">
        <v>18.5</v>
      </c>
      <c r="G223" s="149">
        <f>'5 - R. ANALÍTICO - MODIFICAD'!$H$1227</f>
        <v>139.82999999999998</v>
      </c>
      <c r="H223" s="151">
        <f>'14 -BDI-EDIFICAÇÕES - SEM DESON'!$H$23</f>
        <v>0.2222616419077901</v>
      </c>
      <c r="I223" s="149">
        <f>ROUND(G223*(1+H223),2)</f>
        <v>170.91</v>
      </c>
      <c r="J223" s="149">
        <f>ROUND(ROUND(F223,2)*ROUND(I223,2),2)</f>
        <v>3161.84</v>
      </c>
      <c r="L223" s="112"/>
    </row>
    <row r="224" spans="1:12" s="112" customFormat="1" ht="29.25" customHeight="1">
      <c r="A224" s="109" t="s">
        <v>299</v>
      </c>
      <c r="B224" s="145" t="s">
        <v>300</v>
      </c>
      <c r="C224" s="143"/>
      <c r="D224" s="143"/>
      <c r="E224" s="143"/>
      <c r="F224" s="143"/>
      <c r="G224" s="143"/>
      <c r="H224" s="143"/>
      <c r="I224" s="144"/>
      <c r="J224" s="113">
        <f>J225+J240</f>
        <v>185126.68</v>
      </c>
    </row>
    <row r="225" spans="1:12" s="112" customFormat="1" ht="29.25" customHeight="1">
      <c r="A225" s="109" t="s">
        <v>301</v>
      </c>
      <c r="B225" s="145" t="s">
        <v>1189</v>
      </c>
      <c r="C225" s="143"/>
      <c r="D225" s="143"/>
      <c r="E225" s="143"/>
      <c r="F225" s="143"/>
      <c r="G225" s="143"/>
      <c r="H225" s="143"/>
      <c r="I225" s="144"/>
      <c r="J225" s="113">
        <f>SUM(J226:J239)</f>
        <v>124337.14</v>
      </c>
    </row>
    <row r="226" spans="1:12" s="479" customFormat="1" ht="28.5">
      <c r="A226" s="474" t="s">
        <v>1190</v>
      </c>
      <c r="B226" s="475">
        <v>87879</v>
      </c>
      <c r="C226" s="476" t="s">
        <v>3973</v>
      </c>
      <c r="D226" s="475" t="s">
        <v>119</v>
      </c>
      <c r="E226" s="475" t="s">
        <v>139</v>
      </c>
      <c r="F226" s="149">
        <v>787.64</v>
      </c>
      <c r="G226" s="477">
        <v>4.91</v>
      </c>
      <c r="H226" s="478">
        <f>'14 -BDI-EDIFICAÇÕES - SEM DESON'!$H$23</f>
        <v>0.2222616419077901</v>
      </c>
      <c r="I226" s="477">
        <f t="shared" ref="I226:I238" si="88">ROUND(G226*(1+H226),2)</f>
        <v>6</v>
      </c>
      <c r="J226" s="477">
        <f t="shared" ref="J226:J238" si="89">ROUND(ROUND(F226,2)*ROUND(I226,2),2)</f>
        <v>4725.84</v>
      </c>
    </row>
    <row r="227" spans="1:12" ht="28.5">
      <c r="A227" s="474" t="s">
        <v>1191</v>
      </c>
      <c r="B227" s="148" t="s">
        <v>3507</v>
      </c>
      <c r="C227" s="164" t="s">
        <v>3509</v>
      </c>
      <c r="D227" s="148" t="s">
        <v>1881</v>
      </c>
      <c r="E227" s="148" t="s">
        <v>139</v>
      </c>
      <c r="F227" s="149">
        <v>122.96</v>
      </c>
      <c r="G227" s="149">
        <f>'5 - R. ANALÍTICO - MODIFICAD'!$H$1136</f>
        <v>40.82</v>
      </c>
      <c r="H227" s="151">
        <f>'14 -BDI-EDIFICAÇÕES - SEM DESON'!$H$23</f>
        <v>0.2222616419077901</v>
      </c>
      <c r="I227" s="149">
        <f t="shared" si="88"/>
        <v>49.89</v>
      </c>
      <c r="J227" s="149">
        <f t="shared" si="89"/>
        <v>6134.47</v>
      </c>
      <c r="L227" s="112"/>
    </row>
    <row r="228" spans="1:12" ht="28.5">
      <c r="A228" s="474" t="s">
        <v>1192</v>
      </c>
      <c r="B228" s="148" t="s">
        <v>2878</v>
      </c>
      <c r="C228" s="164" t="s">
        <v>2874</v>
      </c>
      <c r="D228" s="148" t="s">
        <v>1881</v>
      </c>
      <c r="E228" s="148" t="s">
        <v>139</v>
      </c>
      <c r="F228" s="149">
        <v>308</v>
      </c>
      <c r="G228" s="149">
        <f>'5 - R. ANALÍTICO - MODIFICAD'!$H$1930</f>
        <v>24.47</v>
      </c>
      <c r="H228" s="151">
        <f>'14 -BDI-EDIFICAÇÕES - SEM DESON'!$H$23</f>
        <v>0.2222616419077901</v>
      </c>
      <c r="I228" s="149">
        <f t="shared" si="88"/>
        <v>29.91</v>
      </c>
      <c r="J228" s="149">
        <f t="shared" si="89"/>
        <v>9212.2800000000007</v>
      </c>
      <c r="L228" s="112"/>
    </row>
    <row r="229" spans="1:12" s="479" customFormat="1" ht="28.5">
      <c r="A229" s="474" t="s">
        <v>1193</v>
      </c>
      <c r="B229" s="148">
        <v>87547</v>
      </c>
      <c r="C229" s="164" t="s">
        <v>4029</v>
      </c>
      <c r="D229" s="475" t="s">
        <v>119</v>
      </c>
      <c r="E229" s="475" t="s">
        <v>139</v>
      </c>
      <c r="F229" s="149">
        <v>238.23</v>
      </c>
      <c r="G229" s="477">
        <v>28.54</v>
      </c>
      <c r="H229" s="478">
        <f>'14 -BDI-EDIFICAÇÕES - SEM DESON'!$H$23</f>
        <v>0.2222616419077901</v>
      </c>
      <c r="I229" s="477">
        <f t="shared" si="88"/>
        <v>34.880000000000003</v>
      </c>
      <c r="J229" s="477">
        <f t="shared" si="89"/>
        <v>8309.4599999999991</v>
      </c>
    </row>
    <row r="230" spans="1:12" s="479" customFormat="1" ht="28.5">
      <c r="A230" s="474" t="s">
        <v>1194</v>
      </c>
      <c r="B230" s="475">
        <v>104958</v>
      </c>
      <c r="C230" s="476" t="s">
        <v>3975</v>
      </c>
      <c r="D230" s="475" t="s">
        <v>119</v>
      </c>
      <c r="E230" s="475" t="s">
        <v>139</v>
      </c>
      <c r="F230" s="149">
        <v>282.56</v>
      </c>
      <c r="G230" s="477">
        <v>25.01</v>
      </c>
      <c r="H230" s="478">
        <f>'14 -BDI-EDIFICAÇÕES - SEM DESON'!$H$23</f>
        <v>0.2222616419077901</v>
      </c>
      <c r="I230" s="477">
        <f t="shared" si="88"/>
        <v>30.57</v>
      </c>
      <c r="J230" s="477">
        <f t="shared" si="89"/>
        <v>8637.86</v>
      </c>
    </row>
    <row r="231" spans="1:12" ht="28.5">
      <c r="A231" s="474" t="s">
        <v>1195</v>
      </c>
      <c r="B231" s="148">
        <v>96131</v>
      </c>
      <c r="C231" s="164" t="s">
        <v>2149</v>
      </c>
      <c r="D231" s="148" t="s">
        <v>119</v>
      </c>
      <c r="E231" s="148" t="s">
        <v>139</v>
      </c>
      <c r="F231" s="149">
        <v>259.99</v>
      </c>
      <c r="G231" s="149">
        <v>30.71</v>
      </c>
      <c r="H231" s="151">
        <f>'14 -BDI-EDIFICAÇÕES - SEM DESON'!$H$23</f>
        <v>0.2222616419077901</v>
      </c>
      <c r="I231" s="149">
        <f t="shared" si="88"/>
        <v>37.54</v>
      </c>
      <c r="J231" s="149">
        <f t="shared" si="89"/>
        <v>9760.02</v>
      </c>
      <c r="L231" s="112"/>
    </row>
    <row r="232" spans="1:12" ht="28.5">
      <c r="A232" s="474" t="s">
        <v>1196</v>
      </c>
      <c r="B232" s="148">
        <v>96132</v>
      </c>
      <c r="C232" s="164" t="s">
        <v>3982</v>
      </c>
      <c r="D232" s="148" t="s">
        <v>119</v>
      </c>
      <c r="E232" s="148" t="s">
        <v>139</v>
      </c>
      <c r="F232" s="149">
        <v>321.52999999999997</v>
      </c>
      <c r="G232" s="149">
        <v>20.27</v>
      </c>
      <c r="H232" s="151">
        <f>'14 -BDI-EDIFICAÇÕES - SEM DESON'!$H$23</f>
        <v>0.2222616419077901</v>
      </c>
      <c r="I232" s="149">
        <f t="shared" ref="I232" si="90">ROUND(G232*(1+H232),2)</f>
        <v>24.78</v>
      </c>
      <c r="J232" s="149">
        <f t="shared" ref="J232" si="91">ROUND(ROUND(F232,2)*ROUND(I232,2),2)</f>
        <v>7967.51</v>
      </c>
      <c r="L232" s="112"/>
    </row>
    <row r="233" spans="1:12" ht="14.25">
      <c r="A233" s="474" t="s">
        <v>1197</v>
      </c>
      <c r="B233" s="148">
        <v>88485</v>
      </c>
      <c r="C233" s="164" t="s">
        <v>2772</v>
      </c>
      <c r="D233" s="148" t="s">
        <v>119</v>
      </c>
      <c r="E233" s="148" t="s">
        <v>139</v>
      </c>
      <c r="F233" s="149">
        <v>581.52</v>
      </c>
      <c r="G233" s="149">
        <v>4.78</v>
      </c>
      <c r="H233" s="151">
        <f>'14 -BDI-EDIFICAÇÕES - SEM DESON'!$H$23</f>
        <v>0.2222616419077901</v>
      </c>
      <c r="I233" s="149">
        <f t="shared" si="88"/>
        <v>5.84</v>
      </c>
      <c r="J233" s="149">
        <f t="shared" si="89"/>
        <v>3396.08</v>
      </c>
      <c r="L233" s="112"/>
    </row>
    <row r="234" spans="1:12" ht="28.5">
      <c r="A234" s="474" t="s">
        <v>2148</v>
      </c>
      <c r="B234" s="148">
        <v>88489</v>
      </c>
      <c r="C234" s="164" t="s">
        <v>2770</v>
      </c>
      <c r="D234" s="148" t="s">
        <v>119</v>
      </c>
      <c r="E234" s="148" t="s">
        <v>139</v>
      </c>
      <c r="F234" s="149">
        <v>581.52</v>
      </c>
      <c r="G234" s="149">
        <v>13.84</v>
      </c>
      <c r="H234" s="151">
        <f>'14 -BDI-EDIFICAÇÕES - SEM DESON'!$H$23</f>
        <v>0.2222616419077901</v>
      </c>
      <c r="I234" s="149">
        <f t="shared" si="88"/>
        <v>16.920000000000002</v>
      </c>
      <c r="J234" s="149">
        <f t="shared" si="89"/>
        <v>9839.32</v>
      </c>
      <c r="L234" s="112"/>
    </row>
    <row r="235" spans="1:12" ht="28.5">
      <c r="A235" s="474" t="s">
        <v>2773</v>
      </c>
      <c r="B235" s="148">
        <v>87545</v>
      </c>
      <c r="C235" s="164" t="s">
        <v>3976</v>
      </c>
      <c r="D235" s="148" t="s">
        <v>119</v>
      </c>
      <c r="E235" s="148" t="s">
        <v>139</v>
      </c>
      <c r="F235" s="149">
        <v>77.83</v>
      </c>
      <c r="G235" s="149">
        <v>31.96</v>
      </c>
      <c r="H235" s="151">
        <f>'14 -BDI-EDIFICAÇÕES - SEM DESON'!$H$23</f>
        <v>0.2222616419077901</v>
      </c>
      <c r="I235" s="149">
        <f t="shared" si="88"/>
        <v>39.06</v>
      </c>
      <c r="J235" s="149">
        <f t="shared" si="89"/>
        <v>3040.04</v>
      </c>
      <c r="L235" s="112"/>
    </row>
    <row r="236" spans="1:12" ht="28.5">
      <c r="A236" s="474" t="s">
        <v>2774</v>
      </c>
      <c r="B236" s="148">
        <v>87549</v>
      </c>
      <c r="C236" s="164" t="s">
        <v>3977</v>
      </c>
      <c r="D236" s="148" t="s">
        <v>119</v>
      </c>
      <c r="E236" s="148" t="s">
        <v>139</v>
      </c>
      <c r="F236" s="149">
        <v>168.73</v>
      </c>
      <c r="G236" s="149">
        <v>27.16</v>
      </c>
      <c r="H236" s="151">
        <f>'14 -BDI-EDIFICAÇÕES - SEM DESON'!$H$23</f>
        <v>0.2222616419077901</v>
      </c>
      <c r="I236" s="149">
        <f t="shared" si="88"/>
        <v>33.200000000000003</v>
      </c>
      <c r="J236" s="149">
        <f t="shared" si="89"/>
        <v>5601.84</v>
      </c>
      <c r="L236" s="112"/>
    </row>
    <row r="237" spans="1:12" ht="28.5">
      <c r="A237" s="474" t="s">
        <v>2775</v>
      </c>
      <c r="B237" s="148">
        <v>87553</v>
      </c>
      <c r="C237" s="164" t="s">
        <v>3978</v>
      </c>
      <c r="D237" s="148" t="s">
        <v>119</v>
      </c>
      <c r="E237" s="148" t="s">
        <v>139</v>
      </c>
      <c r="F237" s="149">
        <v>20.29</v>
      </c>
      <c r="G237" s="149">
        <v>24.29</v>
      </c>
      <c r="H237" s="151">
        <f>'14 -BDI-EDIFICAÇÕES - SEM DESON'!$H$23</f>
        <v>0.2222616419077901</v>
      </c>
      <c r="I237" s="149">
        <f t="shared" si="88"/>
        <v>29.69</v>
      </c>
      <c r="J237" s="149">
        <f t="shared" si="89"/>
        <v>602.41</v>
      </c>
      <c r="L237" s="112"/>
    </row>
    <row r="238" spans="1:12" ht="42.75">
      <c r="A238" s="474" t="s">
        <v>3981</v>
      </c>
      <c r="B238" s="148" t="s">
        <v>1911</v>
      </c>
      <c r="C238" s="164" t="s">
        <v>2568</v>
      </c>
      <c r="D238" s="148" t="s">
        <v>1881</v>
      </c>
      <c r="E238" s="148" t="s">
        <v>139</v>
      </c>
      <c r="F238" s="149">
        <v>266.85000000000002</v>
      </c>
      <c r="G238" s="149">
        <f>'5 - R. ANALÍTICO - MODIFICAD'!$H$487</f>
        <v>141.65</v>
      </c>
      <c r="H238" s="151">
        <f>'14 -BDI-EDIFICAÇÕES - SEM DESON'!$H$23</f>
        <v>0.2222616419077901</v>
      </c>
      <c r="I238" s="149">
        <f t="shared" si="88"/>
        <v>173.13</v>
      </c>
      <c r="J238" s="149">
        <f t="shared" si="89"/>
        <v>46199.74</v>
      </c>
      <c r="L238" s="112"/>
    </row>
    <row r="239" spans="1:12" ht="14.25">
      <c r="A239" s="474" t="s">
        <v>4001</v>
      </c>
      <c r="B239" s="148" t="s">
        <v>4002</v>
      </c>
      <c r="C239" s="164" t="s">
        <v>4003</v>
      </c>
      <c r="D239" s="148" t="s">
        <v>1881</v>
      </c>
      <c r="E239" s="148" t="s">
        <v>173</v>
      </c>
      <c r="F239" s="149">
        <v>16.86</v>
      </c>
      <c r="G239" s="149">
        <f>'5 - R. ANALÍTICO - MODIFICAD'!$H$2433</f>
        <v>44.17</v>
      </c>
      <c r="H239" s="151">
        <f>'14 -BDI-EDIFICAÇÕES - SEM DESON'!$H$23</f>
        <v>0.2222616419077901</v>
      </c>
      <c r="I239" s="149">
        <f t="shared" ref="I239" si="92">ROUND(G239*(1+H239),2)</f>
        <v>53.99</v>
      </c>
      <c r="J239" s="149">
        <f t="shared" ref="J239" si="93">ROUND(ROUND(F239,2)*ROUND(I239,2),2)</f>
        <v>910.27</v>
      </c>
      <c r="L239" s="112"/>
    </row>
    <row r="240" spans="1:12" s="112" customFormat="1" ht="29.25" customHeight="1">
      <c r="A240" s="109" t="s">
        <v>302</v>
      </c>
      <c r="B240" s="145" t="s">
        <v>334</v>
      </c>
      <c r="C240" s="143"/>
      <c r="D240" s="143"/>
      <c r="E240" s="143"/>
      <c r="F240" s="143"/>
      <c r="G240" s="143"/>
      <c r="H240" s="143"/>
      <c r="I240" s="144"/>
      <c r="J240" s="113">
        <f>SUM(J241:J245)</f>
        <v>60789.539999999994</v>
      </c>
    </row>
    <row r="241" spans="1:12" s="112" customFormat="1" ht="28.5">
      <c r="A241" s="147" t="s">
        <v>1198</v>
      </c>
      <c r="B241" s="148">
        <v>87878</v>
      </c>
      <c r="C241" s="164" t="s">
        <v>2771</v>
      </c>
      <c r="D241" s="148" t="s">
        <v>119</v>
      </c>
      <c r="E241" s="148" t="s">
        <v>139</v>
      </c>
      <c r="F241" s="149">
        <v>520.79999999999995</v>
      </c>
      <c r="G241" s="149">
        <v>5.43</v>
      </c>
      <c r="H241" s="151">
        <f>'14 -BDI-EDIFICAÇÕES - SEM DESON'!$H$23</f>
        <v>0.2222616419077901</v>
      </c>
      <c r="I241" s="149">
        <f t="shared" ref="I241:I245" si="94">ROUND(G241*(1+H241),2)</f>
        <v>6.64</v>
      </c>
      <c r="J241" s="149">
        <f t="shared" ref="J241:J245" si="95">ROUND(ROUND(F241,2)*ROUND(I241,2),2)</f>
        <v>3458.11</v>
      </c>
    </row>
    <row r="242" spans="1:12" s="112" customFormat="1" ht="28.5">
      <c r="A242" s="147" t="s">
        <v>1199</v>
      </c>
      <c r="B242" s="148" t="s">
        <v>2873</v>
      </c>
      <c r="C242" s="164" t="s">
        <v>2879</v>
      </c>
      <c r="D242" s="148" t="s">
        <v>1881</v>
      </c>
      <c r="E242" s="148" t="s">
        <v>139</v>
      </c>
      <c r="F242" s="149">
        <v>457.13</v>
      </c>
      <c r="G242" s="149">
        <f>'5 - R. ANALÍTICO - MODIFICAD'!$H$1941</f>
        <v>24.47</v>
      </c>
      <c r="H242" s="151">
        <f>'14 -BDI-EDIFICAÇÕES - SEM DESON'!$H$23</f>
        <v>0.2222616419077901</v>
      </c>
      <c r="I242" s="149">
        <f t="shared" si="94"/>
        <v>29.91</v>
      </c>
      <c r="J242" s="149">
        <f t="shared" si="95"/>
        <v>13672.76</v>
      </c>
    </row>
    <row r="243" spans="1:12" s="112" customFormat="1" ht="28.5">
      <c r="A243" s="147" t="s">
        <v>1200</v>
      </c>
      <c r="B243" s="148">
        <v>104959</v>
      </c>
      <c r="C243" s="164" t="s">
        <v>2769</v>
      </c>
      <c r="D243" s="148" t="s">
        <v>119</v>
      </c>
      <c r="E243" s="148" t="s">
        <v>139</v>
      </c>
      <c r="F243" s="149">
        <v>520.79999999999995</v>
      </c>
      <c r="G243" s="149">
        <v>27.63</v>
      </c>
      <c r="H243" s="151">
        <f>'14 -BDI-EDIFICAÇÕES - SEM DESON'!$H$23</f>
        <v>0.2222616419077901</v>
      </c>
      <c r="I243" s="149">
        <f t="shared" si="94"/>
        <v>33.770000000000003</v>
      </c>
      <c r="J243" s="149">
        <f t="shared" si="95"/>
        <v>17587.419999999998</v>
      </c>
    </row>
    <row r="244" spans="1:12" s="112" customFormat="1" ht="28.5">
      <c r="A244" s="147" t="s">
        <v>2810</v>
      </c>
      <c r="B244" s="148" t="s">
        <v>4147</v>
      </c>
      <c r="C244" s="164" t="s">
        <v>4146</v>
      </c>
      <c r="D244" s="148" t="s">
        <v>1881</v>
      </c>
      <c r="E244" s="148" t="s">
        <v>139</v>
      </c>
      <c r="F244" s="149">
        <v>520.79999999999995</v>
      </c>
      <c r="G244" s="149">
        <f>'5 - R. ANALÍTICO - MODIFICAD'!$H$499</f>
        <v>16.52</v>
      </c>
      <c r="H244" s="151">
        <f>'14 -BDI-EDIFICAÇÕES - SEM DESON'!$H$23</f>
        <v>0.2222616419077901</v>
      </c>
      <c r="I244" s="149">
        <f t="shared" si="94"/>
        <v>20.190000000000001</v>
      </c>
      <c r="J244" s="149">
        <f t="shared" si="95"/>
        <v>10514.95</v>
      </c>
    </row>
    <row r="245" spans="1:12" s="112" customFormat="1" ht="28.5">
      <c r="A245" s="147" t="s">
        <v>2875</v>
      </c>
      <c r="B245" s="148" t="s">
        <v>1912</v>
      </c>
      <c r="C245" s="164" t="s">
        <v>4149</v>
      </c>
      <c r="D245" s="148" t="s">
        <v>1881</v>
      </c>
      <c r="E245" s="148" t="s">
        <v>139</v>
      </c>
      <c r="F245" s="149">
        <v>520.79999999999995</v>
      </c>
      <c r="G245" s="149">
        <f>'5 - R. ANALÍTICO - MODIFICAD'!$H$511</f>
        <v>24.44</v>
      </c>
      <c r="H245" s="151">
        <f>'14 -BDI-EDIFICAÇÕES - SEM DESON'!$H$23</f>
        <v>0.2222616419077901</v>
      </c>
      <c r="I245" s="149">
        <f t="shared" si="94"/>
        <v>29.87</v>
      </c>
      <c r="J245" s="149">
        <f t="shared" si="95"/>
        <v>15556.3</v>
      </c>
    </row>
    <row r="246" spans="1:12" s="112" customFormat="1" ht="29.25" customHeight="1">
      <c r="A246" s="109" t="s">
        <v>305</v>
      </c>
      <c r="B246" s="145" t="s">
        <v>308</v>
      </c>
      <c r="C246" s="143"/>
      <c r="D246" s="143"/>
      <c r="E246" s="143"/>
      <c r="F246" s="143"/>
      <c r="G246" s="143"/>
      <c r="H246" s="143"/>
      <c r="I246" s="144"/>
      <c r="J246" s="113">
        <f>SUM(J247:J251)</f>
        <v>67723.92</v>
      </c>
    </row>
    <row r="247" spans="1:12" ht="28.5">
      <c r="A247" s="147" t="s">
        <v>2512</v>
      </c>
      <c r="B247" s="148" t="s">
        <v>1913</v>
      </c>
      <c r="C247" s="164" t="s">
        <v>2513</v>
      </c>
      <c r="D247" s="148" t="s">
        <v>1881</v>
      </c>
      <c r="E247" s="148" t="s">
        <v>139</v>
      </c>
      <c r="F247" s="149">
        <v>334.98</v>
      </c>
      <c r="G247" s="149">
        <f>'5 - R. ANALÍTICO - MODIFICAD'!$H$232</f>
        <v>149.03</v>
      </c>
      <c r="H247" s="151">
        <f>'14 -BDI-EDIFICAÇÕES - SEM DESON'!$H$23</f>
        <v>0.2222616419077901</v>
      </c>
      <c r="I247" s="149">
        <f t="shared" ref="I247:I251" si="96">ROUND(G247*(1+H247),2)</f>
        <v>182.15</v>
      </c>
      <c r="J247" s="149">
        <f t="shared" ref="J247:J251" si="97">ROUND(ROUND(F247,2)*ROUND(I247,2),2)</f>
        <v>61016.61</v>
      </c>
      <c r="L247" s="112"/>
    </row>
    <row r="248" spans="1:12" ht="28.5">
      <c r="A248" s="147" t="s">
        <v>2422</v>
      </c>
      <c r="B248" s="148">
        <v>96114</v>
      </c>
      <c r="C248" s="164" t="s">
        <v>1202</v>
      </c>
      <c r="D248" s="148" t="s">
        <v>119</v>
      </c>
      <c r="E248" s="148" t="s">
        <v>139</v>
      </c>
      <c r="F248" s="149">
        <v>48.7</v>
      </c>
      <c r="G248" s="149">
        <v>69.099999999999994</v>
      </c>
      <c r="H248" s="151">
        <f>'14 -BDI-EDIFICAÇÕES - SEM DESON'!$H$23</f>
        <v>0.2222616419077901</v>
      </c>
      <c r="I248" s="149">
        <f t="shared" si="96"/>
        <v>84.46</v>
      </c>
      <c r="J248" s="149">
        <f t="shared" si="97"/>
        <v>4113.2</v>
      </c>
      <c r="L248" s="112"/>
    </row>
    <row r="249" spans="1:12" ht="28.5">
      <c r="A249" s="147" t="s">
        <v>2423</v>
      </c>
      <c r="B249" s="148">
        <v>96114</v>
      </c>
      <c r="C249" s="164" t="s">
        <v>1201</v>
      </c>
      <c r="D249" s="148" t="s">
        <v>119</v>
      </c>
      <c r="E249" s="148" t="s">
        <v>139</v>
      </c>
      <c r="F249" s="149">
        <v>14.99</v>
      </c>
      <c r="G249" s="149">
        <v>69.099999999999994</v>
      </c>
      <c r="H249" s="151">
        <f>'14 -BDI-EDIFICAÇÕES - SEM DESON'!$H$23</f>
        <v>0.2222616419077901</v>
      </c>
      <c r="I249" s="149">
        <f t="shared" si="96"/>
        <v>84.46</v>
      </c>
      <c r="J249" s="149">
        <f t="shared" si="97"/>
        <v>1266.06</v>
      </c>
      <c r="L249" s="112"/>
    </row>
    <row r="250" spans="1:12" ht="14.25">
      <c r="A250" s="147" t="s">
        <v>2424</v>
      </c>
      <c r="B250" s="148">
        <v>88484</v>
      </c>
      <c r="C250" s="164" t="s">
        <v>306</v>
      </c>
      <c r="D250" s="148" t="s">
        <v>119</v>
      </c>
      <c r="E250" s="148" t="s">
        <v>139</v>
      </c>
      <c r="F250" s="149">
        <v>48.7</v>
      </c>
      <c r="G250" s="149">
        <v>5.86</v>
      </c>
      <c r="H250" s="151">
        <f>'14 -BDI-EDIFICAÇÕES - SEM DESON'!$H$23</f>
        <v>0.2222616419077901</v>
      </c>
      <c r="I250" s="149">
        <f t="shared" si="96"/>
        <v>7.16</v>
      </c>
      <c r="J250" s="149">
        <f t="shared" si="97"/>
        <v>348.69</v>
      </c>
      <c r="L250" s="112"/>
    </row>
    <row r="251" spans="1:12" ht="14.25">
      <c r="A251" s="147" t="s">
        <v>2439</v>
      </c>
      <c r="B251" s="148">
        <v>88488</v>
      </c>
      <c r="C251" s="164" t="s">
        <v>307</v>
      </c>
      <c r="D251" s="148" t="s">
        <v>119</v>
      </c>
      <c r="E251" s="148" t="s">
        <v>139</v>
      </c>
      <c r="F251" s="149">
        <v>48.7</v>
      </c>
      <c r="G251" s="149">
        <v>16.45</v>
      </c>
      <c r="H251" s="151">
        <f>'14 -BDI-EDIFICAÇÕES - SEM DESON'!$H$23</f>
        <v>0.2222616419077901</v>
      </c>
      <c r="I251" s="149">
        <f t="shared" si="96"/>
        <v>20.11</v>
      </c>
      <c r="J251" s="149">
        <f t="shared" si="97"/>
        <v>979.36</v>
      </c>
      <c r="L251" s="112"/>
    </row>
    <row r="252" spans="1:12" s="112" customFormat="1" ht="29.25" customHeight="1">
      <c r="A252" s="109" t="s">
        <v>309</v>
      </c>
      <c r="B252" s="145" t="s">
        <v>310</v>
      </c>
      <c r="C252" s="143"/>
      <c r="D252" s="143"/>
      <c r="E252" s="143"/>
      <c r="F252" s="143"/>
      <c r="G252" s="143"/>
      <c r="H252" s="143"/>
      <c r="I252" s="144"/>
      <c r="J252" s="113">
        <f>J253+J287</f>
        <v>111743.96999999999</v>
      </c>
    </row>
    <row r="253" spans="1:12" s="112" customFormat="1" ht="29.25" customHeight="1">
      <c r="A253" s="109" t="s">
        <v>311</v>
      </c>
      <c r="B253" s="145" t="s">
        <v>312</v>
      </c>
      <c r="C253" s="143"/>
      <c r="D253" s="143"/>
      <c r="E253" s="143"/>
      <c r="F253" s="143"/>
      <c r="G253" s="143"/>
      <c r="H253" s="143"/>
      <c r="I253" s="144"/>
      <c r="J253" s="113">
        <f>SUM(J254:J286)</f>
        <v>107114.36999999998</v>
      </c>
    </row>
    <row r="254" spans="1:12" ht="42.75">
      <c r="A254" s="147" t="s">
        <v>313</v>
      </c>
      <c r="B254" s="148" t="s">
        <v>1914</v>
      </c>
      <c r="C254" s="164" t="s">
        <v>2576</v>
      </c>
      <c r="D254" s="148" t="s">
        <v>1881</v>
      </c>
      <c r="E254" s="148" t="s">
        <v>144</v>
      </c>
      <c r="F254" s="149">
        <v>4</v>
      </c>
      <c r="G254" s="149">
        <f>'5 - R. ANALÍTICO - MODIFICAD'!$H$528</f>
        <v>2102.04</v>
      </c>
      <c r="H254" s="151">
        <f>'14 -BDI-EDIFICAÇÕES - SEM DESON'!$H$23</f>
        <v>0.2222616419077901</v>
      </c>
      <c r="I254" s="149">
        <f t="shared" ref="I254:I286" si="98">ROUND(G254*(1+H254),2)</f>
        <v>2569.2399999999998</v>
      </c>
      <c r="J254" s="149">
        <f t="shared" ref="J254:J286" si="99">ROUND(ROUND(F254,2)*ROUND(I254,2),2)</f>
        <v>10276.959999999999</v>
      </c>
      <c r="L254" s="112"/>
    </row>
    <row r="255" spans="1:12" ht="57">
      <c r="A255" s="147" t="s">
        <v>314</v>
      </c>
      <c r="B255" s="148" t="s">
        <v>1915</v>
      </c>
      <c r="C255" s="164" t="s">
        <v>2577</v>
      </c>
      <c r="D255" s="148" t="s">
        <v>1881</v>
      </c>
      <c r="E255" s="148" t="s">
        <v>144</v>
      </c>
      <c r="F255" s="149">
        <v>6</v>
      </c>
      <c r="G255" s="149">
        <f>'5 - R. ANALÍTICO - MODIFICAD'!$H$545</f>
        <v>2313.5</v>
      </c>
      <c r="H255" s="151">
        <f>'14 -BDI-EDIFICAÇÕES - SEM DESON'!$H$23</f>
        <v>0.2222616419077901</v>
      </c>
      <c r="I255" s="149">
        <f t="shared" si="98"/>
        <v>2827.7</v>
      </c>
      <c r="J255" s="149">
        <f t="shared" si="99"/>
        <v>16966.2</v>
      </c>
      <c r="L255" s="112"/>
    </row>
    <row r="256" spans="1:12" ht="28.5">
      <c r="A256" s="147" t="s">
        <v>316</v>
      </c>
      <c r="B256" s="148" t="s">
        <v>4040</v>
      </c>
      <c r="C256" s="164" t="s">
        <v>4041</v>
      </c>
      <c r="D256" s="148" t="s">
        <v>1881</v>
      </c>
      <c r="E256" s="148" t="s">
        <v>144</v>
      </c>
      <c r="F256" s="149">
        <v>10</v>
      </c>
      <c r="G256" s="149">
        <f>'5 - R. ANALÍTICO - MODIFICAD'!$H$1274</f>
        <v>344.70000000000005</v>
      </c>
      <c r="H256" s="151">
        <f>'14 -BDI-EDIFICAÇÕES - SEM DESON'!$H$23</f>
        <v>0.2222616419077901</v>
      </c>
      <c r="I256" s="149">
        <f t="shared" ref="I256" si="100">ROUND(G256*(1+H256),2)</f>
        <v>421.31</v>
      </c>
      <c r="J256" s="149">
        <f t="shared" ref="J256" si="101">ROUND(ROUND(F256,2)*ROUND(I256,2),2)</f>
        <v>4213.1000000000004</v>
      </c>
      <c r="L256" s="112"/>
    </row>
    <row r="257" spans="1:12" ht="14.25">
      <c r="A257" s="147" t="s">
        <v>317</v>
      </c>
      <c r="B257" s="148">
        <v>86887</v>
      </c>
      <c r="C257" s="164" t="s">
        <v>4043</v>
      </c>
      <c r="D257" s="148" t="s">
        <v>119</v>
      </c>
      <c r="E257" s="148" t="s">
        <v>144</v>
      </c>
      <c r="F257" s="149">
        <v>10</v>
      </c>
      <c r="G257" s="149">
        <v>42.37</v>
      </c>
      <c r="H257" s="151">
        <f>'14 -BDI-EDIFICAÇÕES - SEM DESON'!$H$23</f>
        <v>0.2222616419077901</v>
      </c>
      <c r="I257" s="149">
        <f t="shared" ref="I257" si="102">ROUND(G257*(1+H257),2)</f>
        <v>51.79</v>
      </c>
      <c r="J257" s="149">
        <f t="shared" ref="J257" si="103">ROUND(ROUND(F257,2)*ROUND(I257,2),2)</f>
        <v>517.9</v>
      </c>
      <c r="L257" s="112"/>
    </row>
    <row r="258" spans="1:12" ht="42.75">
      <c r="A258" s="147" t="s">
        <v>318</v>
      </c>
      <c r="B258" s="148" t="s">
        <v>1916</v>
      </c>
      <c r="C258" s="164" t="s">
        <v>4102</v>
      </c>
      <c r="D258" s="148" t="s">
        <v>1881</v>
      </c>
      <c r="E258" s="148" t="s">
        <v>144</v>
      </c>
      <c r="F258" s="149">
        <v>4</v>
      </c>
      <c r="G258" s="149">
        <f>'5 - R. ANALÍTICO - MODIFICAD'!$H$560</f>
        <v>601.62</v>
      </c>
      <c r="H258" s="151">
        <f>'14 -BDI-EDIFICAÇÕES - SEM DESON'!$H$23</f>
        <v>0.2222616419077901</v>
      </c>
      <c r="I258" s="149">
        <f t="shared" si="98"/>
        <v>735.34</v>
      </c>
      <c r="J258" s="149">
        <f t="shared" si="99"/>
        <v>2941.36</v>
      </c>
      <c r="L258" s="112"/>
    </row>
    <row r="259" spans="1:12" ht="28.5">
      <c r="A259" s="147" t="s">
        <v>319</v>
      </c>
      <c r="B259" s="148" t="s">
        <v>2700</v>
      </c>
      <c r="C259" s="164" t="s">
        <v>4103</v>
      </c>
      <c r="D259" s="148" t="s">
        <v>1881</v>
      </c>
      <c r="E259" s="148" t="s">
        <v>144</v>
      </c>
      <c r="F259" s="149">
        <v>1</v>
      </c>
      <c r="G259" s="149">
        <f>'5 - R. ANALÍTICO - MODIFICAD'!$H$601</f>
        <v>256.16000000000003</v>
      </c>
      <c r="H259" s="151">
        <f>'14 -BDI-EDIFICAÇÕES - SEM DESON'!$H$23</f>
        <v>0.2222616419077901</v>
      </c>
      <c r="I259" s="149">
        <f t="shared" si="98"/>
        <v>313.08999999999997</v>
      </c>
      <c r="J259" s="149">
        <f t="shared" si="99"/>
        <v>313.08999999999997</v>
      </c>
      <c r="L259" s="112"/>
    </row>
    <row r="260" spans="1:12" ht="28.5">
      <c r="A260" s="147" t="s">
        <v>320</v>
      </c>
      <c r="B260" s="148" t="s">
        <v>2332</v>
      </c>
      <c r="C260" s="164" t="s">
        <v>4104</v>
      </c>
      <c r="D260" s="148" t="s">
        <v>1881</v>
      </c>
      <c r="E260" s="148" t="s">
        <v>144</v>
      </c>
      <c r="F260" s="149">
        <v>1</v>
      </c>
      <c r="G260" s="149">
        <f>'5 - R. ANALÍTICO - MODIFICAD'!$H$574</f>
        <v>728.28</v>
      </c>
      <c r="H260" s="151">
        <f>'14 -BDI-EDIFICAÇÕES - SEM DESON'!$H$23</f>
        <v>0.2222616419077901</v>
      </c>
      <c r="I260" s="149">
        <f t="shared" si="98"/>
        <v>890.15</v>
      </c>
      <c r="J260" s="149">
        <f t="shared" si="99"/>
        <v>890.15</v>
      </c>
      <c r="L260" s="112"/>
    </row>
    <row r="261" spans="1:12" ht="28.5">
      <c r="A261" s="147" t="s">
        <v>321</v>
      </c>
      <c r="B261" s="148" t="s">
        <v>2703</v>
      </c>
      <c r="C261" s="164" t="s">
        <v>4105</v>
      </c>
      <c r="D261" s="148" t="s">
        <v>1881</v>
      </c>
      <c r="E261" s="148" t="s">
        <v>144</v>
      </c>
      <c r="F261" s="149">
        <v>4</v>
      </c>
      <c r="G261" s="149">
        <f>'5 - R. ANALÍTICO - MODIFICAD'!$H$629</f>
        <v>816.81</v>
      </c>
      <c r="H261" s="151">
        <f>'14 -BDI-EDIFICAÇÕES - SEM DESON'!$H$23</f>
        <v>0.2222616419077901</v>
      </c>
      <c r="I261" s="149">
        <f t="shared" si="98"/>
        <v>998.36</v>
      </c>
      <c r="J261" s="149">
        <f t="shared" si="99"/>
        <v>3993.44</v>
      </c>
      <c r="L261" s="112"/>
    </row>
    <row r="262" spans="1:12" ht="14.25">
      <c r="A262" s="147" t="s">
        <v>468</v>
      </c>
      <c r="B262" s="148">
        <v>86886</v>
      </c>
      <c r="C262" s="164" t="s">
        <v>4052</v>
      </c>
      <c r="D262" s="148" t="s">
        <v>119</v>
      </c>
      <c r="E262" s="148" t="s">
        <v>144</v>
      </c>
      <c r="F262" s="149">
        <v>10</v>
      </c>
      <c r="G262" s="149">
        <v>39.21</v>
      </c>
      <c r="H262" s="151">
        <f>'14 -BDI-EDIFICAÇÕES - SEM DESON'!$H$23</f>
        <v>0.2222616419077901</v>
      </c>
      <c r="I262" s="149">
        <f t="shared" ref="I262:I266" si="104">ROUND(G262*(1+H262),2)</f>
        <v>47.92</v>
      </c>
      <c r="J262" s="149">
        <f t="shared" ref="J262:J266" si="105">ROUND(ROUND(F262,2)*ROUND(I262,2),2)</f>
        <v>479.2</v>
      </c>
      <c r="L262" s="112"/>
    </row>
    <row r="263" spans="1:12" ht="14.25">
      <c r="A263" s="147" t="s">
        <v>469</v>
      </c>
      <c r="B263" s="148">
        <v>86881</v>
      </c>
      <c r="C263" s="164" t="s">
        <v>666</v>
      </c>
      <c r="D263" s="148" t="s">
        <v>119</v>
      </c>
      <c r="E263" s="148" t="s">
        <v>144</v>
      </c>
      <c r="F263" s="149">
        <v>9</v>
      </c>
      <c r="G263" s="149">
        <v>155.9</v>
      </c>
      <c r="H263" s="151">
        <f>'14 -BDI-EDIFICAÇÕES - SEM DESON'!$H$23</f>
        <v>0.2222616419077901</v>
      </c>
      <c r="I263" s="149">
        <f t="shared" si="104"/>
        <v>190.55</v>
      </c>
      <c r="J263" s="149">
        <f t="shared" si="105"/>
        <v>1714.95</v>
      </c>
      <c r="L263" s="112"/>
    </row>
    <row r="264" spans="1:12" ht="14.25">
      <c r="A264" s="147" t="s">
        <v>470</v>
      </c>
      <c r="B264" s="148">
        <v>86882</v>
      </c>
      <c r="C264" s="164" t="s">
        <v>4053</v>
      </c>
      <c r="D264" s="148" t="s">
        <v>119</v>
      </c>
      <c r="E264" s="148" t="s">
        <v>144</v>
      </c>
      <c r="F264" s="149">
        <v>1</v>
      </c>
      <c r="G264" s="149">
        <v>21.56</v>
      </c>
      <c r="H264" s="151">
        <f>'14 -BDI-EDIFICAÇÕES - SEM DESON'!$H$23</f>
        <v>0.2222616419077901</v>
      </c>
      <c r="I264" s="149">
        <f t="shared" si="104"/>
        <v>26.35</v>
      </c>
      <c r="J264" s="149">
        <f t="shared" si="105"/>
        <v>26.35</v>
      </c>
      <c r="L264" s="112"/>
    </row>
    <row r="265" spans="1:12" ht="28.5">
      <c r="A265" s="147" t="s">
        <v>471</v>
      </c>
      <c r="B265" s="148">
        <v>86878</v>
      </c>
      <c r="C265" s="164" t="s">
        <v>4054</v>
      </c>
      <c r="D265" s="148" t="s">
        <v>119</v>
      </c>
      <c r="E265" s="148" t="s">
        <v>144</v>
      </c>
      <c r="F265" s="149">
        <v>5</v>
      </c>
      <c r="G265" s="149">
        <v>56.44</v>
      </c>
      <c r="H265" s="151">
        <f>'14 -BDI-EDIFICAÇÕES - SEM DESON'!$H$23</f>
        <v>0.2222616419077901</v>
      </c>
      <c r="I265" s="149">
        <f t="shared" si="104"/>
        <v>68.98</v>
      </c>
      <c r="J265" s="149">
        <f t="shared" si="105"/>
        <v>344.9</v>
      </c>
      <c r="L265" s="112"/>
    </row>
    <row r="266" spans="1:12" ht="28.5">
      <c r="A266" s="147" t="s">
        <v>472</v>
      </c>
      <c r="B266" s="148" t="s">
        <v>4051</v>
      </c>
      <c r="C266" s="164" t="s">
        <v>4055</v>
      </c>
      <c r="D266" s="148" t="s">
        <v>1881</v>
      </c>
      <c r="E266" s="148" t="s">
        <v>144</v>
      </c>
      <c r="F266" s="149">
        <v>5</v>
      </c>
      <c r="G266" s="149">
        <f>'5 - R. ANALÍTICO - MODIFICAD'!$H$1285</f>
        <v>54</v>
      </c>
      <c r="H266" s="151">
        <f>'14 -BDI-EDIFICAÇÕES - SEM DESON'!$H$23</f>
        <v>0.2222616419077901</v>
      </c>
      <c r="I266" s="149">
        <f t="shared" si="104"/>
        <v>66</v>
      </c>
      <c r="J266" s="149">
        <f t="shared" si="105"/>
        <v>330</v>
      </c>
      <c r="L266" s="112"/>
    </row>
    <row r="267" spans="1:12" ht="28.5">
      <c r="A267" s="147" t="s">
        <v>1066</v>
      </c>
      <c r="B267" s="148" t="s">
        <v>1917</v>
      </c>
      <c r="C267" s="164" t="s">
        <v>2584</v>
      </c>
      <c r="D267" s="148" t="s">
        <v>1881</v>
      </c>
      <c r="E267" s="148" t="s">
        <v>144</v>
      </c>
      <c r="F267" s="149">
        <v>4</v>
      </c>
      <c r="G267" s="149">
        <f>'5 - R. ANALÍTICO - MODIFICAD'!$H$587</f>
        <v>272</v>
      </c>
      <c r="H267" s="151">
        <f>'14 -BDI-EDIFICAÇÕES - SEM DESON'!$H$23</f>
        <v>0.2222616419077901</v>
      </c>
      <c r="I267" s="149">
        <f t="shared" si="98"/>
        <v>332.46</v>
      </c>
      <c r="J267" s="149">
        <f t="shared" si="99"/>
        <v>1329.84</v>
      </c>
      <c r="L267" s="112"/>
    </row>
    <row r="268" spans="1:12" s="112" customFormat="1" ht="14.25">
      <c r="A268" s="147" t="s">
        <v>1124</v>
      </c>
      <c r="B268" s="148" t="s">
        <v>1918</v>
      </c>
      <c r="C268" s="164" t="s">
        <v>2591</v>
      </c>
      <c r="D268" s="148" t="s">
        <v>1881</v>
      </c>
      <c r="E268" s="148" t="s">
        <v>144</v>
      </c>
      <c r="F268" s="149">
        <v>6</v>
      </c>
      <c r="G268" s="149">
        <f>'5 - R. ANALÍTICO - MODIFICAD'!$H$659</f>
        <v>1467.7100000000003</v>
      </c>
      <c r="H268" s="151">
        <f>'14 -BDI-EDIFICAÇÕES - SEM DESON'!$H$23</f>
        <v>0.2222616419077901</v>
      </c>
      <c r="I268" s="149">
        <f t="shared" si="98"/>
        <v>1793.93</v>
      </c>
      <c r="J268" s="149">
        <f t="shared" si="99"/>
        <v>10763.58</v>
      </c>
    </row>
    <row r="269" spans="1:12" ht="14.25">
      <c r="A269" s="147" t="s">
        <v>1125</v>
      </c>
      <c r="B269" s="148" t="s">
        <v>1920</v>
      </c>
      <c r="C269" s="164" t="s">
        <v>1921</v>
      </c>
      <c r="D269" s="148" t="s">
        <v>1881</v>
      </c>
      <c r="E269" s="148" t="s">
        <v>315</v>
      </c>
      <c r="F269" s="149">
        <v>2</v>
      </c>
      <c r="G269" s="149">
        <f>'5 - R. ANALÍTICO - MODIFICAD'!$H$62</f>
        <v>372.7</v>
      </c>
      <c r="H269" s="151">
        <f>'14 -BDI-EDIFICAÇÕES - SEM DESON'!$H$23</f>
        <v>0.2222616419077901</v>
      </c>
      <c r="I269" s="149">
        <f t="shared" si="98"/>
        <v>455.54</v>
      </c>
      <c r="J269" s="149">
        <f t="shared" si="99"/>
        <v>911.08</v>
      </c>
      <c r="L269" s="112"/>
    </row>
    <row r="270" spans="1:12" ht="28.5">
      <c r="A270" s="147" t="s">
        <v>1126</v>
      </c>
      <c r="B270" s="148">
        <v>89354</v>
      </c>
      <c r="C270" s="164" t="s">
        <v>1206</v>
      </c>
      <c r="D270" s="148" t="s">
        <v>119</v>
      </c>
      <c r="E270" s="148" t="s">
        <v>144</v>
      </c>
      <c r="F270" s="149">
        <v>2</v>
      </c>
      <c r="G270" s="149">
        <v>535.51</v>
      </c>
      <c r="H270" s="151">
        <f>'14 -BDI-EDIFICAÇÕES - SEM DESON'!$H$23</f>
        <v>0.2222616419077901</v>
      </c>
      <c r="I270" s="149">
        <f t="shared" si="98"/>
        <v>654.53</v>
      </c>
      <c r="J270" s="149">
        <f t="shared" si="99"/>
        <v>1309.06</v>
      </c>
      <c r="L270" s="112"/>
    </row>
    <row r="271" spans="1:12" ht="14.25">
      <c r="A271" s="147" t="s">
        <v>1127</v>
      </c>
      <c r="B271" s="148" t="s">
        <v>4172</v>
      </c>
      <c r="C271" s="164" t="s">
        <v>3955</v>
      </c>
      <c r="D271" s="148" t="s">
        <v>3832</v>
      </c>
      <c r="E271" s="148" t="s">
        <v>144</v>
      </c>
      <c r="F271" s="149">
        <v>2</v>
      </c>
      <c r="G271" s="149">
        <f>'6 - COTAÇÃO MERCADO'!$D$276</f>
        <v>459.9</v>
      </c>
      <c r="H271" s="151">
        <f>'14 -BDI-EDIFICAÇÕES - SEM DESON'!$H$23</f>
        <v>0.2222616419077901</v>
      </c>
      <c r="I271" s="149">
        <f t="shared" ref="I271" si="106">ROUND(G271*(1+H271),2)</f>
        <v>562.12</v>
      </c>
      <c r="J271" s="149">
        <f t="shared" ref="J271" si="107">ROUND(ROUND(F271,2)*ROUND(I271,2),2)</f>
        <v>1124.24</v>
      </c>
      <c r="L271" s="112"/>
    </row>
    <row r="272" spans="1:12" ht="14.25">
      <c r="A272" s="147" t="s">
        <v>1128</v>
      </c>
      <c r="B272" s="148" t="s">
        <v>1922</v>
      </c>
      <c r="C272" s="164" t="s">
        <v>3348</v>
      </c>
      <c r="D272" s="148" t="s">
        <v>1881</v>
      </c>
      <c r="E272" s="148" t="s">
        <v>144</v>
      </c>
      <c r="F272" s="149">
        <v>4</v>
      </c>
      <c r="G272" s="149">
        <f>'5 - R. ANALÍTICO - MODIFICAD'!$H$2715</f>
        <v>169.34</v>
      </c>
      <c r="H272" s="151">
        <f>'14 -BDI-EDIFICAÇÕES - SEM DESON'!$H$23</f>
        <v>0.2222616419077901</v>
      </c>
      <c r="I272" s="149">
        <f>ROUND(G272*(1+H272),2)</f>
        <v>206.98</v>
      </c>
      <c r="J272" s="149">
        <f>ROUND(ROUND(F272,2)*ROUND(I272,2),2)</f>
        <v>827.92</v>
      </c>
      <c r="L272" s="112"/>
    </row>
    <row r="273" spans="1:12" ht="28.5">
      <c r="A273" s="147" t="s">
        <v>1129</v>
      </c>
      <c r="B273" s="148">
        <v>100875</v>
      </c>
      <c r="C273" s="164" t="s">
        <v>1211</v>
      </c>
      <c r="D273" s="148" t="s">
        <v>119</v>
      </c>
      <c r="E273" s="148" t="s">
        <v>144</v>
      </c>
      <c r="F273" s="149">
        <v>2</v>
      </c>
      <c r="G273" s="149">
        <v>993.52</v>
      </c>
      <c r="H273" s="151">
        <f>'14 -BDI-EDIFICAÇÕES - SEM DESON'!$H$23</f>
        <v>0.2222616419077901</v>
      </c>
      <c r="I273" s="149">
        <f t="shared" si="98"/>
        <v>1214.3399999999999</v>
      </c>
      <c r="J273" s="149">
        <f t="shared" si="99"/>
        <v>2428.6799999999998</v>
      </c>
      <c r="L273" s="112"/>
    </row>
    <row r="274" spans="1:12" ht="28.5">
      <c r="A274" s="147" t="s">
        <v>1130</v>
      </c>
      <c r="B274" s="148">
        <v>100867</v>
      </c>
      <c r="C274" s="164" t="s">
        <v>1132</v>
      </c>
      <c r="D274" s="148" t="s">
        <v>119</v>
      </c>
      <c r="E274" s="148" t="s">
        <v>144</v>
      </c>
      <c r="F274" s="149">
        <v>12</v>
      </c>
      <c r="G274" s="149">
        <v>323.05</v>
      </c>
      <c r="H274" s="151">
        <f>'14 -BDI-EDIFICAÇÕES - SEM DESON'!$H$23</f>
        <v>0.2222616419077901</v>
      </c>
      <c r="I274" s="149">
        <f t="shared" si="98"/>
        <v>394.85</v>
      </c>
      <c r="J274" s="149">
        <f t="shared" si="99"/>
        <v>4738.2</v>
      </c>
      <c r="L274" s="112"/>
    </row>
    <row r="275" spans="1:12" s="112" customFormat="1" ht="14.25">
      <c r="A275" s="147" t="s">
        <v>1131</v>
      </c>
      <c r="B275" s="148" t="s">
        <v>1923</v>
      </c>
      <c r="C275" s="164" t="s">
        <v>3349</v>
      </c>
      <c r="D275" s="148" t="s">
        <v>1881</v>
      </c>
      <c r="E275" s="148" t="s">
        <v>144</v>
      </c>
      <c r="F275" s="149">
        <v>10</v>
      </c>
      <c r="G275" s="149">
        <f>'5 - R. ANALÍTICO - MODIFICAD'!$H$2725</f>
        <v>91.11</v>
      </c>
      <c r="H275" s="151">
        <f>'14 -BDI-EDIFICAÇÕES - SEM DESON'!$H$23</f>
        <v>0.2222616419077901</v>
      </c>
      <c r="I275" s="149">
        <f t="shared" si="98"/>
        <v>111.36</v>
      </c>
      <c r="J275" s="149">
        <f t="shared" si="99"/>
        <v>1113.5999999999999</v>
      </c>
    </row>
    <row r="276" spans="1:12" ht="28.5">
      <c r="A276" s="147" t="s">
        <v>2394</v>
      </c>
      <c r="B276" s="148">
        <v>100868</v>
      </c>
      <c r="C276" s="164" t="s">
        <v>1133</v>
      </c>
      <c r="D276" s="148" t="s">
        <v>119</v>
      </c>
      <c r="E276" s="148" t="s">
        <v>144</v>
      </c>
      <c r="F276" s="149">
        <v>12</v>
      </c>
      <c r="G276" s="149">
        <v>334.41</v>
      </c>
      <c r="H276" s="151">
        <f>'14 -BDI-EDIFICAÇÕES - SEM DESON'!$H$23</f>
        <v>0.2222616419077901</v>
      </c>
      <c r="I276" s="149">
        <f t="shared" si="98"/>
        <v>408.74</v>
      </c>
      <c r="J276" s="149">
        <f t="shared" si="99"/>
        <v>4904.88</v>
      </c>
      <c r="L276" s="112"/>
    </row>
    <row r="277" spans="1:12" ht="14.25">
      <c r="A277" s="147" t="s">
        <v>2485</v>
      </c>
      <c r="B277" s="148" t="s">
        <v>1960</v>
      </c>
      <c r="C277" s="164" t="s">
        <v>2515</v>
      </c>
      <c r="D277" s="148" t="s">
        <v>1881</v>
      </c>
      <c r="E277" s="148" t="s">
        <v>144</v>
      </c>
      <c r="F277" s="149">
        <v>10</v>
      </c>
      <c r="G277" s="149">
        <f>'5 - R. ANALÍTICO - MODIFICAD'!$H$244</f>
        <v>83.08</v>
      </c>
      <c r="H277" s="151">
        <f>'14 -BDI-EDIFICAÇÕES - SEM DESON'!$H$23</f>
        <v>0.2222616419077901</v>
      </c>
      <c r="I277" s="149">
        <f t="shared" si="98"/>
        <v>101.55</v>
      </c>
      <c r="J277" s="149">
        <f t="shared" si="99"/>
        <v>1015.5</v>
      </c>
      <c r="L277" s="112"/>
    </row>
    <row r="278" spans="1:12" ht="14.25">
      <c r="A278" s="147" t="s">
        <v>2699</v>
      </c>
      <c r="B278" s="148" t="s">
        <v>1961</v>
      </c>
      <c r="C278" s="164" t="s">
        <v>2516</v>
      </c>
      <c r="D278" s="148" t="s">
        <v>1881</v>
      </c>
      <c r="E278" s="148" t="s">
        <v>144</v>
      </c>
      <c r="F278" s="149">
        <v>10</v>
      </c>
      <c r="G278" s="149">
        <f>'5 - R. ANALÍTICO - MODIFICAD'!$H$256</f>
        <v>71.5</v>
      </c>
      <c r="H278" s="151">
        <f>'14 -BDI-EDIFICAÇÕES - SEM DESON'!$H$23</f>
        <v>0.2222616419077901</v>
      </c>
      <c r="I278" s="149">
        <f t="shared" si="98"/>
        <v>87.39</v>
      </c>
      <c r="J278" s="149">
        <f t="shared" si="99"/>
        <v>873.9</v>
      </c>
      <c r="L278" s="112"/>
    </row>
    <row r="279" spans="1:12" ht="14.25">
      <c r="A279" s="147" t="s">
        <v>3953</v>
      </c>
      <c r="B279" s="148" t="s">
        <v>1962</v>
      </c>
      <c r="C279" s="164" t="s">
        <v>2518</v>
      </c>
      <c r="D279" s="148" t="s">
        <v>1881</v>
      </c>
      <c r="E279" s="148" t="s">
        <v>144</v>
      </c>
      <c r="F279" s="149">
        <v>10</v>
      </c>
      <c r="G279" s="149">
        <f>'5 - R. ANALÍTICO - MODIFICAD'!$H$268</f>
        <v>78.069999999999993</v>
      </c>
      <c r="H279" s="151">
        <f>'14 -BDI-EDIFICAÇÕES - SEM DESON'!$H$23</f>
        <v>0.2222616419077901</v>
      </c>
      <c r="I279" s="149">
        <f t="shared" si="98"/>
        <v>95.42</v>
      </c>
      <c r="J279" s="149">
        <f t="shared" si="99"/>
        <v>954.2</v>
      </c>
      <c r="L279" s="112"/>
    </row>
    <row r="280" spans="1:12" ht="14.25">
      <c r="A280" s="147" t="s">
        <v>4039</v>
      </c>
      <c r="B280" s="148" t="s">
        <v>2002</v>
      </c>
      <c r="C280" s="164" t="s">
        <v>1924</v>
      </c>
      <c r="D280" s="148" t="s">
        <v>1881</v>
      </c>
      <c r="E280" s="148" t="s">
        <v>144</v>
      </c>
      <c r="F280" s="149">
        <v>10</v>
      </c>
      <c r="G280" s="149">
        <f>'5 - R. ANALÍTICO - MODIFICAD'!$H$2153</f>
        <v>121.84</v>
      </c>
      <c r="H280" s="151">
        <f>'14 -BDI-EDIFICAÇÕES - SEM DESON'!$H$23</f>
        <v>0.2222616419077901</v>
      </c>
      <c r="I280" s="149">
        <f t="shared" si="98"/>
        <v>148.91999999999999</v>
      </c>
      <c r="J280" s="149">
        <f t="shared" si="99"/>
        <v>1489.2</v>
      </c>
      <c r="L280" s="112"/>
    </row>
    <row r="281" spans="1:12" ht="14.25">
      <c r="A281" s="147" t="s">
        <v>4042</v>
      </c>
      <c r="B281" s="148" t="s">
        <v>1963</v>
      </c>
      <c r="C281" s="164" t="s">
        <v>2517</v>
      </c>
      <c r="D281" s="148" t="s">
        <v>1881</v>
      </c>
      <c r="E281" s="148" t="s">
        <v>139</v>
      </c>
      <c r="F281" s="149">
        <v>5.5</v>
      </c>
      <c r="G281" s="149">
        <f>'5 - R. ANALÍTICO - MODIFICAD'!$H$281</f>
        <v>891.22</v>
      </c>
      <c r="H281" s="151">
        <f>'14 -BDI-EDIFICAÇÕES - SEM DESON'!$H$23</f>
        <v>0.2222616419077901</v>
      </c>
      <c r="I281" s="149">
        <f t="shared" si="98"/>
        <v>1089.3</v>
      </c>
      <c r="J281" s="149">
        <f t="shared" si="99"/>
        <v>5991.15</v>
      </c>
      <c r="L281" s="112"/>
    </row>
    <row r="282" spans="1:12" ht="14.25">
      <c r="A282" s="147" t="s">
        <v>4046</v>
      </c>
      <c r="B282" s="148" t="s">
        <v>2003</v>
      </c>
      <c r="C282" s="164" t="s">
        <v>1925</v>
      </c>
      <c r="D282" s="148" t="s">
        <v>1881</v>
      </c>
      <c r="E282" s="148" t="s">
        <v>139</v>
      </c>
      <c r="F282" s="149">
        <v>1.64</v>
      </c>
      <c r="G282" s="149">
        <f>'5 - R. ANALÍTICO - MODIFICAD'!$H$2166</f>
        <v>677.43000000000006</v>
      </c>
      <c r="H282" s="151">
        <f>'14 -BDI-EDIFICAÇÕES - SEM DESON'!$H$23</f>
        <v>0.2222616419077901</v>
      </c>
      <c r="I282" s="149">
        <f t="shared" si="98"/>
        <v>828</v>
      </c>
      <c r="J282" s="149">
        <f t="shared" si="99"/>
        <v>1357.92</v>
      </c>
      <c r="L282" s="112"/>
    </row>
    <row r="283" spans="1:12" ht="28.5">
      <c r="A283" s="147" t="s">
        <v>4047</v>
      </c>
      <c r="B283" s="148" t="s">
        <v>1964</v>
      </c>
      <c r="C283" s="164" t="s">
        <v>3350</v>
      </c>
      <c r="D283" s="148" t="s">
        <v>1881</v>
      </c>
      <c r="E283" s="148" t="s">
        <v>315</v>
      </c>
      <c r="F283" s="149">
        <v>6</v>
      </c>
      <c r="G283" s="149">
        <f>'5 - R. ANALÍTICO - MODIFICAD'!$H$2402</f>
        <v>794.09</v>
      </c>
      <c r="H283" s="151">
        <f>'14 -BDI-EDIFICAÇÕES - SEM DESON'!$H$23</f>
        <v>0.2222616419077901</v>
      </c>
      <c r="I283" s="149">
        <f t="shared" si="98"/>
        <v>970.59</v>
      </c>
      <c r="J283" s="149">
        <f t="shared" si="99"/>
        <v>5823.54</v>
      </c>
      <c r="L283" s="112"/>
    </row>
    <row r="284" spans="1:12" ht="28.5">
      <c r="A284" s="147" t="s">
        <v>4048</v>
      </c>
      <c r="B284" s="148" t="s">
        <v>1926</v>
      </c>
      <c r="C284" s="164" t="s">
        <v>1927</v>
      </c>
      <c r="D284" s="148" t="s">
        <v>1881</v>
      </c>
      <c r="E284" s="148" t="s">
        <v>144</v>
      </c>
      <c r="F284" s="149">
        <v>2</v>
      </c>
      <c r="G284" s="149">
        <f>'5 - R. ANALÍTICO - MODIFICAD'!$H$1460</f>
        <v>2391.7800000000002</v>
      </c>
      <c r="H284" s="151">
        <f>'14 -BDI-EDIFICAÇÕES - SEM DESON'!$H$23</f>
        <v>0.2222616419077901</v>
      </c>
      <c r="I284" s="149">
        <f t="shared" si="98"/>
        <v>2923.38</v>
      </c>
      <c r="J284" s="149">
        <f t="shared" si="99"/>
        <v>5846.76</v>
      </c>
      <c r="L284" s="112"/>
    </row>
    <row r="285" spans="1:12" ht="28.5">
      <c r="A285" s="147" t="s">
        <v>4049</v>
      </c>
      <c r="B285" s="148" t="s">
        <v>2841</v>
      </c>
      <c r="C285" s="164" t="s">
        <v>2842</v>
      </c>
      <c r="D285" s="148" t="s">
        <v>1881</v>
      </c>
      <c r="E285" s="148" t="s">
        <v>144</v>
      </c>
      <c r="F285" s="149">
        <v>3</v>
      </c>
      <c r="G285" s="149">
        <f>'5 - R. ANALÍTICO - MODIFICAD'!$H$901</f>
        <v>1501.27</v>
      </c>
      <c r="H285" s="151">
        <f>'14 -BDI-EDIFICAÇÕES - SEM DESON'!$H$23</f>
        <v>0.2222616419077901</v>
      </c>
      <c r="I285" s="149">
        <f t="shared" si="98"/>
        <v>1834.94</v>
      </c>
      <c r="J285" s="149">
        <f t="shared" si="99"/>
        <v>5504.82</v>
      </c>
      <c r="L285" s="112"/>
    </row>
    <row r="286" spans="1:12" ht="14.25">
      <c r="A286" s="147" t="s">
        <v>4050</v>
      </c>
      <c r="B286" s="148" t="s">
        <v>2486</v>
      </c>
      <c r="C286" s="164" t="s">
        <v>2487</v>
      </c>
      <c r="D286" s="148" t="s">
        <v>1881</v>
      </c>
      <c r="E286" s="148" t="s">
        <v>144</v>
      </c>
      <c r="F286" s="149">
        <v>5</v>
      </c>
      <c r="G286" s="149">
        <f>'5 - R. ANALÍTICO - MODIFICAD'!$H$2309</f>
        <v>948.85</v>
      </c>
      <c r="H286" s="151">
        <f>'14 -BDI-EDIFICAÇÕES - SEM DESON'!$H$23</f>
        <v>0.2222616419077901</v>
      </c>
      <c r="I286" s="149">
        <f t="shared" si="98"/>
        <v>1159.74</v>
      </c>
      <c r="J286" s="149">
        <f t="shared" si="99"/>
        <v>5798.7</v>
      </c>
      <c r="L286" s="112"/>
    </row>
    <row r="287" spans="1:12" s="112" customFormat="1" ht="29.25" customHeight="1">
      <c r="A287" s="109" t="s">
        <v>322</v>
      </c>
      <c r="B287" s="145" t="s">
        <v>323</v>
      </c>
      <c r="C287" s="143"/>
      <c r="D287" s="143"/>
      <c r="E287" s="143"/>
      <c r="F287" s="143"/>
      <c r="G287" s="143"/>
      <c r="H287" s="143"/>
      <c r="I287" s="144"/>
      <c r="J287" s="113">
        <f>SUM(J288:J292)</f>
        <v>4629.5999999999995</v>
      </c>
    </row>
    <row r="288" spans="1:12" ht="28.5">
      <c r="A288" s="147" t="s">
        <v>324</v>
      </c>
      <c r="B288" s="148" t="s">
        <v>2004</v>
      </c>
      <c r="C288" s="164" t="s">
        <v>2585</v>
      </c>
      <c r="D288" s="148" t="s">
        <v>1881</v>
      </c>
      <c r="E288" s="148" t="s">
        <v>144</v>
      </c>
      <c r="F288" s="149">
        <v>1</v>
      </c>
      <c r="G288" s="149">
        <f>'5 - R. ANALÍTICO - MODIFICAD'!$H$615</f>
        <v>455.34999999999997</v>
      </c>
      <c r="H288" s="151">
        <f>'14 -BDI-EDIFICAÇÕES - SEM DESON'!$H$23</f>
        <v>0.2222616419077901</v>
      </c>
      <c r="I288" s="149">
        <f t="shared" ref="I288:I292" si="108">ROUND(G288*(1+H288),2)</f>
        <v>556.55999999999995</v>
      </c>
      <c r="J288" s="149">
        <f t="shared" ref="J288:J292" si="109">ROUND(ROUND(F288,2)*ROUND(I288,2),2)</f>
        <v>556.55999999999995</v>
      </c>
      <c r="L288" s="112"/>
    </row>
    <row r="289" spans="1:12" s="112" customFormat="1" ht="14.25">
      <c r="A289" s="147" t="s">
        <v>325</v>
      </c>
      <c r="B289" s="148" t="s">
        <v>2003</v>
      </c>
      <c r="C289" s="164" t="s">
        <v>1925</v>
      </c>
      <c r="D289" s="148" t="s">
        <v>1881</v>
      </c>
      <c r="E289" s="148" t="s">
        <v>139</v>
      </c>
      <c r="F289" s="149">
        <v>2.1800000000000002</v>
      </c>
      <c r="G289" s="149">
        <f>'5 - R. ANALÍTICO - MODIFICAD'!$H$2166</f>
        <v>677.43000000000006</v>
      </c>
      <c r="H289" s="151">
        <f>'14 -BDI-EDIFICAÇÕES - SEM DESON'!$H$23</f>
        <v>0.2222616419077901</v>
      </c>
      <c r="I289" s="149">
        <f t="shared" si="108"/>
        <v>828</v>
      </c>
      <c r="J289" s="149">
        <f t="shared" si="109"/>
        <v>1805.04</v>
      </c>
    </row>
    <row r="290" spans="1:12" s="112" customFormat="1" ht="28.5">
      <c r="A290" s="147" t="s">
        <v>473</v>
      </c>
      <c r="B290" s="148">
        <v>86909</v>
      </c>
      <c r="C290" s="164" t="s">
        <v>1157</v>
      </c>
      <c r="D290" s="148" t="s">
        <v>119</v>
      </c>
      <c r="E290" s="148" t="s">
        <v>144</v>
      </c>
      <c r="F290" s="149">
        <v>1</v>
      </c>
      <c r="G290" s="149">
        <v>127.85</v>
      </c>
      <c r="H290" s="151">
        <f>'14 -BDI-EDIFICAÇÕES - SEM DESON'!$H$23</f>
        <v>0.2222616419077901</v>
      </c>
      <c r="I290" s="149">
        <f t="shared" si="108"/>
        <v>156.27000000000001</v>
      </c>
      <c r="J290" s="149">
        <f t="shared" si="109"/>
        <v>156.27000000000001</v>
      </c>
    </row>
    <row r="291" spans="1:12" ht="28.5">
      <c r="A291" s="147" t="s">
        <v>1067</v>
      </c>
      <c r="B291" s="148" t="s">
        <v>2005</v>
      </c>
      <c r="C291" s="164" t="s">
        <v>2589</v>
      </c>
      <c r="D291" s="148" t="s">
        <v>1881</v>
      </c>
      <c r="E291" s="148" t="s">
        <v>144</v>
      </c>
      <c r="F291" s="149">
        <v>1</v>
      </c>
      <c r="G291" s="149">
        <f>'5 - R. ANALÍTICO - MODIFICAD'!$H$646</f>
        <v>1708.39</v>
      </c>
      <c r="H291" s="151">
        <f>'14 -BDI-EDIFICAÇÕES - SEM DESON'!$H$23</f>
        <v>0.2222616419077901</v>
      </c>
      <c r="I291" s="149">
        <f t="shared" si="108"/>
        <v>2088.1</v>
      </c>
      <c r="J291" s="149">
        <f t="shared" si="109"/>
        <v>2088.1</v>
      </c>
      <c r="L291" s="112"/>
    </row>
    <row r="292" spans="1:12" ht="28.5">
      <c r="A292" s="147" t="s">
        <v>1203</v>
      </c>
      <c r="B292" s="148" t="s">
        <v>4057</v>
      </c>
      <c r="C292" s="164" t="s">
        <v>4056</v>
      </c>
      <c r="D292" s="148" t="s">
        <v>1881</v>
      </c>
      <c r="E292" s="148" t="s">
        <v>144</v>
      </c>
      <c r="F292" s="149">
        <v>1</v>
      </c>
      <c r="G292" s="149">
        <f>'5 - R. ANALÍTICO - MODIFICAD'!$H$1296</f>
        <v>19.329999999999998</v>
      </c>
      <c r="H292" s="151">
        <f>'14 -BDI-EDIFICAÇÕES - SEM DESON'!$H$23</f>
        <v>0.2222616419077901</v>
      </c>
      <c r="I292" s="149">
        <f t="shared" si="108"/>
        <v>23.63</v>
      </c>
      <c r="J292" s="149">
        <f t="shared" si="109"/>
        <v>23.63</v>
      </c>
      <c r="L292" s="112"/>
    </row>
    <row r="293" spans="1:12" s="112" customFormat="1" ht="29.25" customHeight="1">
      <c r="A293" s="109" t="s">
        <v>326</v>
      </c>
      <c r="B293" s="145" t="s">
        <v>327</v>
      </c>
      <c r="C293" s="143"/>
      <c r="D293" s="143"/>
      <c r="E293" s="143"/>
      <c r="F293" s="143"/>
      <c r="G293" s="143"/>
      <c r="H293" s="143"/>
      <c r="I293" s="144"/>
      <c r="J293" s="113">
        <f>SUM(J294:J294)</f>
        <v>16507.009999999998</v>
      </c>
    </row>
    <row r="294" spans="1:12" ht="14.25">
      <c r="A294" s="147" t="s">
        <v>328</v>
      </c>
      <c r="B294" s="148" t="s">
        <v>2070</v>
      </c>
      <c r="C294" s="164" t="s">
        <v>2406</v>
      </c>
      <c r="D294" s="148" t="s">
        <v>1881</v>
      </c>
      <c r="E294" s="148" t="s">
        <v>144</v>
      </c>
      <c r="F294" s="149">
        <v>1</v>
      </c>
      <c r="G294" s="149">
        <f>'5 - R. ANALÍTICO - MODIFICAD'!$H$1864</f>
        <v>13505.3</v>
      </c>
      <c r="H294" s="151">
        <f>'14 -BDI-EDIFICAÇÕES - SEM DESON'!$H$23</f>
        <v>0.2222616419077901</v>
      </c>
      <c r="I294" s="149">
        <f>ROUND(G294*(1+H294),2)</f>
        <v>16507.009999999998</v>
      </c>
      <c r="J294" s="149">
        <f>ROUND(ROUND(F294,2)*ROUND(I294,2),2)</f>
        <v>16507.009999999998</v>
      </c>
      <c r="L294" s="112"/>
    </row>
    <row r="295" spans="1:12" s="112" customFormat="1" ht="29.25" customHeight="1">
      <c r="A295" s="109" t="s">
        <v>745</v>
      </c>
      <c r="B295" s="145" t="s">
        <v>2222</v>
      </c>
      <c r="C295" s="143"/>
      <c r="D295" s="143"/>
      <c r="E295" s="143"/>
      <c r="F295" s="143"/>
      <c r="G295" s="143"/>
      <c r="H295" s="143"/>
      <c r="I295" s="144"/>
      <c r="J295" s="113">
        <f>SUM(J296:J297)</f>
        <v>103411.9</v>
      </c>
    </row>
    <row r="296" spans="1:12" ht="28.5">
      <c r="A296" s="147" t="s">
        <v>746</v>
      </c>
      <c r="B296" s="148" t="s">
        <v>1929</v>
      </c>
      <c r="C296" s="164" t="s">
        <v>1930</v>
      </c>
      <c r="D296" s="148" t="s">
        <v>1881</v>
      </c>
      <c r="E296" s="148" t="s">
        <v>139</v>
      </c>
      <c r="F296" s="149">
        <v>83.97</v>
      </c>
      <c r="G296" s="149">
        <f>'5 - R. ANALÍTICO - MODIFICAD'!$H$1477</f>
        <v>818.06</v>
      </c>
      <c r="H296" s="151">
        <f>'14 -BDI-EDIFICAÇÕES - SEM DESON'!$H$23</f>
        <v>0.2222616419077901</v>
      </c>
      <c r="I296" s="149">
        <f t="shared" ref="I296:I297" si="110">ROUND(G296*(1+H296),2)</f>
        <v>999.88</v>
      </c>
      <c r="J296" s="149">
        <f t="shared" ref="J296:J297" si="111">ROUND(ROUND(F296,2)*ROUND(I296,2),2)</f>
        <v>83959.92</v>
      </c>
      <c r="L296" s="112"/>
    </row>
    <row r="297" spans="1:12" ht="28.5">
      <c r="A297" s="147" t="s">
        <v>1068</v>
      </c>
      <c r="B297" s="148" t="s">
        <v>2077</v>
      </c>
      <c r="C297" s="164" t="s">
        <v>2506</v>
      </c>
      <c r="D297" s="148" t="s">
        <v>3832</v>
      </c>
      <c r="E297" s="148" t="s">
        <v>315</v>
      </c>
      <c r="F297" s="149">
        <v>2</v>
      </c>
      <c r="G297" s="149">
        <f>'6 - COTAÇÃO MERCADO'!D68</f>
        <v>7957.37</v>
      </c>
      <c r="H297" s="151">
        <f>'14 -BDI-EDIFICAÇÕES - SEM DESON'!$H$23</f>
        <v>0.2222616419077901</v>
      </c>
      <c r="I297" s="149">
        <f t="shared" si="110"/>
        <v>9725.99</v>
      </c>
      <c r="J297" s="149">
        <f t="shared" si="111"/>
        <v>19451.98</v>
      </c>
      <c r="L297" s="112"/>
    </row>
    <row r="298" spans="1:12" s="112" customFormat="1" ht="29.25" customHeight="1">
      <c r="A298" s="109" t="s">
        <v>43</v>
      </c>
      <c r="B298" s="145" t="s">
        <v>329</v>
      </c>
      <c r="C298" s="143"/>
      <c r="D298" s="143"/>
      <c r="E298" s="143"/>
      <c r="F298" s="143"/>
      <c r="G298" s="143"/>
      <c r="H298" s="143"/>
      <c r="I298" s="144"/>
      <c r="J298" s="113">
        <f>SUM(J299:J306)</f>
        <v>16064.889999999998</v>
      </c>
    </row>
    <row r="299" spans="1:12" s="112" customFormat="1" ht="28.5">
      <c r="A299" s="147" t="s">
        <v>330</v>
      </c>
      <c r="B299" s="148" t="s">
        <v>2006</v>
      </c>
      <c r="C299" s="164" t="s">
        <v>1931</v>
      </c>
      <c r="D299" s="148" t="s">
        <v>1881</v>
      </c>
      <c r="E299" s="148" t="s">
        <v>144</v>
      </c>
      <c r="F299" s="149">
        <v>6</v>
      </c>
      <c r="G299" s="149">
        <f>'5 - R. ANALÍTICO - MODIFICAD'!$H$2182</f>
        <v>341.18000000000006</v>
      </c>
      <c r="H299" s="151">
        <f>'14 -BDI-EDIFICAÇÕES - SEM DESON'!$H$23</f>
        <v>0.2222616419077901</v>
      </c>
      <c r="I299" s="149">
        <f t="shared" ref="I299:I305" si="112">ROUND(G299*(1+H299),2)</f>
        <v>417.01</v>
      </c>
      <c r="J299" s="149">
        <f t="shared" ref="J299:J305" si="113">ROUND(ROUND(F299,2)*ROUND(I299,2),2)</f>
        <v>2502.06</v>
      </c>
    </row>
    <row r="300" spans="1:12" ht="14.25">
      <c r="A300" s="147" t="s">
        <v>1069</v>
      </c>
      <c r="B300" s="148" t="s">
        <v>2007</v>
      </c>
      <c r="C300" s="164" t="s">
        <v>1932</v>
      </c>
      <c r="D300" s="148" t="s">
        <v>1881</v>
      </c>
      <c r="E300" s="148" t="s">
        <v>144</v>
      </c>
      <c r="F300" s="149">
        <v>18</v>
      </c>
      <c r="G300" s="149">
        <f>'5 - R. ANALÍTICO - MODIFICAD'!$H$2193</f>
        <v>139.29000000000002</v>
      </c>
      <c r="H300" s="151">
        <f>'14 -BDI-EDIFICAÇÕES - SEM DESON'!$H$23</f>
        <v>0.2222616419077901</v>
      </c>
      <c r="I300" s="149">
        <f t="shared" si="112"/>
        <v>170.25</v>
      </c>
      <c r="J300" s="149">
        <f t="shared" si="113"/>
        <v>3064.5</v>
      </c>
      <c r="L300" s="112"/>
    </row>
    <row r="301" spans="1:12" ht="28.5">
      <c r="A301" s="147" t="s">
        <v>1070</v>
      </c>
      <c r="B301" s="148" t="s">
        <v>1965</v>
      </c>
      <c r="C301" s="164" t="s">
        <v>1933</v>
      </c>
      <c r="D301" s="148" t="s">
        <v>1881</v>
      </c>
      <c r="E301" s="148" t="s">
        <v>144</v>
      </c>
      <c r="F301" s="149">
        <v>8</v>
      </c>
      <c r="G301" s="149">
        <f>'5 - R. ANALÍTICO - MODIFICAD'!$H$1489</f>
        <v>12.690000000000001</v>
      </c>
      <c r="H301" s="151">
        <f>'14 -BDI-EDIFICAÇÕES - SEM DESON'!$H$23</f>
        <v>0.2222616419077901</v>
      </c>
      <c r="I301" s="149">
        <f t="shared" si="112"/>
        <v>15.51</v>
      </c>
      <c r="J301" s="149">
        <f t="shared" si="113"/>
        <v>124.08</v>
      </c>
      <c r="L301" s="112"/>
    </row>
    <row r="302" spans="1:12" ht="28.5">
      <c r="A302" s="147" t="s">
        <v>1108</v>
      </c>
      <c r="B302" s="148" t="s">
        <v>1966</v>
      </c>
      <c r="C302" s="164" t="s">
        <v>1934</v>
      </c>
      <c r="D302" s="148" t="s">
        <v>1881</v>
      </c>
      <c r="E302" s="148" t="s">
        <v>144</v>
      </c>
      <c r="F302" s="149">
        <v>6</v>
      </c>
      <c r="G302" s="149">
        <f>'5 - R. ANALÍTICO - MODIFICAD'!$H$1500</f>
        <v>35.25</v>
      </c>
      <c r="H302" s="151">
        <f>'14 -BDI-EDIFICAÇÕES - SEM DESON'!$H$23</f>
        <v>0.2222616419077901</v>
      </c>
      <c r="I302" s="149">
        <f t="shared" si="112"/>
        <v>43.08</v>
      </c>
      <c r="J302" s="149">
        <f t="shared" si="113"/>
        <v>258.48</v>
      </c>
      <c r="L302" s="112"/>
    </row>
    <row r="303" spans="1:12" ht="28.5">
      <c r="A303" s="147" t="s">
        <v>1109</v>
      </c>
      <c r="B303" s="148" t="s">
        <v>2008</v>
      </c>
      <c r="C303" s="164" t="s">
        <v>3850</v>
      </c>
      <c r="D303" s="148" t="s">
        <v>1881</v>
      </c>
      <c r="E303" s="148" t="s">
        <v>144</v>
      </c>
      <c r="F303" s="149">
        <v>36</v>
      </c>
      <c r="G303" s="149">
        <f>'5 - R. ANALÍTICO - MODIFICAD'!$H$2205</f>
        <v>9.8099999999999987</v>
      </c>
      <c r="H303" s="151">
        <f>'14 -BDI-EDIFICAÇÕES - SEM DESON'!$H$23</f>
        <v>0.2222616419077901</v>
      </c>
      <c r="I303" s="149">
        <f t="shared" si="112"/>
        <v>11.99</v>
      </c>
      <c r="J303" s="149">
        <f t="shared" si="113"/>
        <v>431.64</v>
      </c>
      <c r="L303" s="112"/>
    </row>
    <row r="304" spans="1:12" ht="28.5">
      <c r="A304" s="147" t="s">
        <v>1110</v>
      </c>
      <c r="B304" s="148" t="s">
        <v>2748</v>
      </c>
      <c r="C304" s="164" t="s">
        <v>2747</v>
      </c>
      <c r="D304" s="148" t="s">
        <v>1881</v>
      </c>
      <c r="E304" s="148" t="s">
        <v>144</v>
      </c>
      <c r="F304" s="149">
        <v>1</v>
      </c>
      <c r="G304" s="149">
        <f>'5 - R. ANALÍTICO - MODIFICAD'!$H$2326</f>
        <v>6214.08</v>
      </c>
      <c r="H304" s="151">
        <f>'14 -BDI-EDIFICAÇÕES - SEM DESON'!$H$23</f>
        <v>0.2222616419077901</v>
      </c>
      <c r="I304" s="149">
        <f t="shared" si="112"/>
        <v>7595.23</v>
      </c>
      <c r="J304" s="149">
        <f t="shared" si="113"/>
        <v>7595.23</v>
      </c>
      <c r="L304" s="112"/>
    </row>
    <row r="305" spans="1:12" ht="28.5">
      <c r="A305" s="147" t="s">
        <v>2746</v>
      </c>
      <c r="B305" s="148" t="s">
        <v>2868</v>
      </c>
      <c r="C305" s="164" t="s">
        <v>2869</v>
      </c>
      <c r="D305" s="148" t="s">
        <v>1881</v>
      </c>
      <c r="E305" s="148" t="s">
        <v>139</v>
      </c>
      <c r="F305" s="149">
        <v>3.34</v>
      </c>
      <c r="G305" s="149">
        <f>'5 - R. ANALÍTICO - MODIFICAD'!$H$1919</f>
        <v>342.53</v>
      </c>
      <c r="H305" s="151">
        <f>'14 -BDI-EDIFICAÇÕES - SEM DESON'!$H$23</f>
        <v>0.2222616419077901</v>
      </c>
      <c r="I305" s="149">
        <f t="shared" si="112"/>
        <v>418.66</v>
      </c>
      <c r="J305" s="149">
        <f t="shared" si="113"/>
        <v>1398.32</v>
      </c>
      <c r="L305" s="112"/>
    </row>
    <row r="306" spans="1:12" ht="14.25">
      <c r="A306" s="147" t="s">
        <v>3863</v>
      </c>
      <c r="B306" s="148" t="s">
        <v>3864</v>
      </c>
      <c r="C306" s="164" t="s">
        <v>3865</v>
      </c>
      <c r="D306" s="148" t="s">
        <v>3832</v>
      </c>
      <c r="E306" s="148" t="s">
        <v>144</v>
      </c>
      <c r="F306" s="149">
        <v>1</v>
      </c>
      <c r="G306" s="149">
        <f>'6 - COTAÇÃO MERCADO'!D204</f>
        <v>565</v>
      </c>
      <c r="H306" s="151">
        <f>'14 -BDI-EDIFICAÇÕES - SEM DESON'!$H$23</f>
        <v>0.2222616419077901</v>
      </c>
      <c r="I306" s="149">
        <f t="shared" ref="I306" si="114">ROUND(G306*(1+H306),2)</f>
        <v>690.58</v>
      </c>
      <c r="J306" s="149">
        <f t="shared" ref="J306" si="115">ROUND(ROUND(F306,2)*ROUND(I306,2),2)</f>
        <v>690.58</v>
      </c>
      <c r="L306" s="112"/>
    </row>
    <row r="307" spans="1:12" s="112" customFormat="1" ht="29.25" customHeight="1">
      <c r="A307" s="109" t="s">
        <v>44</v>
      </c>
      <c r="B307" s="145" t="s">
        <v>331</v>
      </c>
      <c r="C307" s="143"/>
      <c r="D307" s="143"/>
      <c r="E307" s="143"/>
      <c r="F307" s="143"/>
      <c r="G307" s="143"/>
      <c r="H307" s="143"/>
      <c r="I307" s="144"/>
      <c r="J307" s="113">
        <f>SUM(J308:J345)</f>
        <v>166326.13</v>
      </c>
    </row>
    <row r="308" spans="1:12" ht="14.25">
      <c r="A308" s="147" t="s">
        <v>332</v>
      </c>
      <c r="B308" s="148">
        <v>98519</v>
      </c>
      <c r="C308" s="164" t="s">
        <v>1214</v>
      </c>
      <c r="D308" s="148" t="s">
        <v>119</v>
      </c>
      <c r="E308" s="148" t="s">
        <v>139</v>
      </c>
      <c r="F308" s="149">
        <v>1103.0899999999999</v>
      </c>
      <c r="G308" s="149">
        <v>4.0999999999999996</v>
      </c>
      <c r="H308" s="151">
        <f>'14 -BDI-EDIFICAÇÕES - SEM DESON'!$H$23</f>
        <v>0.2222616419077901</v>
      </c>
      <c r="I308" s="149">
        <f t="shared" ref="I308:I344" si="116">ROUND(G308*(1+H308),2)</f>
        <v>5.01</v>
      </c>
      <c r="J308" s="149">
        <f t="shared" ref="J308:J344" si="117">ROUND(ROUND(F308,2)*ROUND(I308,2),2)</f>
        <v>5526.48</v>
      </c>
      <c r="L308" s="112"/>
    </row>
    <row r="309" spans="1:12" ht="14.25">
      <c r="A309" s="147" t="s">
        <v>333</v>
      </c>
      <c r="B309" s="148">
        <v>103946</v>
      </c>
      <c r="C309" s="164" t="s">
        <v>1212</v>
      </c>
      <c r="D309" s="148" t="s">
        <v>119</v>
      </c>
      <c r="E309" s="148" t="s">
        <v>139</v>
      </c>
      <c r="F309" s="149">
        <v>788.63</v>
      </c>
      <c r="G309" s="149">
        <v>22.06</v>
      </c>
      <c r="H309" s="151">
        <f>'14 -BDI-EDIFICAÇÕES - SEM DESON'!$H$23</f>
        <v>0.2222616419077901</v>
      </c>
      <c r="I309" s="149">
        <f t="shared" si="116"/>
        <v>26.96</v>
      </c>
      <c r="J309" s="149">
        <f t="shared" si="117"/>
        <v>21261.46</v>
      </c>
      <c r="L309" s="112"/>
    </row>
    <row r="310" spans="1:12" ht="14.25">
      <c r="A310" s="147" t="s">
        <v>1112</v>
      </c>
      <c r="B310" s="148" t="s">
        <v>2754</v>
      </c>
      <c r="C310" s="164" t="s">
        <v>2757</v>
      </c>
      <c r="D310" s="148" t="s">
        <v>1881</v>
      </c>
      <c r="E310" s="148" t="s">
        <v>139</v>
      </c>
      <c r="F310" s="149">
        <v>316.52999999999997</v>
      </c>
      <c r="G310" s="149">
        <f>'5 - R. ANALÍTICO - MODIFICAD'!$H$862</f>
        <v>117</v>
      </c>
      <c r="H310" s="151">
        <f>'14 -BDI-EDIFICAÇÕES - SEM DESON'!$H$23</f>
        <v>0.2222616419077901</v>
      </c>
      <c r="I310" s="149">
        <f t="shared" si="116"/>
        <v>143</v>
      </c>
      <c r="J310" s="149">
        <f t="shared" si="117"/>
        <v>45263.79</v>
      </c>
      <c r="L310" s="112"/>
    </row>
    <row r="311" spans="1:12" ht="14.25">
      <c r="A311" s="147" t="s">
        <v>1113</v>
      </c>
      <c r="B311" s="148">
        <v>98520</v>
      </c>
      <c r="C311" s="164" t="s">
        <v>1175</v>
      </c>
      <c r="D311" s="148" t="s">
        <v>119</v>
      </c>
      <c r="E311" s="148" t="s">
        <v>139</v>
      </c>
      <c r="F311" s="149">
        <v>1192.93</v>
      </c>
      <c r="G311" s="149">
        <v>5.4</v>
      </c>
      <c r="H311" s="151">
        <f>'14 -BDI-EDIFICAÇÕES - SEM DESON'!$H$23</f>
        <v>0.2222616419077901</v>
      </c>
      <c r="I311" s="149">
        <f t="shared" si="116"/>
        <v>6.6</v>
      </c>
      <c r="J311" s="149">
        <f t="shared" si="117"/>
        <v>7873.34</v>
      </c>
      <c r="L311" s="112"/>
    </row>
    <row r="312" spans="1:12" ht="14.25">
      <c r="A312" s="147" t="s">
        <v>1114</v>
      </c>
      <c r="B312" s="148">
        <v>98521</v>
      </c>
      <c r="C312" s="164" t="s">
        <v>4152</v>
      </c>
      <c r="D312" s="148" t="s">
        <v>119</v>
      </c>
      <c r="E312" s="148" t="s">
        <v>139</v>
      </c>
      <c r="F312" s="149">
        <v>1192.93</v>
      </c>
      <c r="G312" s="149">
        <v>0.4</v>
      </c>
      <c r="H312" s="151">
        <f>'14 -BDI-EDIFICAÇÕES - SEM DESON'!$H$23</f>
        <v>0.2222616419077901</v>
      </c>
      <c r="I312" s="149">
        <f t="shared" ref="I312" si="118">ROUND(G312*(1+H312),2)</f>
        <v>0.49</v>
      </c>
      <c r="J312" s="149">
        <f t="shared" ref="J312" si="119">ROUND(ROUND(F312,2)*ROUND(I312,2),2)</f>
        <v>584.54</v>
      </c>
      <c r="L312" s="112"/>
    </row>
    <row r="313" spans="1:12" ht="28.5">
      <c r="A313" s="147" t="s">
        <v>1115</v>
      </c>
      <c r="B313" s="148" t="s">
        <v>1967</v>
      </c>
      <c r="C313" s="164" t="s">
        <v>4101</v>
      </c>
      <c r="D313" s="148" t="s">
        <v>1881</v>
      </c>
      <c r="E313" s="148" t="s">
        <v>144</v>
      </c>
      <c r="F313" s="149">
        <v>7</v>
      </c>
      <c r="G313" s="149">
        <f>'5 - R. ANALÍTICO - MODIFICAD'!$H$302</f>
        <v>855.30000000000007</v>
      </c>
      <c r="H313" s="151">
        <f>'14 -BDI-EDIFICAÇÕES - SEM DESON'!$H$23</f>
        <v>0.2222616419077901</v>
      </c>
      <c r="I313" s="149">
        <f t="shared" si="116"/>
        <v>1045.4000000000001</v>
      </c>
      <c r="J313" s="149">
        <f t="shared" si="117"/>
        <v>7317.8</v>
      </c>
      <c r="L313" s="112"/>
    </row>
    <row r="314" spans="1:12" ht="14.25">
      <c r="A314" s="147" t="s">
        <v>1116</v>
      </c>
      <c r="B314" s="148" t="s">
        <v>2009</v>
      </c>
      <c r="C314" s="164" t="s">
        <v>2594</v>
      </c>
      <c r="D314" s="148" t="s">
        <v>1881</v>
      </c>
      <c r="E314" s="148" t="s">
        <v>144</v>
      </c>
      <c r="F314" s="149">
        <v>10</v>
      </c>
      <c r="G314" s="149">
        <f>'5 - R. ANALÍTICO - MODIFICAD'!$H$680</f>
        <v>630.53</v>
      </c>
      <c r="H314" s="151">
        <f>'14 -BDI-EDIFICAÇÕES - SEM DESON'!$H$23</f>
        <v>0.2222616419077901</v>
      </c>
      <c r="I314" s="149">
        <f t="shared" si="116"/>
        <v>770.67</v>
      </c>
      <c r="J314" s="149">
        <f t="shared" si="117"/>
        <v>7706.7</v>
      </c>
      <c r="L314" s="112"/>
    </row>
    <row r="315" spans="1:12" ht="28.5">
      <c r="A315" s="147" t="s">
        <v>1117</v>
      </c>
      <c r="B315" s="148" t="s">
        <v>2229</v>
      </c>
      <c r="C315" s="164" t="s">
        <v>2781</v>
      </c>
      <c r="D315" s="148" t="s">
        <v>1881</v>
      </c>
      <c r="E315" s="148" t="s">
        <v>144</v>
      </c>
      <c r="F315" s="149">
        <v>5</v>
      </c>
      <c r="G315" s="149">
        <f>'5 - R. ANALÍTICO - MODIFICAD'!$H$2685</f>
        <v>988.23</v>
      </c>
      <c r="H315" s="151">
        <f>'14 -BDI-EDIFICAÇÕES - SEM DESON'!$H$23</f>
        <v>0.2222616419077901</v>
      </c>
      <c r="I315" s="149">
        <f t="shared" si="116"/>
        <v>1207.8800000000001</v>
      </c>
      <c r="J315" s="149">
        <f t="shared" si="117"/>
        <v>6039.4</v>
      </c>
      <c r="L315" s="112"/>
    </row>
    <row r="316" spans="1:12" ht="14.25">
      <c r="A316" s="147" t="s">
        <v>1118</v>
      </c>
      <c r="B316" s="148">
        <v>98516</v>
      </c>
      <c r="C316" s="164" t="s">
        <v>1213</v>
      </c>
      <c r="D316" s="148" t="s">
        <v>119</v>
      </c>
      <c r="E316" s="148" t="s">
        <v>144</v>
      </c>
      <c r="F316" s="149">
        <v>9</v>
      </c>
      <c r="G316" s="149">
        <v>324.85000000000002</v>
      </c>
      <c r="H316" s="151">
        <f>'14 -BDI-EDIFICAÇÕES - SEM DESON'!$H$23</f>
        <v>0.2222616419077901</v>
      </c>
      <c r="I316" s="149">
        <f t="shared" si="116"/>
        <v>397.05</v>
      </c>
      <c r="J316" s="149">
        <f t="shared" si="117"/>
        <v>3573.45</v>
      </c>
      <c r="L316" s="112"/>
    </row>
    <row r="317" spans="1:12" ht="28.5">
      <c r="A317" s="147" t="s">
        <v>1170</v>
      </c>
      <c r="B317" s="148">
        <v>98511</v>
      </c>
      <c r="C317" s="164" t="s">
        <v>2214</v>
      </c>
      <c r="D317" s="148" t="s">
        <v>119</v>
      </c>
      <c r="E317" s="148" t="s">
        <v>144</v>
      </c>
      <c r="F317" s="149">
        <v>4</v>
      </c>
      <c r="G317" s="149">
        <v>157.80000000000001</v>
      </c>
      <c r="H317" s="151">
        <f>'14 -BDI-EDIFICAÇÕES - SEM DESON'!$H$23</f>
        <v>0.2222616419077901</v>
      </c>
      <c r="I317" s="149">
        <f t="shared" si="116"/>
        <v>192.87</v>
      </c>
      <c r="J317" s="149">
        <f t="shared" si="117"/>
        <v>771.48</v>
      </c>
      <c r="L317" s="112"/>
    </row>
    <row r="318" spans="1:12" ht="14.25">
      <c r="A318" s="147" t="s">
        <v>1171</v>
      </c>
      <c r="B318" s="148">
        <v>98510</v>
      </c>
      <c r="C318" s="164" t="s">
        <v>1230</v>
      </c>
      <c r="D318" s="148" t="s">
        <v>119</v>
      </c>
      <c r="E318" s="148" t="s">
        <v>144</v>
      </c>
      <c r="F318" s="149">
        <v>4</v>
      </c>
      <c r="G318" s="149">
        <v>90.59</v>
      </c>
      <c r="H318" s="151">
        <f>'14 -BDI-EDIFICAÇÕES - SEM DESON'!$H$23</f>
        <v>0.2222616419077901</v>
      </c>
      <c r="I318" s="149">
        <f t="shared" si="116"/>
        <v>110.72</v>
      </c>
      <c r="J318" s="149">
        <f t="shared" si="117"/>
        <v>442.88</v>
      </c>
      <c r="L318" s="112"/>
    </row>
    <row r="319" spans="1:12" ht="28.5">
      <c r="A319" s="147" t="s">
        <v>1172</v>
      </c>
      <c r="B319" s="148">
        <v>98511</v>
      </c>
      <c r="C319" s="164" t="s">
        <v>2759</v>
      </c>
      <c r="D319" s="148" t="s">
        <v>119</v>
      </c>
      <c r="E319" s="148" t="s">
        <v>144</v>
      </c>
      <c r="F319" s="149">
        <v>9</v>
      </c>
      <c r="G319" s="149">
        <v>157.80000000000001</v>
      </c>
      <c r="H319" s="151">
        <f>'14 -BDI-EDIFICAÇÕES - SEM DESON'!$H$23</f>
        <v>0.2222616419077901</v>
      </c>
      <c r="I319" s="149">
        <f t="shared" si="116"/>
        <v>192.87</v>
      </c>
      <c r="J319" s="149">
        <f t="shared" si="117"/>
        <v>1735.83</v>
      </c>
      <c r="L319" s="112"/>
    </row>
    <row r="320" spans="1:12" ht="14.25">
      <c r="A320" s="147" t="s">
        <v>1173</v>
      </c>
      <c r="B320" s="148" t="s">
        <v>3597</v>
      </c>
      <c r="C320" s="164" t="s">
        <v>3598</v>
      </c>
      <c r="D320" s="148" t="s">
        <v>1881</v>
      </c>
      <c r="E320" s="148" t="s">
        <v>144</v>
      </c>
      <c r="F320" s="149">
        <v>65</v>
      </c>
      <c r="G320" s="149">
        <f>'5 - R. ANALÍTICO - MODIFICAD'!H2696</f>
        <v>46.160000000000004</v>
      </c>
      <c r="H320" s="151">
        <f>'14 -BDI-EDIFICAÇÕES - SEM DESON'!$H$23</f>
        <v>0.2222616419077901</v>
      </c>
      <c r="I320" s="149">
        <f t="shared" si="116"/>
        <v>56.42</v>
      </c>
      <c r="J320" s="149">
        <f t="shared" si="117"/>
        <v>3667.3</v>
      </c>
      <c r="L320" s="112"/>
    </row>
    <row r="321" spans="1:12" ht="14.25">
      <c r="A321" s="147" t="s">
        <v>1174</v>
      </c>
      <c r="B321" s="148" t="s">
        <v>3941</v>
      </c>
      <c r="C321" s="164" t="s">
        <v>4176</v>
      </c>
      <c r="D321" s="148" t="s">
        <v>3832</v>
      </c>
      <c r="E321" s="148" t="s">
        <v>144</v>
      </c>
      <c r="F321" s="149">
        <v>53</v>
      </c>
      <c r="G321" s="149">
        <f>'6 - COTAÇÃO MERCADO'!$D$212</f>
        <v>12.5</v>
      </c>
      <c r="H321" s="151">
        <f>'14 -BDI-EDIFICAÇÕES - SEM DESON'!$H$23</f>
        <v>0.2222616419077901</v>
      </c>
      <c r="I321" s="149">
        <f t="shared" si="116"/>
        <v>15.28</v>
      </c>
      <c r="J321" s="149">
        <f t="shared" si="117"/>
        <v>809.84</v>
      </c>
      <c r="L321" s="112"/>
    </row>
    <row r="322" spans="1:12" ht="14.25">
      <c r="A322" s="147" t="s">
        <v>2230</v>
      </c>
      <c r="B322" s="148" t="s">
        <v>3954</v>
      </c>
      <c r="C322" s="164" t="s">
        <v>4155</v>
      </c>
      <c r="D322" s="148" t="s">
        <v>3832</v>
      </c>
      <c r="E322" s="148" t="s">
        <v>144</v>
      </c>
      <c r="F322" s="149">
        <v>48</v>
      </c>
      <c r="G322" s="149">
        <f>'6 - COTAÇÃO MERCADO'!$D$220</f>
        <v>20.97</v>
      </c>
      <c r="H322" s="151">
        <f>'14 -BDI-EDIFICAÇÕES - SEM DESON'!$H$23</f>
        <v>0.2222616419077901</v>
      </c>
      <c r="I322" s="149">
        <f t="shared" ref="I322:I328" si="120">ROUND(G322*(1+H322),2)</f>
        <v>25.63</v>
      </c>
      <c r="J322" s="149">
        <f t="shared" ref="J322:J328" si="121">ROUND(ROUND(F322,2)*ROUND(I322,2),2)</f>
        <v>1230.24</v>
      </c>
      <c r="L322" s="112"/>
    </row>
    <row r="323" spans="1:12" ht="14.25">
      <c r="A323" s="147" t="s">
        <v>2231</v>
      </c>
      <c r="B323" s="148" t="s">
        <v>4084</v>
      </c>
      <c r="C323" s="164" t="s">
        <v>4156</v>
      </c>
      <c r="D323" s="148" t="s">
        <v>3832</v>
      </c>
      <c r="E323" s="148" t="s">
        <v>144</v>
      </c>
      <c r="F323" s="149">
        <v>95</v>
      </c>
      <c r="G323" s="149">
        <f>'6 - COTAÇÃO MERCADO'!$D$228</f>
        <v>2.5</v>
      </c>
      <c r="H323" s="151">
        <f>'14 -BDI-EDIFICAÇÕES - SEM DESON'!$H$23</f>
        <v>0.2222616419077901</v>
      </c>
      <c r="I323" s="149">
        <f t="shared" si="120"/>
        <v>3.06</v>
      </c>
      <c r="J323" s="149">
        <f t="shared" si="121"/>
        <v>290.7</v>
      </c>
      <c r="L323" s="112"/>
    </row>
    <row r="324" spans="1:12" ht="14.25">
      <c r="A324" s="147" t="s">
        <v>2232</v>
      </c>
      <c r="B324" s="148" t="s">
        <v>4139</v>
      </c>
      <c r="C324" s="164" t="s">
        <v>4157</v>
      </c>
      <c r="D324" s="148" t="s">
        <v>3832</v>
      </c>
      <c r="E324" s="148" t="s">
        <v>144</v>
      </c>
      <c r="F324" s="149">
        <v>16</v>
      </c>
      <c r="G324" s="149">
        <f>'6 - COTAÇÃO MERCADO'!$D$236</f>
        <v>17.5</v>
      </c>
      <c r="H324" s="151">
        <f>'14 -BDI-EDIFICAÇÕES - SEM DESON'!$H$23</f>
        <v>0.2222616419077901</v>
      </c>
      <c r="I324" s="149">
        <f t="shared" si="120"/>
        <v>21.39</v>
      </c>
      <c r="J324" s="149">
        <f t="shared" si="121"/>
        <v>342.24</v>
      </c>
      <c r="L324" s="112"/>
    </row>
    <row r="325" spans="1:12" ht="14.25">
      <c r="A325" s="147" t="s">
        <v>2233</v>
      </c>
      <c r="B325" s="148" t="s">
        <v>4140</v>
      </c>
      <c r="C325" s="164" t="s">
        <v>4158</v>
      </c>
      <c r="D325" s="148" t="s">
        <v>3832</v>
      </c>
      <c r="E325" s="148" t="s">
        <v>144</v>
      </c>
      <c r="F325" s="149">
        <v>121</v>
      </c>
      <c r="G325" s="149">
        <f>'6 - COTAÇÃO MERCADO'!$D$244</f>
        <v>5</v>
      </c>
      <c r="H325" s="151">
        <f>'14 -BDI-EDIFICAÇÕES - SEM DESON'!$H$23</f>
        <v>0.2222616419077901</v>
      </c>
      <c r="I325" s="149">
        <f t="shared" si="120"/>
        <v>6.11</v>
      </c>
      <c r="J325" s="149">
        <f t="shared" si="121"/>
        <v>739.31</v>
      </c>
      <c r="L325" s="112"/>
    </row>
    <row r="326" spans="1:12" ht="14.25">
      <c r="A326" s="147" t="s">
        <v>2234</v>
      </c>
      <c r="B326" s="148" t="s">
        <v>4159</v>
      </c>
      <c r="C326" s="164" t="s">
        <v>4160</v>
      </c>
      <c r="D326" s="148" t="s">
        <v>3832</v>
      </c>
      <c r="E326" s="148" t="s">
        <v>144</v>
      </c>
      <c r="F326" s="149">
        <v>42</v>
      </c>
      <c r="G326" s="149">
        <f>'6 - COTAÇÃO MERCADO'!$D$252</f>
        <v>50</v>
      </c>
      <c r="H326" s="151">
        <f>'14 -BDI-EDIFICAÇÕES - SEM DESON'!$H$23</f>
        <v>0.2222616419077901</v>
      </c>
      <c r="I326" s="149">
        <f t="shared" si="120"/>
        <v>61.11</v>
      </c>
      <c r="J326" s="149">
        <f t="shared" si="121"/>
        <v>2566.62</v>
      </c>
      <c r="L326" s="112"/>
    </row>
    <row r="327" spans="1:12" ht="14.25">
      <c r="A327" s="147" t="s">
        <v>2235</v>
      </c>
      <c r="B327" s="148" t="s">
        <v>4161</v>
      </c>
      <c r="C327" s="164" t="s">
        <v>4162</v>
      </c>
      <c r="D327" s="148" t="s">
        <v>3832</v>
      </c>
      <c r="E327" s="148" t="s">
        <v>144</v>
      </c>
      <c r="F327" s="149">
        <v>73</v>
      </c>
      <c r="G327" s="149">
        <f>'6 - COTAÇÃO MERCADO'!$D$260</f>
        <v>3.5</v>
      </c>
      <c r="H327" s="151">
        <f>'14 -BDI-EDIFICAÇÕES - SEM DESON'!$H$23</f>
        <v>0.2222616419077901</v>
      </c>
      <c r="I327" s="149">
        <f t="shared" si="120"/>
        <v>4.28</v>
      </c>
      <c r="J327" s="149">
        <f t="shared" si="121"/>
        <v>312.44</v>
      </c>
      <c r="L327" s="112"/>
    </row>
    <row r="328" spans="1:12" ht="14.25">
      <c r="A328" s="147" t="s">
        <v>2236</v>
      </c>
      <c r="B328" s="148" t="s">
        <v>4163</v>
      </c>
      <c r="C328" s="164" t="s">
        <v>4164</v>
      </c>
      <c r="D328" s="148" t="s">
        <v>3832</v>
      </c>
      <c r="E328" s="148" t="s">
        <v>144</v>
      </c>
      <c r="F328" s="149">
        <v>45</v>
      </c>
      <c r="G328" s="149">
        <f>'6 - COTAÇÃO MERCADO'!$D$268</f>
        <v>55</v>
      </c>
      <c r="H328" s="151">
        <f>'14 -BDI-EDIFICAÇÕES - SEM DESON'!$H$23</f>
        <v>0.2222616419077901</v>
      </c>
      <c r="I328" s="149">
        <f t="shared" si="120"/>
        <v>67.22</v>
      </c>
      <c r="J328" s="149">
        <f t="shared" si="121"/>
        <v>3024.9</v>
      </c>
      <c r="L328" s="112"/>
    </row>
    <row r="329" spans="1:12" ht="14.25">
      <c r="A329" s="147" t="s">
        <v>2237</v>
      </c>
      <c r="B329" s="148">
        <v>98509</v>
      </c>
      <c r="C329" s="164" t="s">
        <v>3660</v>
      </c>
      <c r="D329" s="148" t="s">
        <v>119</v>
      </c>
      <c r="E329" s="148" t="s">
        <v>144</v>
      </c>
      <c r="F329" s="149">
        <v>10</v>
      </c>
      <c r="G329" s="149">
        <v>51.46</v>
      </c>
      <c r="H329" s="151">
        <f>'14 -BDI-EDIFICAÇÕES - SEM DESON'!$H$23</f>
        <v>0.2222616419077901</v>
      </c>
      <c r="I329" s="149">
        <f t="shared" si="116"/>
        <v>62.9</v>
      </c>
      <c r="J329" s="149">
        <f t="shared" si="117"/>
        <v>629</v>
      </c>
      <c r="L329" s="112"/>
    </row>
    <row r="330" spans="1:12" ht="14.25">
      <c r="A330" s="147" t="s">
        <v>2238</v>
      </c>
      <c r="B330" s="148" t="s">
        <v>3601</v>
      </c>
      <c r="C330" s="164" t="s">
        <v>3602</v>
      </c>
      <c r="D330" s="148" t="s">
        <v>1881</v>
      </c>
      <c r="E330" s="148" t="s">
        <v>167</v>
      </c>
      <c r="F330" s="149">
        <v>11.7</v>
      </c>
      <c r="G330" s="149">
        <f>'5 - R. ANALÍTICO - MODIFICAD'!H1980</f>
        <v>851.05</v>
      </c>
      <c r="H330" s="151">
        <f>'14 -BDI-EDIFICAÇÕES - SEM DESON'!$H$23</f>
        <v>0.2222616419077901</v>
      </c>
      <c r="I330" s="149">
        <f t="shared" ref="I330" si="122">ROUND(G330*(1+H330),2)</f>
        <v>1040.21</v>
      </c>
      <c r="J330" s="149">
        <f t="shared" ref="J330" si="123">ROUND(ROUND(F330,2)*ROUND(I330,2),2)</f>
        <v>12170.46</v>
      </c>
      <c r="L330" s="112"/>
    </row>
    <row r="331" spans="1:12" ht="14.25">
      <c r="A331" s="147" t="s">
        <v>2258</v>
      </c>
      <c r="B331" s="148" t="s">
        <v>2010</v>
      </c>
      <c r="C331" s="164" t="s">
        <v>1935</v>
      </c>
      <c r="D331" s="148" t="s">
        <v>1881</v>
      </c>
      <c r="E331" s="148" t="s">
        <v>173</v>
      </c>
      <c r="F331" s="149">
        <v>96.21</v>
      </c>
      <c r="G331" s="149">
        <f>'5 - R. ANALÍTICO - MODIFICAD'!$H$2216</f>
        <v>18.89</v>
      </c>
      <c r="H331" s="151">
        <f>'14 -BDI-EDIFICAÇÕES - SEM DESON'!$H$23</f>
        <v>0.2222616419077901</v>
      </c>
      <c r="I331" s="149">
        <f t="shared" si="116"/>
        <v>23.09</v>
      </c>
      <c r="J331" s="149">
        <f t="shared" si="117"/>
        <v>2221.4899999999998</v>
      </c>
      <c r="L331" s="112"/>
    </row>
    <row r="332" spans="1:12" ht="28.5">
      <c r="A332" s="147" t="s">
        <v>2259</v>
      </c>
      <c r="B332" s="148">
        <v>101159</v>
      </c>
      <c r="C332" s="164" t="s">
        <v>2239</v>
      </c>
      <c r="D332" s="148" t="s">
        <v>119</v>
      </c>
      <c r="E332" s="148" t="s">
        <v>139</v>
      </c>
      <c r="F332" s="149">
        <v>9.42</v>
      </c>
      <c r="G332" s="149">
        <v>146.21</v>
      </c>
      <c r="H332" s="151">
        <f>'14 -BDI-EDIFICAÇÕES - SEM DESON'!$H$23</f>
        <v>0.2222616419077901</v>
      </c>
      <c r="I332" s="149">
        <f t="shared" si="116"/>
        <v>178.71</v>
      </c>
      <c r="J332" s="149">
        <f t="shared" si="117"/>
        <v>1683.45</v>
      </c>
      <c r="L332" s="112"/>
    </row>
    <row r="333" spans="1:12" ht="42.75">
      <c r="A333" s="147" t="s">
        <v>2260</v>
      </c>
      <c r="B333" s="148">
        <v>87879</v>
      </c>
      <c r="C333" s="164" t="s">
        <v>4030</v>
      </c>
      <c r="D333" s="148" t="s">
        <v>119</v>
      </c>
      <c r="E333" s="148" t="s">
        <v>139</v>
      </c>
      <c r="F333" s="149">
        <v>9.42</v>
      </c>
      <c r="G333" s="149">
        <v>4.91</v>
      </c>
      <c r="H333" s="151">
        <f>'14 -BDI-EDIFICAÇÕES - SEM DESON'!$H$23</f>
        <v>0.2222616419077901</v>
      </c>
      <c r="I333" s="149">
        <f t="shared" si="116"/>
        <v>6</v>
      </c>
      <c r="J333" s="149">
        <f t="shared" si="117"/>
        <v>56.52</v>
      </c>
      <c r="L333" s="112"/>
    </row>
    <row r="334" spans="1:12" ht="42.75">
      <c r="A334" s="147" t="s">
        <v>2752</v>
      </c>
      <c r="B334" s="148">
        <v>87547</v>
      </c>
      <c r="C334" s="164" t="s">
        <v>4031</v>
      </c>
      <c r="D334" s="148" t="s">
        <v>119</v>
      </c>
      <c r="E334" s="148" t="s">
        <v>139</v>
      </c>
      <c r="F334" s="149">
        <v>9.42</v>
      </c>
      <c r="G334" s="149">
        <v>28.54</v>
      </c>
      <c r="H334" s="151">
        <f>'14 -BDI-EDIFICAÇÕES - SEM DESON'!$H$23</f>
        <v>0.2222616419077901</v>
      </c>
      <c r="I334" s="149">
        <f t="shared" si="116"/>
        <v>34.880000000000003</v>
      </c>
      <c r="J334" s="149">
        <f t="shared" si="117"/>
        <v>328.57</v>
      </c>
      <c r="L334" s="112"/>
    </row>
    <row r="335" spans="1:12" ht="28.5">
      <c r="A335" s="147" t="s">
        <v>3983</v>
      </c>
      <c r="B335" s="148">
        <v>88485</v>
      </c>
      <c r="C335" s="164" t="s">
        <v>2240</v>
      </c>
      <c r="D335" s="148" t="s">
        <v>119</v>
      </c>
      <c r="E335" s="148" t="s">
        <v>139</v>
      </c>
      <c r="F335" s="149">
        <v>9.42</v>
      </c>
      <c r="G335" s="149">
        <v>4.78</v>
      </c>
      <c r="H335" s="151">
        <f>'14 -BDI-EDIFICAÇÕES - SEM DESON'!$H$23</f>
        <v>0.2222616419077901</v>
      </c>
      <c r="I335" s="149">
        <f t="shared" si="116"/>
        <v>5.84</v>
      </c>
      <c r="J335" s="149">
        <f t="shared" si="117"/>
        <v>55.01</v>
      </c>
      <c r="L335" s="112"/>
    </row>
    <row r="336" spans="1:12" ht="28.5">
      <c r="A336" s="147" t="s">
        <v>4112</v>
      </c>
      <c r="B336" s="148">
        <v>88489</v>
      </c>
      <c r="C336" s="164" t="s">
        <v>2241</v>
      </c>
      <c r="D336" s="148" t="s">
        <v>119</v>
      </c>
      <c r="E336" s="148" t="s">
        <v>139</v>
      </c>
      <c r="F336" s="149">
        <v>9.42</v>
      </c>
      <c r="G336" s="149">
        <v>13.84</v>
      </c>
      <c r="H336" s="151">
        <f>'14 -BDI-EDIFICAÇÕES - SEM DESON'!$H$23</f>
        <v>0.2222616419077901</v>
      </c>
      <c r="I336" s="149">
        <f t="shared" si="116"/>
        <v>16.920000000000002</v>
      </c>
      <c r="J336" s="149">
        <f t="shared" si="117"/>
        <v>159.38999999999999</v>
      </c>
      <c r="L336" s="112"/>
    </row>
    <row r="337" spans="1:12" ht="28.5">
      <c r="A337" s="147" t="s">
        <v>4113</v>
      </c>
      <c r="B337" s="148" t="s">
        <v>4114</v>
      </c>
      <c r="C337" s="164" t="s">
        <v>4116</v>
      </c>
      <c r="D337" s="148" t="s">
        <v>1881</v>
      </c>
      <c r="E337" s="148" t="s">
        <v>139</v>
      </c>
      <c r="F337" s="149">
        <v>46.19</v>
      </c>
      <c r="G337" s="149">
        <f>'5 - R. ANALÍTICO - MODIFICAD'!$H$2444</f>
        <v>16.66</v>
      </c>
      <c r="H337" s="151">
        <f>'14 -BDI-EDIFICAÇÕES - SEM DESON'!$H$23</f>
        <v>0.2222616419077901</v>
      </c>
      <c r="I337" s="149">
        <f t="shared" ref="I337" si="124">ROUND(G337*(1+H337),2)</f>
        <v>20.36</v>
      </c>
      <c r="J337" s="149">
        <f t="shared" ref="J337" si="125">ROUND(ROUND(F337,2)*ROUND(I337,2),2)</f>
        <v>940.43</v>
      </c>
      <c r="L337" s="112"/>
    </row>
    <row r="338" spans="1:12" ht="28.5">
      <c r="A338" s="147" t="s">
        <v>4151</v>
      </c>
      <c r="B338" s="148">
        <v>98547</v>
      </c>
      <c r="C338" s="164" t="s">
        <v>2242</v>
      </c>
      <c r="D338" s="148" t="s">
        <v>119</v>
      </c>
      <c r="E338" s="148" t="s">
        <v>139</v>
      </c>
      <c r="F338" s="149">
        <v>75.53</v>
      </c>
      <c r="G338" s="149">
        <v>200.61</v>
      </c>
      <c r="H338" s="151">
        <f>'14 -BDI-EDIFICAÇÕES - SEM DESON'!$H$23</f>
        <v>0.2222616419077901</v>
      </c>
      <c r="I338" s="149">
        <f t="shared" si="116"/>
        <v>245.2</v>
      </c>
      <c r="J338" s="149">
        <f t="shared" si="117"/>
        <v>18519.96</v>
      </c>
      <c r="L338" s="112"/>
    </row>
    <row r="339" spans="1:12" ht="14.25">
      <c r="A339" s="147" t="s">
        <v>4165</v>
      </c>
      <c r="B339" s="148" t="s">
        <v>3340</v>
      </c>
      <c r="C339" s="164" t="s">
        <v>4115</v>
      </c>
      <c r="D339" s="148" t="s">
        <v>1881</v>
      </c>
      <c r="E339" s="148" t="s">
        <v>139</v>
      </c>
      <c r="F339" s="149">
        <v>75.53</v>
      </c>
      <c r="G339" s="149">
        <f>'5 - R. ANALÍTICO - MODIFICAD'!$H$2699</f>
        <v>1.91</v>
      </c>
      <c r="H339" s="151">
        <f>'14 -BDI-EDIFICAÇÕES - SEM DESON'!$H$23</f>
        <v>0.2222616419077901</v>
      </c>
      <c r="I339" s="149">
        <f t="shared" ref="I339" si="126">ROUND(G339*(1+H339),2)</f>
        <v>2.33</v>
      </c>
      <c r="J339" s="149">
        <f t="shared" ref="J339" si="127">ROUND(ROUND(F339,2)*ROUND(I339,2),2)</f>
        <v>175.98</v>
      </c>
      <c r="L339" s="112"/>
    </row>
    <row r="340" spans="1:12" ht="28.5">
      <c r="A340" s="147" t="s">
        <v>4166</v>
      </c>
      <c r="B340" s="148">
        <v>98565</v>
      </c>
      <c r="C340" s="164" t="s">
        <v>1176</v>
      </c>
      <c r="D340" s="148" t="s">
        <v>119</v>
      </c>
      <c r="E340" s="148" t="s">
        <v>139</v>
      </c>
      <c r="F340" s="149">
        <v>75.53</v>
      </c>
      <c r="G340" s="149">
        <v>54.43</v>
      </c>
      <c r="H340" s="151">
        <f>'14 -BDI-EDIFICAÇÕES - SEM DESON'!$H$23</f>
        <v>0.2222616419077901</v>
      </c>
      <c r="I340" s="149">
        <f t="shared" si="116"/>
        <v>66.53</v>
      </c>
      <c r="J340" s="149">
        <f t="shared" si="117"/>
        <v>5025.01</v>
      </c>
      <c r="L340" s="112"/>
    </row>
    <row r="341" spans="1:12" ht="14.25">
      <c r="A341" s="147" t="s">
        <v>4167</v>
      </c>
      <c r="B341" s="148">
        <v>98520</v>
      </c>
      <c r="C341" s="164" t="s">
        <v>1177</v>
      </c>
      <c r="D341" s="148" t="s">
        <v>119</v>
      </c>
      <c r="E341" s="148" t="s">
        <v>139</v>
      </c>
      <c r="F341" s="149">
        <v>36.590000000000003</v>
      </c>
      <c r="G341" s="149">
        <v>5.4</v>
      </c>
      <c r="H341" s="151">
        <f>'14 -BDI-EDIFICAÇÕES - SEM DESON'!$H$23</f>
        <v>0.2222616419077901</v>
      </c>
      <c r="I341" s="149">
        <f t="shared" si="116"/>
        <v>6.6</v>
      </c>
      <c r="J341" s="149">
        <f t="shared" si="117"/>
        <v>241.49</v>
      </c>
      <c r="L341" s="112"/>
    </row>
    <row r="342" spans="1:12" ht="28.5">
      <c r="A342" s="147" t="s">
        <v>4168</v>
      </c>
      <c r="B342" s="148" t="s">
        <v>2261</v>
      </c>
      <c r="C342" s="164" t="s">
        <v>2262</v>
      </c>
      <c r="D342" s="148" t="s">
        <v>1881</v>
      </c>
      <c r="E342" s="148" t="s">
        <v>167</v>
      </c>
      <c r="F342" s="149">
        <v>0.12</v>
      </c>
      <c r="G342" s="149">
        <f>'5 - R. ANALÍTICO - MODIFICAD'!$H$1734</f>
        <v>5951.15</v>
      </c>
      <c r="H342" s="151">
        <f>'14 -BDI-EDIFICAÇÕES - SEM DESON'!$H$23</f>
        <v>0.2222616419077901</v>
      </c>
      <c r="I342" s="149">
        <f t="shared" si="116"/>
        <v>7273.86</v>
      </c>
      <c r="J342" s="149">
        <f t="shared" si="117"/>
        <v>872.86</v>
      </c>
      <c r="L342" s="112"/>
    </row>
    <row r="343" spans="1:12" ht="28.5">
      <c r="A343" s="147" t="s">
        <v>4169</v>
      </c>
      <c r="B343" s="148">
        <v>102223</v>
      </c>
      <c r="C343" s="164" t="s">
        <v>2263</v>
      </c>
      <c r="D343" s="148" t="s">
        <v>119</v>
      </c>
      <c r="E343" s="148" t="s">
        <v>139</v>
      </c>
      <c r="F343" s="149">
        <v>6.4</v>
      </c>
      <c r="G343" s="149">
        <v>32.51</v>
      </c>
      <c r="H343" s="151">
        <f>'14 -BDI-EDIFICAÇÕES - SEM DESON'!$H$23</f>
        <v>0.2222616419077901</v>
      </c>
      <c r="I343" s="149">
        <f t="shared" si="116"/>
        <v>39.74</v>
      </c>
      <c r="J343" s="149">
        <f t="shared" si="117"/>
        <v>254.34</v>
      </c>
      <c r="L343" s="112"/>
    </row>
    <row r="344" spans="1:12" ht="14.25">
      <c r="A344" s="147" t="s">
        <v>4170</v>
      </c>
      <c r="B344" s="148" t="s">
        <v>4080</v>
      </c>
      <c r="C344" s="164" t="s">
        <v>4081</v>
      </c>
      <c r="D344" s="148" t="s">
        <v>1881</v>
      </c>
      <c r="E344" s="148" t="s">
        <v>144</v>
      </c>
      <c r="F344" s="149">
        <v>7</v>
      </c>
      <c r="G344" s="149">
        <f>'5 - R. ANALÍTICO - MODIFICAD'!$H$1307</f>
        <v>82.34</v>
      </c>
      <c r="H344" s="151">
        <f>'14 -BDI-EDIFICAÇÕES - SEM DESON'!$H$23</f>
        <v>0.2222616419077901</v>
      </c>
      <c r="I344" s="149">
        <f t="shared" si="116"/>
        <v>100.64</v>
      </c>
      <c r="J344" s="149">
        <f t="shared" si="117"/>
        <v>704.48</v>
      </c>
      <c r="L344" s="112"/>
    </row>
    <row r="345" spans="1:12" ht="14.25">
      <c r="A345" s="147" t="s">
        <v>4171</v>
      </c>
      <c r="B345" s="148" t="s">
        <v>3984</v>
      </c>
      <c r="C345" s="164" t="s">
        <v>3985</v>
      </c>
      <c r="D345" s="148" t="s">
        <v>1881</v>
      </c>
      <c r="E345" s="148" t="s">
        <v>139</v>
      </c>
      <c r="F345" s="149">
        <v>43.26</v>
      </c>
      <c r="G345" s="149">
        <f>'5 - R. ANALÍTICO - MODIFICAD'!$H$2025</f>
        <v>22.830000000000002</v>
      </c>
      <c r="H345" s="151">
        <f>'14 -BDI-EDIFICAÇÕES - SEM DESON'!$H$23</f>
        <v>0.2222616419077901</v>
      </c>
      <c r="I345" s="149">
        <f t="shared" ref="I345" si="128">ROUND(G345*(1+H345),2)</f>
        <v>27.9</v>
      </c>
      <c r="J345" s="149">
        <f t="shared" ref="J345" si="129">ROUND(ROUND(F345,2)*ROUND(I345,2),2)</f>
        <v>1206.95</v>
      </c>
      <c r="L345" s="112"/>
    </row>
    <row r="346" spans="1:12" s="112" customFormat="1" ht="29.25" customHeight="1">
      <c r="A346" s="109" t="s">
        <v>45</v>
      </c>
      <c r="B346" s="145" t="s">
        <v>334</v>
      </c>
      <c r="C346" s="143"/>
      <c r="D346" s="143"/>
      <c r="E346" s="143"/>
      <c r="F346" s="143"/>
      <c r="G346" s="143"/>
      <c r="H346" s="143"/>
      <c r="I346" s="144"/>
      <c r="J346" s="113">
        <f>J347+J373+J376+J383</f>
        <v>804164.91999999993</v>
      </c>
    </row>
    <row r="347" spans="1:12" s="112" customFormat="1" ht="29.25" customHeight="1">
      <c r="A347" s="109" t="s">
        <v>335</v>
      </c>
      <c r="B347" s="145" t="s">
        <v>336</v>
      </c>
      <c r="C347" s="143"/>
      <c r="D347" s="143"/>
      <c r="E347" s="143"/>
      <c r="F347" s="143"/>
      <c r="G347" s="143"/>
      <c r="H347" s="143"/>
      <c r="I347" s="144"/>
      <c r="J347" s="113">
        <f>J348+J352+J357+J362</f>
        <v>437949.76999999996</v>
      </c>
    </row>
    <row r="348" spans="1:12" s="112" customFormat="1" ht="29.25" customHeight="1">
      <c r="A348" s="109" t="s">
        <v>337</v>
      </c>
      <c r="B348" s="145" t="s">
        <v>2678</v>
      </c>
      <c r="C348" s="143"/>
      <c r="D348" s="143"/>
      <c r="E348" s="143"/>
      <c r="F348" s="143"/>
      <c r="G348" s="143"/>
      <c r="H348" s="143"/>
      <c r="I348" s="144"/>
      <c r="J348" s="113">
        <f>SUM(J349:J351)</f>
        <v>103692.25</v>
      </c>
    </row>
    <row r="349" spans="1:12" ht="28.5">
      <c r="A349" s="147" t="s">
        <v>2681</v>
      </c>
      <c r="B349" s="148">
        <v>97083</v>
      </c>
      <c r="C349" s="164" t="s">
        <v>1071</v>
      </c>
      <c r="D349" s="148" t="s">
        <v>119</v>
      </c>
      <c r="E349" s="148" t="s">
        <v>139</v>
      </c>
      <c r="F349" s="149">
        <v>667.65</v>
      </c>
      <c r="G349" s="149">
        <v>3.7</v>
      </c>
      <c r="H349" s="151">
        <f>'14 -BDI-EDIFICAÇÕES - SEM DESON'!$H$23</f>
        <v>0.2222616419077901</v>
      </c>
      <c r="I349" s="149">
        <f t="shared" ref="I349:I351" si="130">ROUND(G349*(1+H349),2)</f>
        <v>4.5199999999999996</v>
      </c>
      <c r="J349" s="149">
        <f t="shared" ref="J349:J351" si="131">ROUND(ROUND(F349,2)*ROUND(I349,2),2)</f>
        <v>3017.78</v>
      </c>
    </row>
    <row r="350" spans="1:12" ht="28.5">
      <c r="A350" s="147" t="s">
        <v>2682</v>
      </c>
      <c r="B350" s="148">
        <v>100324</v>
      </c>
      <c r="C350" s="164" t="s">
        <v>2880</v>
      </c>
      <c r="D350" s="148" t="s">
        <v>119</v>
      </c>
      <c r="E350" s="148" t="s">
        <v>167</v>
      </c>
      <c r="F350" s="149">
        <v>53.41</v>
      </c>
      <c r="G350" s="149">
        <v>300.37</v>
      </c>
      <c r="H350" s="151">
        <f>'14 -BDI-EDIFICAÇÕES - SEM DESON'!$H$23</f>
        <v>0.2222616419077901</v>
      </c>
      <c r="I350" s="149">
        <f t="shared" si="130"/>
        <v>367.13</v>
      </c>
      <c r="J350" s="149">
        <f t="shared" si="131"/>
        <v>19608.41</v>
      </c>
    </row>
    <row r="351" spans="1:12" ht="28.5">
      <c r="A351" s="147" t="s">
        <v>2683</v>
      </c>
      <c r="B351" s="148">
        <v>94994</v>
      </c>
      <c r="C351" s="164" t="s">
        <v>3284</v>
      </c>
      <c r="D351" s="148" t="s">
        <v>119</v>
      </c>
      <c r="E351" s="148" t="s">
        <v>139</v>
      </c>
      <c r="F351" s="149">
        <v>667.65</v>
      </c>
      <c r="G351" s="149">
        <v>99.34</v>
      </c>
      <c r="H351" s="151">
        <f>'14 -BDI-EDIFICAÇÕES - SEM DESON'!$H$23</f>
        <v>0.2222616419077901</v>
      </c>
      <c r="I351" s="149">
        <f t="shared" si="130"/>
        <v>121.42</v>
      </c>
      <c r="J351" s="149">
        <f t="shared" si="131"/>
        <v>81066.06</v>
      </c>
    </row>
    <row r="352" spans="1:12" s="112" customFormat="1" ht="29.25" customHeight="1">
      <c r="A352" s="109" t="s">
        <v>338</v>
      </c>
      <c r="B352" s="145" t="s">
        <v>2679</v>
      </c>
      <c r="C352" s="143"/>
      <c r="D352" s="143"/>
      <c r="E352" s="143"/>
      <c r="F352" s="143"/>
      <c r="G352" s="143"/>
      <c r="H352" s="143"/>
      <c r="I352" s="144"/>
      <c r="J352" s="113">
        <f>SUM(J353:J356)</f>
        <v>213611.75</v>
      </c>
    </row>
    <row r="353" spans="1:12" ht="28.5">
      <c r="A353" s="147" t="s">
        <v>2684</v>
      </c>
      <c r="B353" s="148">
        <v>97083</v>
      </c>
      <c r="C353" s="164" t="s">
        <v>1071</v>
      </c>
      <c r="D353" s="148" t="s">
        <v>119</v>
      </c>
      <c r="E353" s="148" t="s">
        <v>139</v>
      </c>
      <c r="F353" s="149">
        <v>1189.9000000000001</v>
      </c>
      <c r="G353" s="149">
        <v>3.7</v>
      </c>
      <c r="H353" s="151">
        <f>'14 -BDI-EDIFICAÇÕES - SEM DESON'!$H$23</f>
        <v>0.2222616419077901</v>
      </c>
      <c r="I353" s="149">
        <f t="shared" ref="I353:I356" si="132">ROUND(G353*(1+H353),2)</f>
        <v>4.5199999999999996</v>
      </c>
      <c r="J353" s="149">
        <f t="shared" ref="J353:J356" si="133">ROUND(ROUND(F353,2)*ROUND(I353,2),2)</f>
        <v>5378.35</v>
      </c>
    </row>
    <row r="354" spans="1:12" ht="28.5">
      <c r="A354" s="147" t="s">
        <v>2685</v>
      </c>
      <c r="B354" s="148" t="s">
        <v>3365</v>
      </c>
      <c r="C354" s="164" t="s">
        <v>3366</v>
      </c>
      <c r="D354" s="148" t="s">
        <v>1881</v>
      </c>
      <c r="E354" s="148" t="s">
        <v>139</v>
      </c>
      <c r="F354" s="149">
        <v>935.37</v>
      </c>
      <c r="G354" s="149">
        <f>'5 - R. ANALÍTICO - MODIFICAD'!$H$1053</f>
        <v>127.94</v>
      </c>
      <c r="H354" s="151">
        <f>'14 -BDI-EDIFICAÇÕES - SEM DESON'!$H$23</f>
        <v>0.2222616419077901</v>
      </c>
      <c r="I354" s="149">
        <f t="shared" ref="I354:I355" si="134">ROUND(G354*(1+H354),2)</f>
        <v>156.38</v>
      </c>
      <c r="J354" s="149">
        <f t="shared" ref="J354:J355" si="135">ROUND(ROUND(F354,2)*ROUND(I354,2),2)</f>
        <v>146273.16</v>
      </c>
    </row>
    <row r="355" spans="1:12" ht="28.5">
      <c r="A355" s="147" t="s">
        <v>2686</v>
      </c>
      <c r="B355" s="148" t="s">
        <v>3367</v>
      </c>
      <c r="C355" s="164" t="s">
        <v>3368</v>
      </c>
      <c r="D355" s="148" t="s">
        <v>1881</v>
      </c>
      <c r="E355" s="148" t="s">
        <v>139</v>
      </c>
      <c r="F355" s="149">
        <v>254.53</v>
      </c>
      <c r="G355" s="149">
        <f>'5 - R. ANALÍTICO - MODIFICAD'!$H$1073</f>
        <v>177.11</v>
      </c>
      <c r="H355" s="151">
        <f>'14 -BDI-EDIFICAÇÕES - SEM DESON'!$H$23</f>
        <v>0.2222616419077901</v>
      </c>
      <c r="I355" s="149">
        <f t="shared" si="134"/>
        <v>216.47</v>
      </c>
      <c r="J355" s="149">
        <f t="shared" si="135"/>
        <v>55098.11</v>
      </c>
    </row>
    <row r="356" spans="1:12" ht="14.25">
      <c r="A356" s="147" t="s">
        <v>2788</v>
      </c>
      <c r="B356" s="148">
        <v>103946</v>
      </c>
      <c r="C356" s="164" t="s">
        <v>3814</v>
      </c>
      <c r="D356" s="148" t="s">
        <v>119</v>
      </c>
      <c r="E356" s="148" t="s">
        <v>139</v>
      </c>
      <c r="F356" s="149">
        <v>254.53</v>
      </c>
      <c r="G356" s="149">
        <v>22.06</v>
      </c>
      <c r="H356" s="151">
        <f>'14 -BDI-EDIFICAÇÕES - SEM DESON'!$H$23</f>
        <v>0.2222616419077901</v>
      </c>
      <c r="I356" s="149">
        <f t="shared" si="132"/>
        <v>26.96</v>
      </c>
      <c r="J356" s="149">
        <f t="shared" si="133"/>
        <v>6862.13</v>
      </c>
    </row>
    <row r="357" spans="1:12" s="112" customFormat="1" ht="29.25" customHeight="1">
      <c r="A357" s="109" t="s">
        <v>927</v>
      </c>
      <c r="B357" s="145" t="s">
        <v>3236</v>
      </c>
      <c r="C357" s="143"/>
      <c r="D357" s="143"/>
      <c r="E357" s="143"/>
      <c r="F357" s="143"/>
      <c r="G357" s="143"/>
      <c r="H357" s="143"/>
      <c r="I357" s="144"/>
      <c r="J357" s="113">
        <f>SUM(J358:J361)</f>
        <v>66617.98</v>
      </c>
    </row>
    <row r="358" spans="1:12" ht="28.5">
      <c r="A358" s="147" t="s">
        <v>2687</v>
      </c>
      <c r="B358" s="148">
        <v>97083</v>
      </c>
      <c r="C358" s="164" t="s">
        <v>1071</v>
      </c>
      <c r="D358" s="148" t="s">
        <v>119</v>
      </c>
      <c r="E358" s="148" t="s">
        <v>139</v>
      </c>
      <c r="F358" s="149">
        <v>204.81</v>
      </c>
      <c r="G358" s="149">
        <v>3.7</v>
      </c>
      <c r="H358" s="151">
        <f>'14 -BDI-EDIFICAÇÕES - SEM DESON'!$H$23</f>
        <v>0.2222616419077901</v>
      </c>
      <c r="I358" s="149">
        <f>ROUND(G358*(1+H358),2)</f>
        <v>4.5199999999999996</v>
      </c>
      <c r="J358" s="149">
        <f t="shared" ref="J358" si="136">ROUND(ROUND(F358,2)*ROUND(I358,2),2)</f>
        <v>925.74</v>
      </c>
    </row>
    <row r="359" spans="1:12" ht="28.5">
      <c r="A359" s="147" t="s">
        <v>2688</v>
      </c>
      <c r="B359" s="148">
        <v>100324</v>
      </c>
      <c r="C359" s="164" t="s">
        <v>2880</v>
      </c>
      <c r="D359" s="148" t="s">
        <v>119</v>
      </c>
      <c r="E359" s="148" t="s">
        <v>167</v>
      </c>
      <c r="F359" s="149">
        <v>6.14</v>
      </c>
      <c r="G359" s="149">
        <v>300.37</v>
      </c>
      <c r="H359" s="151">
        <f>'14 -BDI-EDIFICAÇÕES - SEM DESON'!$H$23</f>
        <v>0.2222616419077901</v>
      </c>
      <c r="I359" s="149">
        <f t="shared" ref="I359:I361" si="137">ROUND(G359*(1+H359),2)</f>
        <v>367.13</v>
      </c>
      <c r="J359" s="149">
        <f t="shared" ref="J359:J361" si="138">ROUND(ROUND(F359,2)*ROUND(I359,2),2)</f>
        <v>2254.1799999999998</v>
      </c>
    </row>
    <row r="360" spans="1:12" ht="28.5">
      <c r="A360" s="147" t="s">
        <v>2689</v>
      </c>
      <c r="B360" s="148">
        <v>94990</v>
      </c>
      <c r="C360" s="164" t="s">
        <v>3376</v>
      </c>
      <c r="D360" s="148" t="s">
        <v>119</v>
      </c>
      <c r="E360" s="148" t="s">
        <v>167</v>
      </c>
      <c r="F360" s="149">
        <v>10.24</v>
      </c>
      <c r="G360" s="149">
        <v>815.92</v>
      </c>
      <c r="H360" s="151">
        <f>'14 -BDI-EDIFICAÇÕES - SEM DESON'!$H$23</f>
        <v>0.2222616419077901</v>
      </c>
      <c r="I360" s="149">
        <f t="shared" ref="I360" si="139">ROUND(G360*(1+H360),2)</f>
        <v>997.27</v>
      </c>
      <c r="J360" s="149">
        <f t="shared" ref="J360" si="140">ROUND(ROUND(F360,2)*ROUND(I360,2),2)</f>
        <v>10212.040000000001</v>
      </c>
    </row>
    <row r="361" spans="1:12" ht="28.5">
      <c r="A361" s="147" t="s">
        <v>3375</v>
      </c>
      <c r="B361" s="148" t="s">
        <v>3235</v>
      </c>
      <c r="C361" s="164" t="s">
        <v>3283</v>
      </c>
      <c r="D361" s="148" t="s">
        <v>1881</v>
      </c>
      <c r="E361" s="148" t="s">
        <v>139</v>
      </c>
      <c r="F361" s="149">
        <v>204.81</v>
      </c>
      <c r="G361" s="149">
        <f>'5 - R. ANALÍTICO - MODIFICAD'!$H$1035</f>
        <v>212.62</v>
      </c>
      <c r="H361" s="151">
        <f>'14 -BDI-EDIFICAÇÕES - SEM DESON'!$H$23</f>
        <v>0.2222616419077901</v>
      </c>
      <c r="I361" s="149">
        <f t="shared" si="137"/>
        <v>259.88</v>
      </c>
      <c r="J361" s="149">
        <f t="shared" si="138"/>
        <v>53226.02</v>
      </c>
    </row>
    <row r="362" spans="1:12" s="112" customFormat="1" ht="29.25" customHeight="1">
      <c r="A362" s="109" t="s">
        <v>3227</v>
      </c>
      <c r="B362" s="145" t="s">
        <v>2680</v>
      </c>
      <c r="C362" s="143"/>
      <c r="D362" s="143"/>
      <c r="E362" s="143"/>
      <c r="F362" s="143"/>
      <c r="G362" s="143"/>
      <c r="H362" s="143"/>
      <c r="I362" s="144"/>
      <c r="J362" s="113">
        <f>SUM(J363:J372)</f>
        <v>54027.79</v>
      </c>
    </row>
    <row r="363" spans="1:12" ht="28.5">
      <c r="A363" s="147" t="s">
        <v>3228</v>
      </c>
      <c r="B363" s="148">
        <v>104658</v>
      </c>
      <c r="C363" s="164" t="s">
        <v>2955</v>
      </c>
      <c r="D363" s="148" t="s">
        <v>119</v>
      </c>
      <c r="E363" s="148" t="s">
        <v>139</v>
      </c>
      <c r="F363" s="149">
        <v>9.92</v>
      </c>
      <c r="G363" s="149">
        <v>179.81</v>
      </c>
      <c r="H363" s="151">
        <f>'14 -BDI-EDIFICAÇÕES - SEM DESON'!$H$23</f>
        <v>0.2222616419077901</v>
      </c>
      <c r="I363" s="149">
        <f t="shared" ref="I363:I369" si="141">ROUND(G363*(1+H363),2)</f>
        <v>219.77</v>
      </c>
      <c r="J363" s="149">
        <f t="shared" ref="J363:J369" si="142">ROUND(ROUND(F363,2)*ROUND(I363,2),2)</f>
        <v>2180.12</v>
      </c>
      <c r="L363" s="112"/>
    </row>
    <row r="364" spans="1:12" ht="28.5">
      <c r="A364" s="147" t="s">
        <v>3229</v>
      </c>
      <c r="B364" s="148" t="s">
        <v>2952</v>
      </c>
      <c r="C364" s="164" t="s">
        <v>2954</v>
      </c>
      <c r="D364" s="148" t="s">
        <v>1881</v>
      </c>
      <c r="E364" s="148" t="s">
        <v>139</v>
      </c>
      <c r="F364" s="149">
        <v>3.38</v>
      </c>
      <c r="G364" s="149">
        <f>'5 - R. ANALÍTICO - MODIFICAD'!$H$955</f>
        <v>170.60999999999999</v>
      </c>
      <c r="H364" s="151">
        <f>'14 -BDI-EDIFICAÇÕES - SEM DESON'!$H$23</f>
        <v>0.2222616419077901</v>
      </c>
      <c r="I364" s="149">
        <f t="shared" ref="I364" si="143">ROUND(G364*(1+H364),2)</f>
        <v>208.53</v>
      </c>
      <c r="J364" s="149">
        <f t="shared" ref="J364" si="144">ROUND(ROUND(F364,2)*ROUND(I364,2),2)</f>
        <v>704.83</v>
      </c>
      <c r="L364" s="112"/>
    </row>
    <row r="365" spans="1:12" ht="14.25">
      <c r="A365" s="147" t="s">
        <v>3230</v>
      </c>
      <c r="B365" s="148">
        <v>102500</v>
      </c>
      <c r="C365" s="164" t="s">
        <v>2215</v>
      </c>
      <c r="D365" s="148" t="s">
        <v>119</v>
      </c>
      <c r="E365" s="148" t="s">
        <v>173</v>
      </c>
      <c r="F365" s="149">
        <v>172.34</v>
      </c>
      <c r="G365" s="149">
        <v>4.88</v>
      </c>
      <c r="H365" s="151">
        <f>'14 -BDI-EDIFICAÇÕES - SEM DESON'!$H$23</f>
        <v>0.2222616419077901</v>
      </c>
      <c r="I365" s="149">
        <f t="shared" si="141"/>
        <v>5.96</v>
      </c>
      <c r="J365" s="149">
        <f t="shared" si="142"/>
        <v>1027.1500000000001</v>
      </c>
      <c r="L365" s="112"/>
    </row>
    <row r="366" spans="1:12" ht="28.5">
      <c r="A366" s="147" t="s">
        <v>3231</v>
      </c>
      <c r="B366" s="148">
        <v>102501</v>
      </c>
      <c r="C366" s="164" t="s">
        <v>3252</v>
      </c>
      <c r="D366" s="148" t="s">
        <v>119</v>
      </c>
      <c r="E366" s="148" t="s">
        <v>139</v>
      </c>
      <c r="F366" s="149">
        <v>24.16</v>
      </c>
      <c r="G366" s="149">
        <v>27.64</v>
      </c>
      <c r="H366" s="151">
        <f>'14 -BDI-EDIFICAÇÕES - SEM DESON'!$H$23</f>
        <v>0.2222616419077901</v>
      </c>
      <c r="I366" s="149">
        <f t="shared" si="141"/>
        <v>33.78</v>
      </c>
      <c r="J366" s="149">
        <f t="shared" si="142"/>
        <v>816.12</v>
      </c>
      <c r="L366" s="112"/>
    </row>
    <row r="367" spans="1:12" ht="42.75">
      <c r="A367" s="147" t="s">
        <v>3232</v>
      </c>
      <c r="B367" s="148" t="s">
        <v>3377</v>
      </c>
      <c r="C367" s="164" t="s">
        <v>3378</v>
      </c>
      <c r="D367" s="148" t="s">
        <v>1881</v>
      </c>
      <c r="E367" s="148" t="s">
        <v>173</v>
      </c>
      <c r="F367" s="149">
        <v>371.53</v>
      </c>
      <c r="G367" s="149">
        <f>'5 - R. ANALÍTICO - MODIFICAD'!$H$1089</f>
        <v>48.2</v>
      </c>
      <c r="H367" s="151">
        <f>'14 -BDI-EDIFICAÇÕES - SEM DESON'!$H$23</f>
        <v>0.2222616419077901</v>
      </c>
      <c r="I367" s="149">
        <f t="shared" si="141"/>
        <v>58.91</v>
      </c>
      <c r="J367" s="149">
        <f t="shared" si="142"/>
        <v>21886.83</v>
      </c>
      <c r="L367" s="112"/>
    </row>
    <row r="368" spans="1:12" ht="28.5">
      <c r="A368" s="147" t="s">
        <v>3233</v>
      </c>
      <c r="B368" s="148">
        <v>102491</v>
      </c>
      <c r="C368" s="164" t="s">
        <v>3253</v>
      </c>
      <c r="D368" s="148" t="s">
        <v>119</v>
      </c>
      <c r="E368" s="148" t="s">
        <v>139</v>
      </c>
      <c r="F368" s="149">
        <v>100.31</v>
      </c>
      <c r="G368" s="149">
        <v>22.88</v>
      </c>
      <c r="H368" s="151">
        <f>'14 -BDI-EDIFICAÇÕES - SEM DESON'!$H$23</f>
        <v>0.2222616419077901</v>
      </c>
      <c r="I368" s="149">
        <f t="shared" ref="I368" si="145">ROUND(G368*(1+H368),2)</f>
        <v>27.97</v>
      </c>
      <c r="J368" s="149">
        <f t="shared" ref="J368" si="146">ROUND(ROUND(F368,2)*ROUND(I368,2),2)</f>
        <v>2805.67</v>
      </c>
      <c r="L368" s="112"/>
    </row>
    <row r="369" spans="1:12" ht="14.25">
      <c r="A369" s="147" t="s">
        <v>3234</v>
      </c>
      <c r="B369" s="148" t="s">
        <v>2858</v>
      </c>
      <c r="C369" s="164" t="s">
        <v>2859</v>
      </c>
      <c r="D369" s="148" t="s">
        <v>1881</v>
      </c>
      <c r="E369" s="148" t="s">
        <v>173</v>
      </c>
      <c r="F369" s="149">
        <v>331.07</v>
      </c>
      <c r="G369" s="149">
        <f>'5 - R. ANALÍTICO - MODIFICAD'!$H$2591</f>
        <v>54.249999999999993</v>
      </c>
      <c r="H369" s="151">
        <f>'14 -BDI-EDIFICAÇÕES - SEM DESON'!$H$23</f>
        <v>0.2222616419077901</v>
      </c>
      <c r="I369" s="149">
        <f t="shared" si="141"/>
        <v>66.31</v>
      </c>
      <c r="J369" s="149">
        <f t="shared" si="142"/>
        <v>21953.25</v>
      </c>
      <c r="L369" s="112"/>
    </row>
    <row r="370" spans="1:12" ht="28.5">
      <c r="A370" s="147" t="s">
        <v>3254</v>
      </c>
      <c r="B370" s="148" t="s">
        <v>2995</v>
      </c>
      <c r="C370" s="164" t="s">
        <v>2996</v>
      </c>
      <c r="D370" s="148" t="s">
        <v>1881</v>
      </c>
      <c r="E370" s="148" t="s">
        <v>144</v>
      </c>
      <c r="F370" s="149">
        <v>6</v>
      </c>
      <c r="G370" s="149">
        <f>'5 - R. ANALÍTICO - MODIFICAD'!$H$1956</f>
        <v>248.61</v>
      </c>
      <c r="H370" s="151">
        <f>'14 -BDI-EDIFICAÇÕES - SEM DESON'!$H$23</f>
        <v>0.2222616419077901</v>
      </c>
      <c r="I370" s="149">
        <f t="shared" ref="I370" si="147">ROUND(G370*(1+H370),2)</f>
        <v>303.87</v>
      </c>
      <c r="J370" s="149">
        <f t="shared" ref="J370" si="148">ROUND(ROUND(F370,2)*ROUND(I370,2),2)</f>
        <v>1823.22</v>
      </c>
      <c r="L370" s="112"/>
    </row>
    <row r="371" spans="1:12" ht="42.75">
      <c r="A371" s="147" t="s">
        <v>3920</v>
      </c>
      <c r="B371" s="148">
        <v>101159</v>
      </c>
      <c r="C371" s="164" t="s">
        <v>3922</v>
      </c>
      <c r="D371" s="148" t="s">
        <v>119</v>
      </c>
      <c r="E371" s="148" t="s">
        <v>139</v>
      </c>
      <c r="F371" s="149">
        <v>2.5099999999999998</v>
      </c>
      <c r="G371" s="149">
        <v>146.21</v>
      </c>
      <c r="H371" s="151">
        <f>'14 -BDI-EDIFICAÇÕES - SEM DESON'!$H$23</f>
        <v>0.2222616419077901</v>
      </c>
      <c r="I371" s="149">
        <f t="shared" ref="I371:I372" si="149">ROUND(G371*(1+H371),2)</f>
        <v>178.71</v>
      </c>
      <c r="J371" s="149">
        <f t="shared" ref="J371:J372" si="150">ROUND(ROUND(F371,2)*ROUND(I371,2),2)</f>
        <v>448.56</v>
      </c>
      <c r="L371" s="112"/>
    </row>
    <row r="372" spans="1:12" ht="42.75">
      <c r="A372" s="147" t="s">
        <v>3921</v>
      </c>
      <c r="B372" s="148">
        <v>87548</v>
      </c>
      <c r="C372" s="164" t="s">
        <v>3923</v>
      </c>
      <c r="D372" s="148" t="s">
        <v>119</v>
      </c>
      <c r="E372" s="148" t="s">
        <v>139</v>
      </c>
      <c r="F372" s="149">
        <v>10.029999999999999</v>
      </c>
      <c r="G372" s="149">
        <v>31.16</v>
      </c>
      <c r="H372" s="151">
        <f>'14 -BDI-EDIFICAÇÕES - SEM DESON'!$H$23</f>
        <v>0.2222616419077901</v>
      </c>
      <c r="I372" s="149">
        <f t="shared" si="149"/>
        <v>38.090000000000003</v>
      </c>
      <c r="J372" s="149">
        <f t="shared" si="150"/>
        <v>382.04</v>
      </c>
      <c r="L372" s="112"/>
    </row>
    <row r="373" spans="1:12" s="112" customFormat="1" ht="29.25" customHeight="1">
      <c r="A373" s="109" t="s">
        <v>339</v>
      </c>
      <c r="B373" s="145" t="s">
        <v>340</v>
      </c>
      <c r="C373" s="143"/>
      <c r="D373" s="143"/>
      <c r="E373" s="143"/>
      <c r="F373" s="143"/>
      <c r="G373" s="143"/>
      <c r="H373" s="143"/>
      <c r="I373" s="144"/>
      <c r="J373" s="113">
        <f>SUM(J374:J375)</f>
        <v>1111.73</v>
      </c>
    </row>
    <row r="374" spans="1:12" ht="14.25">
      <c r="A374" s="147" t="s">
        <v>341</v>
      </c>
      <c r="B374" s="148">
        <v>97113</v>
      </c>
      <c r="C374" s="164" t="s">
        <v>342</v>
      </c>
      <c r="D374" s="148" t="s">
        <v>119</v>
      </c>
      <c r="E374" s="148" t="s">
        <v>139</v>
      </c>
      <c r="F374" s="149">
        <v>6.08</v>
      </c>
      <c r="G374" s="149">
        <v>3.39</v>
      </c>
      <c r="H374" s="151">
        <f>'14 -BDI-EDIFICAÇÕES - SEM DESON'!$H$23</f>
        <v>0.2222616419077901</v>
      </c>
      <c r="I374" s="149">
        <f t="shared" ref="I374:I375" si="151">ROUND(G374*(1+H374),2)</f>
        <v>4.1399999999999997</v>
      </c>
      <c r="J374" s="149">
        <f t="shared" ref="J374:J375" si="152">ROUND(ROUND(F374,2)*ROUND(I374,2),2)</f>
        <v>25.17</v>
      </c>
      <c r="L374" s="112"/>
    </row>
    <row r="375" spans="1:12" ht="28.5">
      <c r="A375" s="147" t="s">
        <v>343</v>
      </c>
      <c r="B375" s="148">
        <v>101159</v>
      </c>
      <c r="C375" s="164" t="s">
        <v>344</v>
      </c>
      <c r="D375" s="148" t="s">
        <v>119</v>
      </c>
      <c r="E375" s="148" t="s">
        <v>139</v>
      </c>
      <c r="F375" s="149">
        <v>6.08</v>
      </c>
      <c r="G375" s="149">
        <v>146.21</v>
      </c>
      <c r="H375" s="151">
        <f>'14 -BDI-EDIFICAÇÕES - SEM DESON'!$H$23</f>
        <v>0.2222616419077901</v>
      </c>
      <c r="I375" s="149">
        <f t="shared" si="151"/>
        <v>178.71</v>
      </c>
      <c r="J375" s="149">
        <f t="shared" si="152"/>
        <v>1086.56</v>
      </c>
      <c r="L375" s="112"/>
    </row>
    <row r="376" spans="1:12" s="112" customFormat="1" ht="29.25" customHeight="1">
      <c r="A376" s="109" t="s">
        <v>345</v>
      </c>
      <c r="B376" s="145" t="s">
        <v>327</v>
      </c>
      <c r="C376" s="143"/>
      <c r="D376" s="143"/>
      <c r="E376" s="143"/>
      <c r="F376" s="143"/>
      <c r="G376" s="143"/>
      <c r="H376" s="143"/>
      <c r="I376" s="144"/>
      <c r="J376" s="113">
        <f>SUM(J377:J382)</f>
        <v>129339.81</v>
      </c>
    </row>
    <row r="377" spans="1:12" ht="28.5">
      <c r="A377" s="147" t="s">
        <v>2437</v>
      </c>
      <c r="B377" s="148" t="s">
        <v>1928</v>
      </c>
      <c r="C377" s="164" t="s">
        <v>2616</v>
      </c>
      <c r="D377" s="148" t="s">
        <v>1881</v>
      </c>
      <c r="E377" s="148" t="s">
        <v>173</v>
      </c>
      <c r="F377" s="149">
        <v>50.11</v>
      </c>
      <c r="G377" s="149">
        <f>'5 - R. ANALÍTICO - MODIFICAD'!$H$781</f>
        <v>265.64</v>
      </c>
      <c r="H377" s="151">
        <f>'14 -BDI-EDIFICAÇÕES - SEM DESON'!$H$23</f>
        <v>0.2222616419077901</v>
      </c>
      <c r="I377" s="149">
        <f t="shared" ref="I377:I378" si="153">ROUND(G377*(1+H377),2)</f>
        <v>324.68</v>
      </c>
      <c r="J377" s="149">
        <f t="shared" ref="J377:J379" si="154">ROUND(ROUND(F377,2)*ROUND(I377,2),2)</f>
        <v>16269.71</v>
      </c>
      <c r="L377" s="112"/>
    </row>
    <row r="378" spans="1:12" ht="28.5">
      <c r="A378" s="147" t="s">
        <v>346</v>
      </c>
      <c r="B378" s="148" t="s">
        <v>2192</v>
      </c>
      <c r="C378" s="164" t="s">
        <v>4182</v>
      </c>
      <c r="D378" s="148" t="s">
        <v>1881</v>
      </c>
      <c r="E378" s="148" t="s">
        <v>173</v>
      </c>
      <c r="F378" s="149">
        <v>67.84</v>
      </c>
      <c r="G378" s="149">
        <f>'5 - R. ANALÍTICO - MODIFICAD'!$H$138</f>
        <v>1317.4099999999999</v>
      </c>
      <c r="H378" s="151">
        <f>'14 -BDI-EDIFICAÇÕES - SEM DESON'!$H$23</f>
        <v>0.2222616419077901</v>
      </c>
      <c r="I378" s="149">
        <f t="shared" si="153"/>
        <v>1610.22</v>
      </c>
      <c r="J378" s="149">
        <f t="shared" si="154"/>
        <v>109237.32</v>
      </c>
      <c r="L378" s="112"/>
    </row>
    <row r="379" spans="1:12" ht="14.25">
      <c r="A379" s="147" t="s">
        <v>3237</v>
      </c>
      <c r="B379" s="148" t="s">
        <v>3884</v>
      </c>
      <c r="C379" s="164" t="s">
        <v>3886</v>
      </c>
      <c r="D379" s="148" t="s">
        <v>1881</v>
      </c>
      <c r="E379" s="148" t="s">
        <v>139</v>
      </c>
      <c r="F379" s="149">
        <v>0.72</v>
      </c>
      <c r="G379" s="149">
        <f>'5 - R. ANALÍTICO - MODIFICAD'!$H$2766</f>
        <v>1228.5599999999997</v>
      </c>
      <c r="H379" s="151">
        <f>'14 -BDI-EDIFICAÇÕES - SEM DESON'!$H$23</f>
        <v>0.2222616419077901</v>
      </c>
      <c r="I379" s="149">
        <f t="shared" ref="I379" si="155">ROUND(G379*(1+H379),2)</f>
        <v>1501.62</v>
      </c>
      <c r="J379" s="149">
        <f t="shared" si="154"/>
        <v>1081.17</v>
      </c>
      <c r="L379" s="112"/>
    </row>
    <row r="380" spans="1:12" ht="28.5">
      <c r="A380" s="147" t="s">
        <v>3620</v>
      </c>
      <c r="B380" s="148" t="s">
        <v>3238</v>
      </c>
      <c r="C380" s="164" t="s">
        <v>3239</v>
      </c>
      <c r="D380" s="148" t="s">
        <v>1881</v>
      </c>
      <c r="E380" s="148" t="s">
        <v>315</v>
      </c>
      <c r="F380" s="149">
        <v>1</v>
      </c>
      <c r="G380" s="149">
        <f>'5 - R. ANALÍTICO - MODIFICAD'!$H$2616</f>
        <v>2043.18</v>
      </c>
      <c r="H380" s="151">
        <f>'14 -BDI-EDIFICAÇÕES - SEM DESON'!$H$23</f>
        <v>0.2222616419077901</v>
      </c>
      <c r="I380" s="149">
        <f t="shared" ref="I380" si="156">ROUND(G380*(1+H380),2)</f>
        <v>2497.3000000000002</v>
      </c>
      <c r="J380" s="149">
        <f t="shared" ref="J380" si="157">ROUND(ROUND(F380,2)*ROUND(I380,2),2)</f>
        <v>2497.3000000000002</v>
      </c>
      <c r="L380" s="112"/>
    </row>
    <row r="381" spans="1:12" ht="28.5">
      <c r="A381" s="147" t="s">
        <v>3622</v>
      </c>
      <c r="B381" s="148">
        <v>100721</v>
      </c>
      <c r="C381" s="164" t="s">
        <v>3621</v>
      </c>
      <c r="D381" s="148" t="s">
        <v>119</v>
      </c>
      <c r="E381" s="148" t="s">
        <v>139</v>
      </c>
      <c r="F381" s="149">
        <v>2.5099999999999998</v>
      </c>
      <c r="G381" s="149">
        <v>27.9</v>
      </c>
      <c r="H381" s="151">
        <f>'14 -BDI-EDIFICAÇÕES - SEM DESON'!$H$23</f>
        <v>0.2222616419077901</v>
      </c>
      <c r="I381" s="149">
        <f t="shared" ref="I381:I382" si="158">ROUND(G381*(1+H381),2)</f>
        <v>34.1</v>
      </c>
      <c r="J381" s="149">
        <f t="shared" ref="J381:J382" si="159">ROUND(ROUND(F381,2)*ROUND(I381,2),2)</f>
        <v>85.59</v>
      </c>
      <c r="L381" s="112"/>
    </row>
    <row r="382" spans="1:12" ht="42.75">
      <c r="A382" s="147" t="s">
        <v>3885</v>
      </c>
      <c r="B382" s="148">
        <v>100757</v>
      </c>
      <c r="C382" s="164" t="s">
        <v>3623</v>
      </c>
      <c r="D382" s="148" t="s">
        <v>119</v>
      </c>
      <c r="E382" s="148" t="s">
        <v>139</v>
      </c>
      <c r="F382" s="149">
        <v>2.5099999999999998</v>
      </c>
      <c r="G382" s="149">
        <v>55</v>
      </c>
      <c r="H382" s="151">
        <f>'14 -BDI-EDIFICAÇÕES - SEM DESON'!$H$23</f>
        <v>0.2222616419077901</v>
      </c>
      <c r="I382" s="149">
        <f t="shared" si="158"/>
        <v>67.22</v>
      </c>
      <c r="J382" s="149">
        <f t="shared" si="159"/>
        <v>168.72</v>
      </c>
      <c r="L382" s="112"/>
    </row>
    <row r="383" spans="1:12" s="112" customFormat="1" ht="29.25" customHeight="1">
      <c r="A383" s="109" t="s">
        <v>474</v>
      </c>
      <c r="B383" s="145" t="s">
        <v>747</v>
      </c>
      <c r="C383" s="143"/>
      <c r="D383" s="143"/>
      <c r="E383" s="143"/>
      <c r="F383" s="143"/>
      <c r="G383" s="143"/>
      <c r="H383" s="143"/>
      <c r="I383" s="144"/>
      <c r="J383" s="113">
        <f>SUM(J384:J391)</f>
        <v>235763.61</v>
      </c>
    </row>
    <row r="384" spans="1:12" ht="42.75">
      <c r="A384" s="147" t="s">
        <v>475</v>
      </c>
      <c r="B384" s="148" t="s">
        <v>2020</v>
      </c>
      <c r="C384" s="164" t="s">
        <v>3756</v>
      </c>
      <c r="D384" s="148" t="s">
        <v>1881</v>
      </c>
      <c r="E384" s="148" t="s">
        <v>173</v>
      </c>
      <c r="F384" s="149">
        <v>162.4</v>
      </c>
      <c r="G384" s="149">
        <f>'5 - R. ANALÍTICO - MODIFICAD'!H2746</f>
        <v>461.88</v>
      </c>
      <c r="H384" s="151">
        <f>'14 -BDI-EDIFICAÇÕES - SEM DESON'!$H$23</f>
        <v>0.2222616419077901</v>
      </c>
      <c r="I384" s="149">
        <f t="shared" ref="I384:I390" si="160">ROUND(G384*(1+H384),2)</f>
        <v>564.54</v>
      </c>
      <c r="J384" s="149">
        <f t="shared" ref="J384:J390" si="161">ROUND(ROUND(F384,2)*ROUND(I384,2),2)</f>
        <v>91681.3</v>
      </c>
      <c r="L384" s="112"/>
    </row>
    <row r="385" spans="1:12" ht="28.5">
      <c r="A385" s="147" t="s">
        <v>476</v>
      </c>
      <c r="B385" s="148" t="s">
        <v>2353</v>
      </c>
      <c r="C385" s="164" t="s">
        <v>3757</v>
      </c>
      <c r="D385" s="148" t="s">
        <v>1881</v>
      </c>
      <c r="E385" s="148" t="s">
        <v>139</v>
      </c>
      <c r="F385" s="149">
        <v>31.54</v>
      </c>
      <c r="G385" s="149">
        <f>'5 - R. ANALÍTICO - MODIFICAD'!$H$1893</f>
        <v>929.44</v>
      </c>
      <c r="H385" s="151">
        <f>'14 -BDI-EDIFICAÇÕES - SEM DESON'!$H$23</f>
        <v>0.2222616419077901</v>
      </c>
      <c r="I385" s="149">
        <f t="shared" si="160"/>
        <v>1136.02</v>
      </c>
      <c r="J385" s="149">
        <f t="shared" si="161"/>
        <v>35830.07</v>
      </c>
      <c r="L385" s="112"/>
    </row>
    <row r="386" spans="1:12" ht="14.25">
      <c r="A386" s="147" t="s">
        <v>2243</v>
      </c>
      <c r="B386" s="148" t="s">
        <v>2247</v>
      </c>
      <c r="C386" s="164" t="s">
        <v>2249</v>
      </c>
      <c r="D386" s="148" t="s">
        <v>1881</v>
      </c>
      <c r="E386" s="148" t="s">
        <v>315</v>
      </c>
      <c r="F386" s="149">
        <v>2</v>
      </c>
      <c r="G386" s="149">
        <f>'5 - R. ANALÍTICO - MODIFICAD'!$H$1398</f>
        <v>1559.56</v>
      </c>
      <c r="H386" s="151">
        <f>'14 -BDI-EDIFICAÇÕES - SEM DESON'!$H$23</f>
        <v>0.2222616419077901</v>
      </c>
      <c r="I386" s="149">
        <f t="shared" si="160"/>
        <v>1906.19</v>
      </c>
      <c r="J386" s="149">
        <f t="shared" si="161"/>
        <v>3812.38</v>
      </c>
      <c r="L386" s="112"/>
    </row>
    <row r="387" spans="1:12" ht="28.5">
      <c r="A387" s="147" t="s">
        <v>2244</v>
      </c>
      <c r="B387" s="148" t="s">
        <v>2248</v>
      </c>
      <c r="C387" s="164" t="s">
        <v>2250</v>
      </c>
      <c r="D387" s="148" t="s">
        <v>1881</v>
      </c>
      <c r="E387" s="148" t="s">
        <v>144</v>
      </c>
      <c r="F387" s="149">
        <v>3</v>
      </c>
      <c r="G387" s="149">
        <f>'5 - R. ANALÍTICO - MODIFICAD'!$H$2097</f>
        <v>1545.12</v>
      </c>
      <c r="H387" s="151">
        <f>'14 -BDI-EDIFICAÇÕES - SEM DESON'!$H$23</f>
        <v>0.2222616419077901</v>
      </c>
      <c r="I387" s="149">
        <f t="shared" si="160"/>
        <v>1888.54</v>
      </c>
      <c r="J387" s="149">
        <f t="shared" si="161"/>
        <v>5665.62</v>
      </c>
      <c r="L387" s="112"/>
    </row>
    <row r="388" spans="1:12" ht="42.75">
      <c r="A388" s="147" t="s">
        <v>2245</v>
      </c>
      <c r="B388" s="148" t="s">
        <v>2257</v>
      </c>
      <c r="C388" s="164" t="s">
        <v>4033</v>
      </c>
      <c r="D388" s="148" t="s">
        <v>1881</v>
      </c>
      <c r="E388" s="148" t="s">
        <v>200</v>
      </c>
      <c r="F388" s="149">
        <v>1612.4</v>
      </c>
      <c r="G388" s="149">
        <f>'5 - R. ANALÍTICO - MODIFICAD'!$H$2035</f>
        <v>20.12</v>
      </c>
      <c r="H388" s="151">
        <f>'14 -BDI-EDIFICAÇÕES - SEM DESON'!$H$23</f>
        <v>0.2222616419077901</v>
      </c>
      <c r="I388" s="149">
        <f t="shared" si="160"/>
        <v>24.59</v>
      </c>
      <c r="J388" s="149">
        <f t="shared" si="161"/>
        <v>39648.92</v>
      </c>
      <c r="L388" s="112"/>
    </row>
    <row r="389" spans="1:12" ht="28.5">
      <c r="A389" s="147" t="s">
        <v>2246</v>
      </c>
      <c r="B389" s="148">
        <v>100721</v>
      </c>
      <c r="C389" s="164" t="s">
        <v>4037</v>
      </c>
      <c r="D389" s="148" t="s">
        <v>119</v>
      </c>
      <c r="E389" s="148" t="s">
        <v>139</v>
      </c>
      <c r="F389" s="149">
        <v>31.54</v>
      </c>
      <c r="G389" s="149">
        <v>27.9</v>
      </c>
      <c r="H389" s="151">
        <f>'14 -BDI-EDIFICAÇÕES - SEM DESON'!$H$23</f>
        <v>0.2222616419077901</v>
      </c>
      <c r="I389" s="149">
        <f t="shared" si="160"/>
        <v>34.1</v>
      </c>
      <c r="J389" s="149">
        <f t="shared" si="161"/>
        <v>1075.51</v>
      </c>
      <c r="L389" s="112"/>
    </row>
    <row r="390" spans="1:12" ht="42.75">
      <c r="A390" s="147" t="s">
        <v>2256</v>
      </c>
      <c r="B390" s="148">
        <v>100757</v>
      </c>
      <c r="C390" s="164" t="s">
        <v>4036</v>
      </c>
      <c r="D390" s="148" t="s">
        <v>119</v>
      </c>
      <c r="E390" s="148" t="s">
        <v>139</v>
      </c>
      <c r="F390" s="149">
        <v>31.54</v>
      </c>
      <c r="G390" s="149">
        <v>55</v>
      </c>
      <c r="H390" s="151">
        <f>'14 -BDI-EDIFICAÇÕES - SEM DESON'!$H$23</f>
        <v>0.2222616419077901</v>
      </c>
      <c r="I390" s="149">
        <f t="shared" si="160"/>
        <v>67.22</v>
      </c>
      <c r="J390" s="149">
        <f t="shared" si="161"/>
        <v>2120.12</v>
      </c>
      <c r="L390" s="112"/>
    </row>
    <row r="391" spans="1:12" ht="28.5">
      <c r="A391" s="147" t="s">
        <v>2963</v>
      </c>
      <c r="B391" s="148" t="s">
        <v>2953</v>
      </c>
      <c r="C391" s="164" t="s">
        <v>2964</v>
      </c>
      <c r="D391" s="148" t="s">
        <v>1881</v>
      </c>
      <c r="E391" s="148" t="s">
        <v>139</v>
      </c>
      <c r="F391" s="149">
        <v>32.229999999999997</v>
      </c>
      <c r="G391" s="149">
        <f>'5 - R. ANALÍTICO - MODIFICAD'!$H$2369</f>
        <v>1419.77</v>
      </c>
      <c r="H391" s="151">
        <f>'14 -BDI-EDIFICAÇÕES - SEM DESON'!$H$23</f>
        <v>0.2222616419077901</v>
      </c>
      <c r="I391" s="149">
        <f t="shared" ref="I391" si="162">ROUND(G391*(1+H391),2)</f>
        <v>1735.33</v>
      </c>
      <c r="J391" s="149">
        <f t="shared" ref="J391" si="163">ROUND(ROUND(F391,2)*ROUND(I391,2),2)</f>
        <v>55929.69</v>
      </c>
      <c r="L391" s="112"/>
    </row>
    <row r="392" spans="1:12" s="112" customFormat="1" ht="29.25" customHeight="1">
      <c r="A392" s="109" t="s">
        <v>992</v>
      </c>
      <c r="B392" s="145" t="s">
        <v>26</v>
      </c>
      <c r="C392" s="143"/>
      <c r="D392" s="143"/>
      <c r="E392" s="143"/>
      <c r="F392" s="143"/>
      <c r="G392" s="143"/>
      <c r="H392" s="143"/>
      <c r="I392" s="144"/>
      <c r="J392" s="113">
        <f>J393+J430+J437+J484+J507</f>
        <v>251090.56</v>
      </c>
    </row>
    <row r="393" spans="1:12" s="112" customFormat="1" ht="29.25" customHeight="1">
      <c r="A393" s="109" t="s">
        <v>46</v>
      </c>
      <c r="B393" s="145" t="s">
        <v>3477</v>
      </c>
      <c r="C393" s="143"/>
      <c r="D393" s="143"/>
      <c r="E393" s="143"/>
      <c r="F393" s="143"/>
      <c r="G393" s="143"/>
      <c r="H393" s="143"/>
      <c r="I393" s="144"/>
      <c r="J393" s="113">
        <f>J394+J412+J416+J422</f>
        <v>34979.440000000002</v>
      </c>
    </row>
    <row r="394" spans="1:12" s="112" customFormat="1" ht="29.25" customHeight="1">
      <c r="A394" s="109" t="s">
        <v>477</v>
      </c>
      <c r="B394" s="145" t="s">
        <v>347</v>
      </c>
      <c r="C394" s="143"/>
      <c r="D394" s="143"/>
      <c r="E394" s="143"/>
      <c r="F394" s="143"/>
      <c r="G394" s="143"/>
      <c r="H394" s="143"/>
      <c r="I394" s="144"/>
      <c r="J394" s="113">
        <f>SUM(J395:J411)</f>
        <v>7098.6499999999987</v>
      </c>
    </row>
    <row r="395" spans="1:12" ht="14.25">
      <c r="A395" s="147" t="s">
        <v>3478</v>
      </c>
      <c r="B395" s="148">
        <v>89443</v>
      </c>
      <c r="C395" s="164" t="s">
        <v>1073</v>
      </c>
      <c r="D395" s="148" t="s">
        <v>119</v>
      </c>
      <c r="E395" s="148" t="s">
        <v>144</v>
      </c>
      <c r="F395" s="149">
        <v>13</v>
      </c>
      <c r="G395" s="149">
        <v>18.36</v>
      </c>
      <c r="H395" s="151">
        <f>'14 -BDI-EDIFICAÇÕES - SEM DESON'!$H$23</f>
        <v>0.2222616419077901</v>
      </c>
      <c r="I395" s="149">
        <f t="shared" ref="I395:I402" si="164">ROUND(G395*(1+H395),2)</f>
        <v>22.44</v>
      </c>
      <c r="J395" s="149">
        <f t="shared" ref="J395:J402" si="165">ROUND(ROUND(F395,2)*ROUND(I395,2),2)</f>
        <v>291.72000000000003</v>
      </c>
      <c r="L395" s="112"/>
    </row>
    <row r="396" spans="1:12" ht="14.25">
      <c r="A396" s="147" t="s">
        <v>3479</v>
      </c>
      <c r="B396" s="148">
        <v>89395</v>
      </c>
      <c r="C396" s="164" t="s">
        <v>481</v>
      </c>
      <c r="D396" s="148" t="s">
        <v>119</v>
      </c>
      <c r="E396" s="148" t="s">
        <v>144</v>
      </c>
      <c r="F396" s="149">
        <v>20</v>
      </c>
      <c r="G396" s="149">
        <v>14.24</v>
      </c>
      <c r="H396" s="151">
        <f>'14 -BDI-EDIFICAÇÕES - SEM DESON'!$H$23</f>
        <v>0.2222616419077901</v>
      </c>
      <c r="I396" s="149">
        <f t="shared" si="164"/>
        <v>17.41</v>
      </c>
      <c r="J396" s="149">
        <f t="shared" si="165"/>
        <v>348.2</v>
      </c>
      <c r="L396" s="112"/>
    </row>
    <row r="397" spans="1:12" ht="14.25">
      <c r="A397" s="147" t="s">
        <v>3480</v>
      </c>
      <c r="B397" s="148">
        <v>104004</v>
      </c>
      <c r="C397" s="164" t="s">
        <v>478</v>
      </c>
      <c r="D397" s="148" t="s">
        <v>119</v>
      </c>
      <c r="E397" s="148" t="s">
        <v>144</v>
      </c>
      <c r="F397" s="149">
        <v>19</v>
      </c>
      <c r="G397" s="149">
        <v>31.76</v>
      </c>
      <c r="H397" s="151">
        <f>'14 -BDI-EDIFICAÇÕES - SEM DESON'!$H$23</f>
        <v>0.2222616419077901</v>
      </c>
      <c r="I397" s="149">
        <f t="shared" si="164"/>
        <v>38.82</v>
      </c>
      <c r="J397" s="149">
        <f t="shared" si="165"/>
        <v>737.58</v>
      </c>
      <c r="L397" s="112"/>
    </row>
    <row r="398" spans="1:12" ht="14.25">
      <c r="A398" s="147" t="s">
        <v>3481</v>
      </c>
      <c r="B398" s="148">
        <v>103984</v>
      </c>
      <c r="C398" s="164" t="s">
        <v>2281</v>
      </c>
      <c r="D398" s="148" t="s">
        <v>119</v>
      </c>
      <c r="E398" s="148" t="s">
        <v>144</v>
      </c>
      <c r="F398" s="149">
        <v>57</v>
      </c>
      <c r="G398" s="149">
        <v>21.03</v>
      </c>
      <c r="H398" s="151">
        <f>'14 -BDI-EDIFICAÇÕES - SEM DESON'!$H$23</f>
        <v>0.2222616419077901</v>
      </c>
      <c r="I398" s="149">
        <f t="shared" si="164"/>
        <v>25.7</v>
      </c>
      <c r="J398" s="149">
        <f t="shared" si="165"/>
        <v>1464.9</v>
      </c>
      <c r="L398" s="112"/>
    </row>
    <row r="399" spans="1:12" ht="14.25">
      <c r="A399" s="147" t="s">
        <v>3482</v>
      </c>
      <c r="B399" s="148">
        <v>89413</v>
      </c>
      <c r="C399" s="164" t="s">
        <v>2201</v>
      </c>
      <c r="D399" s="148" t="s">
        <v>119</v>
      </c>
      <c r="E399" s="148" t="s">
        <v>144</v>
      </c>
      <c r="F399" s="149">
        <v>38</v>
      </c>
      <c r="G399" s="149">
        <v>13.12</v>
      </c>
      <c r="H399" s="151">
        <f>'14 -BDI-EDIFICAÇÕES - SEM DESON'!$H$23</f>
        <v>0.2222616419077901</v>
      </c>
      <c r="I399" s="149">
        <f t="shared" si="164"/>
        <v>16.04</v>
      </c>
      <c r="J399" s="149">
        <f t="shared" si="165"/>
        <v>609.52</v>
      </c>
      <c r="L399" s="112"/>
    </row>
    <row r="400" spans="1:12" ht="14.25">
      <c r="A400" s="147" t="s">
        <v>3483</v>
      </c>
      <c r="B400" s="148">
        <v>89481</v>
      </c>
      <c r="C400" s="164" t="s">
        <v>483</v>
      </c>
      <c r="D400" s="148" t="s">
        <v>119</v>
      </c>
      <c r="E400" s="148" t="s">
        <v>144</v>
      </c>
      <c r="F400" s="149">
        <v>134</v>
      </c>
      <c r="G400" s="149">
        <v>5.82</v>
      </c>
      <c r="H400" s="151">
        <f>'14 -BDI-EDIFICAÇÕES - SEM DESON'!$H$23</f>
        <v>0.2222616419077901</v>
      </c>
      <c r="I400" s="149">
        <f t="shared" si="164"/>
        <v>7.11</v>
      </c>
      <c r="J400" s="149">
        <f t="shared" si="165"/>
        <v>952.74</v>
      </c>
      <c r="L400" s="112"/>
    </row>
    <row r="401" spans="1:12" ht="14.25">
      <c r="A401" s="147" t="s">
        <v>3484</v>
      </c>
      <c r="B401" s="148">
        <v>89414</v>
      </c>
      <c r="C401" s="164" t="s">
        <v>2282</v>
      </c>
      <c r="D401" s="148" t="s">
        <v>119</v>
      </c>
      <c r="E401" s="148" t="s">
        <v>144</v>
      </c>
      <c r="F401" s="149">
        <v>5</v>
      </c>
      <c r="G401" s="149">
        <v>14.97</v>
      </c>
      <c r="H401" s="151">
        <f>'14 -BDI-EDIFICAÇÕES - SEM DESON'!$H$23</f>
        <v>0.2222616419077901</v>
      </c>
      <c r="I401" s="149">
        <f t="shared" si="164"/>
        <v>18.3</v>
      </c>
      <c r="J401" s="149">
        <f t="shared" si="165"/>
        <v>91.5</v>
      </c>
      <c r="L401" s="112"/>
    </row>
    <row r="402" spans="1:12" ht="14.25">
      <c r="A402" s="147" t="s">
        <v>3485</v>
      </c>
      <c r="B402" s="148">
        <v>89485</v>
      </c>
      <c r="C402" s="164" t="s">
        <v>484</v>
      </c>
      <c r="D402" s="148" t="s">
        <v>119</v>
      </c>
      <c r="E402" s="148" t="s">
        <v>144</v>
      </c>
      <c r="F402" s="149">
        <v>1</v>
      </c>
      <c r="G402" s="149">
        <v>6.65</v>
      </c>
      <c r="H402" s="151">
        <f>'14 -BDI-EDIFICAÇÕES - SEM DESON'!$H$23</f>
        <v>0.2222616419077901</v>
      </c>
      <c r="I402" s="149">
        <f t="shared" si="164"/>
        <v>8.1300000000000008</v>
      </c>
      <c r="J402" s="149">
        <f t="shared" si="165"/>
        <v>8.1300000000000008</v>
      </c>
      <c r="L402" s="112"/>
    </row>
    <row r="403" spans="1:12" ht="14.25">
      <c r="A403" s="147" t="s">
        <v>3486</v>
      </c>
      <c r="B403" s="148">
        <v>89445</v>
      </c>
      <c r="C403" s="164" t="s">
        <v>2286</v>
      </c>
      <c r="D403" s="148" t="s">
        <v>119</v>
      </c>
      <c r="E403" s="148" t="s">
        <v>144</v>
      </c>
      <c r="F403" s="149">
        <v>23</v>
      </c>
      <c r="G403" s="149">
        <v>20.239999999999998</v>
      </c>
      <c r="H403" s="151">
        <f>'14 -BDI-EDIFICAÇÕES - SEM DESON'!$H$23</f>
        <v>0.2222616419077901</v>
      </c>
      <c r="I403" s="149">
        <f t="shared" ref="I403:I406" si="166">ROUND(G403*(1+H403),2)</f>
        <v>24.74</v>
      </c>
      <c r="J403" s="149">
        <f t="shared" ref="J403:J406" si="167">ROUND(ROUND(F403,2)*ROUND(I403,2),2)</f>
        <v>569.02</v>
      </c>
      <c r="L403" s="112"/>
    </row>
    <row r="404" spans="1:12" ht="28.5">
      <c r="A404" s="147" t="s">
        <v>3487</v>
      </c>
      <c r="B404" s="148">
        <v>90373</v>
      </c>
      <c r="C404" s="164" t="s">
        <v>2287</v>
      </c>
      <c r="D404" s="148" t="s">
        <v>119</v>
      </c>
      <c r="E404" s="148" t="s">
        <v>144</v>
      </c>
      <c r="F404" s="149">
        <v>49</v>
      </c>
      <c r="G404" s="149">
        <v>13.98</v>
      </c>
      <c r="H404" s="151">
        <f>'14 -BDI-EDIFICAÇÕES - SEM DESON'!$H$23</f>
        <v>0.2222616419077901</v>
      </c>
      <c r="I404" s="149">
        <f t="shared" si="166"/>
        <v>17.09</v>
      </c>
      <c r="J404" s="149">
        <f t="shared" si="167"/>
        <v>837.41</v>
      </c>
      <c r="L404" s="112"/>
    </row>
    <row r="405" spans="1:12" s="112" customFormat="1" ht="28.5">
      <c r="A405" s="147" t="s">
        <v>3488</v>
      </c>
      <c r="B405" s="148">
        <v>105234</v>
      </c>
      <c r="C405" s="164" t="s">
        <v>485</v>
      </c>
      <c r="D405" s="148" t="s">
        <v>119</v>
      </c>
      <c r="E405" s="148" t="s">
        <v>144</v>
      </c>
      <c r="F405" s="149">
        <v>15</v>
      </c>
      <c r="G405" s="149">
        <v>10.24</v>
      </c>
      <c r="H405" s="151">
        <f>'14 -BDI-EDIFICAÇÕES - SEM DESON'!$H$23</f>
        <v>0.2222616419077901</v>
      </c>
      <c r="I405" s="149">
        <f t="shared" si="166"/>
        <v>12.52</v>
      </c>
      <c r="J405" s="149">
        <f t="shared" si="167"/>
        <v>187.8</v>
      </c>
    </row>
    <row r="406" spans="1:12" ht="28.5">
      <c r="A406" s="147" t="s">
        <v>3489</v>
      </c>
      <c r="B406" s="148">
        <v>103953</v>
      </c>
      <c r="C406" s="164" t="s">
        <v>486</v>
      </c>
      <c r="D406" s="148" t="s">
        <v>119</v>
      </c>
      <c r="E406" s="148" t="s">
        <v>144</v>
      </c>
      <c r="F406" s="149">
        <v>7</v>
      </c>
      <c r="G406" s="149">
        <v>7.89</v>
      </c>
      <c r="H406" s="151">
        <f>'14 -BDI-EDIFICAÇÕES - SEM DESON'!$H$23</f>
        <v>0.2222616419077901</v>
      </c>
      <c r="I406" s="149">
        <f t="shared" si="166"/>
        <v>9.64</v>
      </c>
      <c r="J406" s="149">
        <f t="shared" si="167"/>
        <v>67.48</v>
      </c>
      <c r="L406" s="112"/>
    </row>
    <row r="407" spans="1:12" ht="28.5">
      <c r="A407" s="147" t="s">
        <v>3490</v>
      </c>
      <c r="B407" s="148">
        <v>103952</v>
      </c>
      <c r="C407" s="164" t="s">
        <v>3626</v>
      </c>
      <c r="D407" s="148" t="s">
        <v>119</v>
      </c>
      <c r="E407" s="148" t="s">
        <v>144</v>
      </c>
      <c r="F407" s="149">
        <v>2</v>
      </c>
      <c r="G407" s="149">
        <v>6.3</v>
      </c>
      <c r="H407" s="151">
        <f>'14 -BDI-EDIFICAÇÕES - SEM DESON'!$H$23</f>
        <v>0.2222616419077901</v>
      </c>
      <c r="I407" s="149">
        <f t="shared" ref="I407:I411" si="168">ROUND(G407*(1+H407),2)</f>
        <v>7.7</v>
      </c>
      <c r="J407" s="149">
        <f t="shared" ref="J407:J411" si="169">ROUND(ROUND(F407,2)*ROUND(I407,2),2)</f>
        <v>15.4</v>
      </c>
      <c r="L407" s="112"/>
    </row>
    <row r="408" spans="1:12" ht="28.5">
      <c r="A408" s="147" t="s">
        <v>3491</v>
      </c>
      <c r="B408" s="148">
        <v>94706</v>
      </c>
      <c r="C408" s="164" t="s">
        <v>2202</v>
      </c>
      <c r="D408" s="148" t="s">
        <v>119</v>
      </c>
      <c r="E408" s="148" t="s">
        <v>144</v>
      </c>
      <c r="F408" s="149">
        <v>8</v>
      </c>
      <c r="G408" s="149">
        <v>37.700000000000003</v>
      </c>
      <c r="H408" s="151">
        <f>'14 -BDI-EDIFICAÇÕES - SEM DESON'!$H$23</f>
        <v>0.2222616419077901</v>
      </c>
      <c r="I408" s="149">
        <f t="shared" si="168"/>
        <v>46.08</v>
      </c>
      <c r="J408" s="149">
        <f t="shared" si="169"/>
        <v>368.64</v>
      </c>
      <c r="L408" s="112"/>
    </row>
    <row r="409" spans="1:12" ht="28.5">
      <c r="A409" s="147" t="s">
        <v>3624</v>
      </c>
      <c r="B409" s="148">
        <v>94704</v>
      </c>
      <c r="C409" s="164" t="s">
        <v>2203</v>
      </c>
      <c r="D409" s="148" t="s">
        <v>119</v>
      </c>
      <c r="E409" s="148" t="s">
        <v>144</v>
      </c>
      <c r="F409" s="149">
        <v>11</v>
      </c>
      <c r="G409" s="149">
        <v>28.2</v>
      </c>
      <c r="H409" s="151">
        <f>'14 -BDI-EDIFICAÇÕES - SEM DESON'!$H$23</f>
        <v>0.2222616419077901</v>
      </c>
      <c r="I409" s="149">
        <f t="shared" si="168"/>
        <v>34.47</v>
      </c>
      <c r="J409" s="149">
        <f t="shared" si="169"/>
        <v>379.17</v>
      </c>
      <c r="L409" s="112"/>
    </row>
    <row r="410" spans="1:12" ht="28.5">
      <c r="A410" s="147" t="s">
        <v>3625</v>
      </c>
      <c r="B410" s="148">
        <v>94703</v>
      </c>
      <c r="C410" s="164" t="s">
        <v>2204</v>
      </c>
      <c r="D410" s="148" t="s">
        <v>119</v>
      </c>
      <c r="E410" s="148" t="s">
        <v>144</v>
      </c>
      <c r="F410" s="149">
        <v>5</v>
      </c>
      <c r="G410" s="149">
        <v>21.11</v>
      </c>
      <c r="H410" s="151">
        <f>'14 -BDI-EDIFICAÇÕES - SEM DESON'!$H$23</f>
        <v>0.2222616419077901</v>
      </c>
      <c r="I410" s="149">
        <f t="shared" si="168"/>
        <v>25.8</v>
      </c>
      <c r="J410" s="149">
        <f t="shared" si="169"/>
        <v>129</v>
      </c>
      <c r="L410" s="112"/>
    </row>
    <row r="411" spans="1:12" ht="14.25">
      <c r="A411" s="147" t="s">
        <v>3929</v>
      </c>
      <c r="B411" s="148">
        <v>89418</v>
      </c>
      <c r="C411" s="164" t="s">
        <v>3627</v>
      </c>
      <c r="D411" s="148" t="s">
        <v>119</v>
      </c>
      <c r="E411" s="148" t="s">
        <v>144</v>
      </c>
      <c r="F411" s="149">
        <v>2</v>
      </c>
      <c r="G411" s="149">
        <v>16.54</v>
      </c>
      <c r="H411" s="151">
        <f>'14 -BDI-EDIFICAÇÕES - SEM DESON'!$H$23</f>
        <v>0.2222616419077901</v>
      </c>
      <c r="I411" s="149">
        <f t="shared" si="168"/>
        <v>20.22</v>
      </c>
      <c r="J411" s="149">
        <f t="shared" si="169"/>
        <v>40.44</v>
      </c>
      <c r="L411" s="112"/>
    </row>
    <row r="412" spans="1:12" s="112" customFormat="1" ht="29.25" customHeight="1">
      <c r="A412" s="109" t="s">
        <v>479</v>
      </c>
      <c r="B412" s="145" t="s">
        <v>348</v>
      </c>
      <c r="C412" s="143"/>
      <c r="D412" s="143"/>
      <c r="E412" s="143"/>
      <c r="F412" s="143"/>
      <c r="G412" s="143"/>
      <c r="H412" s="143"/>
      <c r="I412" s="144"/>
      <c r="J412" s="113">
        <f>SUM(J413:J415)</f>
        <v>11719.800000000001</v>
      </c>
    </row>
    <row r="413" spans="1:12" ht="14.25">
      <c r="A413" s="147" t="s">
        <v>3493</v>
      </c>
      <c r="B413" s="148">
        <v>89402</v>
      </c>
      <c r="C413" s="164" t="s">
        <v>498</v>
      </c>
      <c r="D413" s="148" t="s">
        <v>119</v>
      </c>
      <c r="E413" s="148" t="s">
        <v>173</v>
      </c>
      <c r="F413" s="149">
        <v>245.33</v>
      </c>
      <c r="G413" s="149">
        <v>13.41</v>
      </c>
      <c r="H413" s="151">
        <f>'14 -BDI-EDIFICAÇÕES - SEM DESON'!$H$23</f>
        <v>0.2222616419077901</v>
      </c>
      <c r="I413" s="149">
        <f t="shared" ref="I413:I415" si="170">ROUND(G413*(1+H413),2)</f>
        <v>16.39</v>
      </c>
      <c r="J413" s="149">
        <f t="shared" ref="J413:J415" si="171">ROUND(ROUND(F413,2)*ROUND(I413,2),2)</f>
        <v>4020.96</v>
      </c>
      <c r="L413" s="112"/>
    </row>
    <row r="414" spans="1:12" ht="14.25">
      <c r="A414" s="147" t="s">
        <v>3494</v>
      </c>
      <c r="B414" s="148">
        <v>89403</v>
      </c>
      <c r="C414" s="164" t="s">
        <v>499</v>
      </c>
      <c r="D414" s="148" t="s">
        <v>119</v>
      </c>
      <c r="E414" s="148" t="s">
        <v>173</v>
      </c>
      <c r="F414" s="149">
        <v>197.38</v>
      </c>
      <c r="G414" s="149">
        <v>20.53</v>
      </c>
      <c r="H414" s="151">
        <f>'14 -BDI-EDIFICAÇÕES - SEM DESON'!$H$23</f>
        <v>0.2222616419077901</v>
      </c>
      <c r="I414" s="149">
        <f t="shared" si="170"/>
        <v>25.09</v>
      </c>
      <c r="J414" s="149">
        <f t="shared" si="171"/>
        <v>4952.26</v>
      </c>
      <c r="L414" s="112"/>
    </row>
    <row r="415" spans="1:12" ht="14.25">
      <c r="A415" s="147" t="s">
        <v>3495</v>
      </c>
      <c r="B415" s="148">
        <v>103979</v>
      </c>
      <c r="C415" s="164" t="s">
        <v>502</v>
      </c>
      <c r="D415" s="148" t="s">
        <v>119</v>
      </c>
      <c r="E415" s="148" t="s">
        <v>173</v>
      </c>
      <c r="F415" s="149">
        <v>70.03</v>
      </c>
      <c r="G415" s="149">
        <v>32.090000000000003</v>
      </c>
      <c r="H415" s="151">
        <f>'14 -BDI-EDIFICAÇÕES - SEM DESON'!$H$23</f>
        <v>0.2222616419077901</v>
      </c>
      <c r="I415" s="149">
        <f t="shared" si="170"/>
        <v>39.22</v>
      </c>
      <c r="J415" s="149">
        <f t="shared" si="171"/>
        <v>2746.58</v>
      </c>
      <c r="L415" s="112"/>
    </row>
    <row r="416" spans="1:12" s="112" customFormat="1" ht="29.25" customHeight="1">
      <c r="A416" s="109" t="s">
        <v>480</v>
      </c>
      <c r="B416" s="145" t="s">
        <v>354</v>
      </c>
      <c r="C416" s="143"/>
      <c r="D416" s="143"/>
      <c r="E416" s="143"/>
      <c r="F416" s="143"/>
      <c r="G416" s="143"/>
      <c r="H416" s="143"/>
      <c r="I416" s="144"/>
      <c r="J416" s="113">
        <f>SUM(J417:J421)</f>
        <v>8803.2899999999991</v>
      </c>
    </row>
    <row r="417" spans="1:12" ht="28.5">
      <c r="A417" s="147" t="s">
        <v>3496</v>
      </c>
      <c r="B417" s="148" t="s">
        <v>2885</v>
      </c>
      <c r="C417" s="164" t="s">
        <v>2886</v>
      </c>
      <c r="D417" s="148" t="s">
        <v>119</v>
      </c>
      <c r="E417" s="148" t="s">
        <v>144</v>
      </c>
      <c r="F417" s="149">
        <v>1</v>
      </c>
      <c r="G417" s="149">
        <f>'5 - R. ANALÍTICO - MODIFICAD'!$H$913</f>
        <v>192.65</v>
      </c>
      <c r="H417" s="151">
        <f>'14 -BDI-EDIFICAÇÕES - SEM DESON'!$H$23</f>
        <v>0.2222616419077901</v>
      </c>
      <c r="I417" s="149">
        <f t="shared" ref="I417" si="172">ROUND(G417*(1+H417),2)</f>
        <v>235.47</v>
      </c>
      <c r="J417" s="149">
        <f t="shared" ref="J417" si="173">ROUND(ROUND(F417,2)*ROUND(I417,2),2)</f>
        <v>235.47</v>
      </c>
      <c r="L417" s="112"/>
    </row>
    <row r="418" spans="1:12" ht="14.25">
      <c r="A418" s="147" t="s">
        <v>3497</v>
      </c>
      <c r="B418" s="148">
        <v>102608</v>
      </c>
      <c r="C418" s="164" t="s">
        <v>3250</v>
      </c>
      <c r="D418" s="148" t="s">
        <v>119</v>
      </c>
      <c r="E418" s="148" t="s">
        <v>144</v>
      </c>
      <c r="F418" s="149">
        <v>2</v>
      </c>
      <c r="G418" s="149">
        <v>1162.74</v>
      </c>
      <c r="H418" s="151">
        <f>'14 -BDI-EDIFICAÇÕES - SEM DESON'!$H$23</f>
        <v>0.2222616419077901</v>
      </c>
      <c r="I418" s="149">
        <f t="shared" ref="I418:I421" si="174">ROUND(G418*(1+H418),2)</f>
        <v>1421.17</v>
      </c>
      <c r="J418" s="149">
        <f t="shared" ref="J418:J421" si="175">ROUND(ROUND(F418,2)*ROUND(I418,2),2)</f>
        <v>2842.34</v>
      </c>
      <c r="L418" s="112"/>
    </row>
    <row r="419" spans="1:12" ht="14.25">
      <c r="A419" s="147" t="s">
        <v>3498</v>
      </c>
      <c r="B419" s="148">
        <v>102609</v>
      </c>
      <c r="C419" s="164" t="s">
        <v>3492</v>
      </c>
      <c r="D419" s="148" t="s">
        <v>119</v>
      </c>
      <c r="E419" s="148" t="s">
        <v>144</v>
      </c>
      <c r="F419" s="149">
        <v>2</v>
      </c>
      <c r="G419" s="149">
        <v>1321.18</v>
      </c>
      <c r="H419" s="151">
        <f>'14 -BDI-EDIFICAÇÕES - SEM DESON'!$H$23</f>
        <v>0.2222616419077901</v>
      </c>
      <c r="I419" s="149">
        <f t="shared" si="174"/>
        <v>1614.83</v>
      </c>
      <c r="J419" s="149">
        <f t="shared" si="175"/>
        <v>3229.66</v>
      </c>
      <c r="L419" s="112"/>
    </row>
    <row r="420" spans="1:12" ht="14.25">
      <c r="A420" s="147" t="s">
        <v>3499</v>
      </c>
      <c r="B420" s="148">
        <v>94795</v>
      </c>
      <c r="C420" s="164" t="s">
        <v>2290</v>
      </c>
      <c r="D420" s="148" t="s">
        <v>119</v>
      </c>
      <c r="E420" s="148" t="s">
        <v>144</v>
      </c>
      <c r="F420" s="149">
        <v>5</v>
      </c>
      <c r="G420" s="149">
        <v>62.69</v>
      </c>
      <c r="H420" s="151">
        <f>'14 -BDI-EDIFICAÇÕES - SEM DESON'!$H$23</f>
        <v>0.2222616419077901</v>
      </c>
      <c r="I420" s="149">
        <f t="shared" si="174"/>
        <v>76.62</v>
      </c>
      <c r="J420" s="149">
        <f t="shared" si="175"/>
        <v>383.1</v>
      </c>
      <c r="L420" s="112"/>
    </row>
    <row r="421" spans="1:12" ht="14.25">
      <c r="A421" s="147" t="s">
        <v>3500</v>
      </c>
      <c r="B421" s="148" t="s">
        <v>1919</v>
      </c>
      <c r="C421" s="164" t="s">
        <v>2171</v>
      </c>
      <c r="D421" s="148" t="s">
        <v>1881</v>
      </c>
      <c r="E421" s="148" t="s">
        <v>144</v>
      </c>
      <c r="F421" s="149">
        <v>24</v>
      </c>
      <c r="G421" s="149">
        <f>'5 - R. ANALÍTICO - MODIFICAD'!$H$875</f>
        <v>72.02</v>
      </c>
      <c r="H421" s="151">
        <f>'14 -BDI-EDIFICAÇÕES - SEM DESON'!$H$23</f>
        <v>0.2222616419077901</v>
      </c>
      <c r="I421" s="149">
        <f t="shared" si="174"/>
        <v>88.03</v>
      </c>
      <c r="J421" s="149">
        <f t="shared" si="175"/>
        <v>2112.7199999999998</v>
      </c>
      <c r="L421" s="112"/>
    </row>
    <row r="422" spans="1:12" s="112" customFormat="1" ht="29.25" customHeight="1">
      <c r="A422" s="109" t="s">
        <v>482</v>
      </c>
      <c r="B422" s="145" t="s">
        <v>327</v>
      </c>
      <c r="C422" s="143"/>
      <c r="D422" s="143"/>
      <c r="E422" s="143"/>
      <c r="F422" s="143"/>
      <c r="G422" s="143"/>
      <c r="H422" s="143"/>
      <c r="I422" s="144"/>
      <c r="J422" s="113">
        <f>SUM(J423:J429)</f>
        <v>7357.7000000000007</v>
      </c>
    </row>
    <row r="423" spans="1:12" ht="28.5">
      <c r="A423" s="147" t="s">
        <v>3501</v>
      </c>
      <c r="B423" s="148">
        <v>89987</v>
      </c>
      <c r="C423" s="164" t="s">
        <v>2291</v>
      </c>
      <c r="D423" s="148" t="s">
        <v>119</v>
      </c>
      <c r="E423" s="148" t="s">
        <v>144</v>
      </c>
      <c r="F423" s="149">
        <v>38</v>
      </c>
      <c r="G423" s="149">
        <v>106.03</v>
      </c>
      <c r="H423" s="151">
        <f>'14 -BDI-EDIFICAÇÕES - SEM DESON'!$H$23</f>
        <v>0.2222616419077901</v>
      </c>
      <c r="I423" s="149">
        <f t="shared" ref="I423:I427" si="176">ROUND(G423*(1+H423),2)</f>
        <v>129.6</v>
      </c>
      <c r="J423" s="149">
        <f t="shared" ref="J423:J427" si="177">ROUND(ROUND(F423,2)*ROUND(I423,2),2)</f>
        <v>4924.8</v>
      </c>
      <c r="L423" s="112"/>
    </row>
    <row r="424" spans="1:12" ht="28.5">
      <c r="A424" s="147" t="s">
        <v>3502</v>
      </c>
      <c r="B424" s="148">
        <v>94489</v>
      </c>
      <c r="C424" s="164" t="s">
        <v>2213</v>
      </c>
      <c r="D424" s="148" t="s">
        <v>119</v>
      </c>
      <c r="E424" s="148" t="s">
        <v>144</v>
      </c>
      <c r="F424" s="149">
        <v>5</v>
      </c>
      <c r="G424" s="149">
        <v>31.78</v>
      </c>
      <c r="H424" s="151">
        <f>'14 -BDI-EDIFICAÇÕES - SEM DESON'!$H$23</f>
        <v>0.2222616419077901</v>
      </c>
      <c r="I424" s="149">
        <f t="shared" si="176"/>
        <v>38.840000000000003</v>
      </c>
      <c r="J424" s="149">
        <f t="shared" si="177"/>
        <v>194.2</v>
      </c>
      <c r="L424" s="112"/>
    </row>
    <row r="425" spans="1:12" ht="28.5">
      <c r="A425" s="147" t="s">
        <v>3503</v>
      </c>
      <c r="B425" s="148">
        <v>94490</v>
      </c>
      <c r="C425" s="164" t="s">
        <v>358</v>
      </c>
      <c r="D425" s="148" t="s">
        <v>119</v>
      </c>
      <c r="E425" s="148" t="s">
        <v>144</v>
      </c>
      <c r="F425" s="149">
        <v>6</v>
      </c>
      <c r="G425" s="149">
        <v>46.88</v>
      </c>
      <c r="H425" s="151">
        <f>'14 -BDI-EDIFICAÇÕES - SEM DESON'!$H$23</f>
        <v>0.2222616419077901</v>
      </c>
      <c r="I425" s="149">
        <f t="shared" si="176"/>
        <v>57.3</v>
      </c>
      <c r="J425" s="149">
        <f t="shared" si="177"/>
        <v>343.8</v>
      </c>
      <c r="L425" s="112"/>
    </row>
    <row r="426" spans="1:12" ht="28.5">
      <c r="A426" s="147" t="s">
        <v>3504</v>
      </c>
      <c r="B426" s="148">
        <v>94492</v>
      </c>
      <c r="C426" s="164" t="s">
        <v>359</v>
      </c>
      <c r="D426" s="148" t="s">
        <v>119</v>
      </c>
      <c r="E426" s="148" t="s">
        <v>144</v>
      </c>
      <c r="F426" s="149">
        <v>6</v>
      </c>
      <c r="G426" s="149">
        <v>65.73</v>
      </c>
      <c r="H426" s="151">
        <f>'14 -BDI-EDIFICAÇÕES - SEM DESON'!$H$23</f>
        <v>0.2222616419077901</v>
      </c>
      <c r="I426" s="149">
        <f t="shared" si="176"/>
        <v>80.34</v>
      </c>
      <c r="J426" s="149">
        <f t="shared" si="177"/>
        <v>482.04</v>
      </c>
      <c r="L426" s="112"/>
    </row>
    <row r="427" spans="1:12" ht="28.5">
      <c r="A427" s="147" t="s">
        <v>3505</v>
      </c>
      <c r="B427" s="148">
        <v>94792</v>
      </c>
      <c r="C427" s="164" t="s">
        <v>2853</v>
      </c>
      <c r="D427" s="148" t="s">
        <v>119</v>
      </c>
      <c r="E427" s="148" t="s">
        <v>144</v>
      </c>
      <c r="F427" s="149">
        <v>1</v>
      </c>
      <c r="G427" s="149">
        <v>129.16999999999999</v>
      </c>
      <c r="H427" s="151">
        <f>'14 -BDI-EDIFICAÇÕES - SEM DESON'!$H$23</f>
        <v>0.2222616419077901</v>
      </c>
      <c r="I427" s="149">
        <f t="shared" si="176"/>
        <v>157.88</v>
      </c>
      <c r="J427" s="149">
        <f t="shared" si="177"/>
        <v>157.88</v>
      </c>
      <c r="L427" s="112"/>
    </row>
    <row r="428" spans="1:12" ht="28.5">
      <c r="A428" s="147" t="s">
        <v>3506</v>
      </c>
      <c r="B428" s="148">
        <v>94794</v>
      </c>
      <c r="C428" s="164" t="s">
        <v>3930</v>
      </c>
      <c r="D428" s="148" t="s">
        <v>119</v>
      </c>
      <c r="E428" s="148" t="s">
        <v>144</v>
      </c>
      <c r="F428" s="149">
        <v>2</v>
      </c>
      <c r="G428" s="149">
        <v>187.7</v>
      </c>
      <c r="H428" s="151">
        <f>'14 -BDI-EDIFICAÇÕES - SEM DESON'!$H$23</f>
        <v>0.2222616419077901</v>
      </c>
      <c r="I428" s="149">
        <f t="shared" ref="I428" si="178">ROUND(G428*(1+H428),2)</f>
        <v>229.42</v>
      </c>
      <c r="J428" s="149">
        <f t="shared" ref="J428" si="179">ROUND(ROUND(F428,2)*ROUND(I428,2),2)</f>
        <v>458.84</v>
      </c>
      <c r="L428" s="112"/>
    </row>
    <row r="429" spans="1:12" ht="28.5">
      <c r="A429" s="147" t="s">
        <v>4109</v>
      </c>
      <c r="B429" s="148">
        <v>103014</v>
      </c>
      <c r="C429" s="164" t="s">
        <v>4111</v>
      </c>
      <c r="D429" s="148" t="s">
        <v>119</v>
      </c>
      <c r="E429" s="148" t="s">
        <v>144</v>
      </c>
      <c r="F429" s="149">
        <v>3</v>
      </c>
      <c r="G429" s="149">
        <v>217.12</v>
      </c>
      <c r="H429" s="151">
        <f>'14 -BDI-EDIFICAÇÕES - SEM DESON'!$H$23</f>
        <v>0.2222616419077901</v>
      </c>
      <c r="I429" s="149">
        <f t="shared" ref="I429" si="180">ROUND(G429*(1+H429),2)</f>
        <v>265.38</v>
      </c>
      <c r="J429" s="149">
        <f t="shared" ref="J429" si="181">ROUND(ROUND(F429,2)*ROUND(I429,2),2)</f>
        <v>796.14</v>
      </c>
      <c r="L429" s="112"/>
    </row>
    <row r="430" spans="1:12" s="112" customFormat="1" ht="29.25" customHeight="1">
      <c r="A430" s="109" t="s">
        <v>47</v>
      </c>
      <c r="B430" s="145" t="s">
        <v>3403</v>
      </c>
      <c r="C430" s="143"/>
      <c r="D430" s="143"/>
      <c r="E430" s="143"/>
      <c r="F430" s="143"/>
      <c r="G430" s="143"/>
      <c r="H430" s="143"/>
      <c r="I430" s="144"/>
      <c r="J430" s="113">
        <f>J431+J434</f>
        <v>618.3599999999999</v>
      </c>
    </row>
    <row r="431" spans="1:12" s="112" customFormat="1" ht="29.25" customHeight="1">
      <c r="A431" s="109" t="s">
        <v>349</v>
      </c>
      <c r="B431" s="145" t="s">
        <v>347</v>
      </c>
      <c r="C431" s="143"/>
      <c r="D431" s="143"/>
      <c r="E431" s="143"/>
      <c r="F431" s="143"/>
      <c r="G431" s="143"/>
      <c r="H431" s="143"/>
      <c r="I431" s="144"/>
      <c r="J431" s="113">
        <f>SUM(J432:J433)</f>
        <v>165.06</v>
      </c>
    </row>
    <row r="432" spans="1:12" ht="28.5">
      <c r="A432" s="147" t="s">
        <v>3404</v>
      </c>
      <c r="B432" s="148">
        <v>89644</v>
      </c>
      <c r="C432" s="164" t="s">
        <v>2284</v>
      </c>
      <c r="D432" s="148" t="s">
        <v>119</v>
      </c>
      <c r="E432" s="148" t="s">
        <v>144</v>
      </c>
      <c r="F432" s="149">
        <v>2</v>
      </c>
      <c r="G432" s="149">
        <v>24.79</v>
      </c>
      <c r="H432" s="151">
        <f>'14 -BDI-EDIFICAÇÕES - SEM DESON'!$H$23</f>
        <v>0.2222616419077901</v>
      </c>
      <c r="I432" s="149">
        <f t="shared" ref="I432:I433" si="182">ROUND(G432*(1+H432),2)</f>
        <v>30.3</v>
      </c>
      <c r="J432" s="149">
        <f t="shared" ref="J432:J433" si="183">ROUND(ROUND(F432,2)*ROUND(I432,2),2)</f>
        <v>60.6</v>
      </c>
      <c r="L432" s="112"/>
    </row>
    <row r="433" spans="1:12" ht="14.25">
      <c r="A433" s="147" t="s">
        <v>3405</v>
      </c>
      <c r="B433" s="148">
        <v>89719</v>
      </c>
      <c r="C433" s="164" t="s">
        <v>2285</v>
      </c>
      <c r="D433" s="148" t="s">
        <v>119</v>
      </c>
      <c r="E433" s="148" t="s">
        <v>144</v>
      </c>
      <c r="F433" s="149">
        <v>6</v>
      </c>
      <c r="G433" s="149">
        <v>14.24</v>
      </c>
      <c r="H433" s="151">
        <f>'14 -BDI-EDIFICAÇÕES - SEM DESON'!$H$23</f>
        <v>0.2222616419077901</v>
      </c>
      <c r="I433" s="149">
        <f t="shared" si="182"/>
        <v>17.41</v>
      </c>
      <c r="J433" s="149">
        <f t="shared" si="183"/>
        <v>104.46</v>
      </c>
      <c r="L433" s="112"/>
    </row>
    <row r="434" spans="1:12" s="112" customFormat="1" ht="29.25" customHeight="1">
      <c r="A434" s="109" t="s">
        <v>350</v>
      </c>
      <c r="B434" s="145" t="s">
        <v>348</v>
      </c>
      <c r="C434" s="143"/>
      <c r="D434" s="143"/>
      <c r="E434" s="143"/>
      <c r="F434" s="143"/>
      <c r="G434" s="143"/>
      <c r="H434" s="143"/>
      <c r="I434" s="144"/>
      <c r="J434" s="113">
        <f>SUM(J435:J436)</f>
        <v>453.29999999999995</v>
      </c>
    </row>
    <row r="435" spans="1:12" ht="14.25">
      <c r="A435" s="147" t="s">
        <v>3406</v>
      </c>
      <c r="B435" s="148">
        <v>89716</v>
      </c>
      <c r="C435" s="164" t="s">
        <v>2289</v>
      </c>
      <c r="D435" s="148" t="s">
        <v>119</v>
      </c>
      <c r="E435" s="148" t="s">
        <v>173</v>
      </c>
      <c r="F435" s="149">
        <v>4.6100000000000003</v>
      </c>
      <c r="G435" s="149">
        <v>28.36</v>
      </c>
      <c r="H435" s="151">
        <f>'14 -BDI-EDIFICAÇÕES - SEM DESON'!$H$23</f>
        <v>0.2222616419077901</v>
      </c>
      <c r="I435" s="149">
        <f t="shared" ref="I435" si="184">ROUND(G435*(1+H435),2)</f>
        <v>34.659999999999997</v>
      </c>
      <c r="J435" s="149">
        <f t="shared" ref="J435" si="185">ROUND(ROUND(F435,2)*ROUND(I435,2),2)</f>
        <v>159.78</v>
      </c>
      <c r="L435" s="112"/>
    </row>
    <row r="436" spans="1:12" ht="28.5">
      <c r="A436" s="147" t="s">
        <v>3632</v>
      </c>
      <c r="B436" s="148">
        <v>92306</v>
      </c>
      <c r="C436" s="164" t="s">
        <v>3633</v>
      </c>
      <c r="D436" s="148" t="s">
        <v>119</v>
      </c>
      <c r="E436" s="148" t="s">
        <v>173</v>
      </c>
      <c r="F436" s="149">
        <v>2.4</v>
      </c>
      <c r="G436" s="149">
        <v>100.06</v>
      </c>
      <c r="H436" s="151">
        <f>'14 -BDI-EDIFICAÇÕES - SEM DESON'!$H$23</f>
        <v>0.2222616419077901</v>
      </c>
      <c r="I436" s="149">
        <f t="shared" ref="I436" si="186">ROUND(G436*(1+H436),2)</f>
        <v>122.3</v>
      </c>
      <c r="J436" s="149">
        <f t="shared" ref="J436" si="187">ROUND(ROUND(F436,2)*ROUND(I436,2),2)</f>
        <v>293.52</v>
      </c>
      <c r="L436" s="112"/>
    </row>
    <row r="437" spans="1:12" s="112" customFormat="1" ht="29.25" customHeight="1">
      <c r="A437" s="109" t="s">
        <v>48</v>
      </c>
      <c r="B437" s="145" t="s">
        <v>3407</v>
      </c>
      <c r="C437" s="143"/>
      <c r="D437" s="143"/>
      <c r="E437" s="143"/>
      <c r="F437" s="143"/>
      <c r="G437" s="143"/>
      <c r="H437" s="143"/>
      <c r="I437" s="144"/>
      <c r="J437" s="113">
        <f>J438+J461+J475</f>
        <v>158227.84</v>
      </c>
    </row>
    <row r="438" spans="1:12" s="112" customFormat="1" ht="29.25" customHeight="1">
      <c r="A438" s="109" t="s">
        <v>351</v>
      </c>
      <c r="B438" s="145" t="s">
        <v>347</v>
      </c>
      <c r="C438" s="143"/>
      <c r="D438" s="143"/>
      <c r="E438" s="143"/>
      <c r="F438" s="143"/>
      <c r="G438" s="143"/>
      <c r="H438" s="143"/>
      <c r="I438" s="144"/>
      <c r="J438" s="113">
        <f>SUM(J439:J460)</f>
        <v>8458.4600000000009</v>
      </c>
    </row>
    <row r="439" spans="1:12" ht="14.25">
      <c r="A439" s="147" t="s">
        <v>3408</v>
      </c>
      <c r="B439" s="148">
        <v>89443</v>
      </c>
      <c r="C439" s="164" t="s">
        <v>1073</v>
      </c>
      <c r="D439" s="148" t="s">
        <v>119</v>
      </c>
      <c r="E439" s="148" t="s">
        <v>144</v>
      </c>
      <c r="F439" s="149">
        <v>3</v>
      </c>
      <c r="G439" s="149">
        <v>18.36</v>
      </c>
      <c r="H439" s="151">
        <f>'14 -BDI-EDIFICAÇÕES - SEM DESON'!$H$23</f>
        <v>0.2222616419077901</v>
      </c>
      <c r="I439" s="149">
        <f t="shared" ref="I439:I459" si="188">ROUND(G439*(1+H439),2)</f>
        <v>22.44</v>
      </c>
      <c r="J439" s="149">
        <f t="shared" ref="J439:J459" si="189">ROUND(ROUND(F439,2)*ROUND(I439,2),2)</f>
        <v>67.319999999999993</v>
      </c>
      <c r="L439" s="112"/>
    </row>
    <row r="440" spans="1:12" ht="14.25">
      <c r="A440" s="147" t="s">
        <v>3409</v>
      </c>
      <c r="B440" s="148">
        <v>89395</v>
      </c>
      <c r="C440" s="164" t="s">
        <v>481</v>
      </c>
      <c r="D440" s="148" t="s">
        <v>119</v>
      </c>
      <c r="E440" s="148" t="s">
        <v>144</v>
      </c>
      <c r="F440" s="149">
        <v>5</v>
      </c>
      <c r="G440" s="149">
        <v>14.24</v>
      </c>
      <c r="H440" s="151">
        <f>'14 -BDI-EDIFICAÇÕES - SEM DESON'!$H$23</f>
        <v>0.2222616419077901</v>
      </c>
      <c r="I440" s="149">
        <f t="shared" si="188"/>
        <v>17.41</v>
      </c>
      <c r="J440" s="149">
        <f t="shared" si="189"/>
        <v>87.05</v>
      </c>
      <c r="L440" s="112"/>
    </row>
    <row r="441" spans="1:12" ht="28.5">
      <c r="A441" s="147" t="s">
        <v>3410</v>
      </c>
      <c r="B441" s="148">
        <v>95237</v>
      </c>
      <c r="C441" s="164" t="s">
        <v>1074</v>
      </c>
      <c r="D441" s="148" t="s">
        <v>119</v>
      </c>
      <c r="E441" s="148" t="s">
        <v>144</v>
      </c>
      <c r="F441" s="149">
        <v>5</v>
      </c>
      <c r="G441" s="149">
        <v>25.53</v>
      </c>
      <c r="H441" s="151">
        <f>'14 -BDI-EDIFICAÇÕES - SEM DESON'!$H$23</f>
        <v>0.2222616419077901</v>
      </c>
      <c r="I441" s="149">
        <f t="shared" si="188"/>
        <v>31.2</v>
      </c>
      <c r="J441" s="149">
        <f t="shared" si="189"/>
        <v>156</v>
      </c>
      <c r="L441" s="112"/>
    </row>
    <row r="442" spans="1:12" ht="14.25">
      <c r="A442" s="147" t="s">
        <v>3411</v>
      </c>
      <c r="B442" s="148">
        <v>89425</v>
      </c>
      <c r="C442" s="164" t="s">
        <v>3636</v>
      </c>
      <c r="D442" s="148" t="s">
        <v>119</v>
      </c>
      <c r="E442" s="148" t="s">
        <v>144</v>
      </c>
      <c r="F442" s="149">
        <v>4</v>
      </c>
      <c r="G442" s="149">
        <v>19.43</v>
      </c>
      <c r="H442" s="151">
        <f>'14 -BDI-EDIFICAÇÕES - SEM DESON'!$H$23</f>
        <v>0.2222616419077901</v>
      </c>
      <c r="I442" s="149">
        <f t="shared" ref="I442" si="190">ROUND(G442*(1+H442),2)</f>
        <v>23.75</v>
      </c>
      <c r="J442" s="149">
        <f t="shared" ref="J442" si="191">ROUND(ROUND(F442,2)*ROUND(I442,2),2)</f>
        <v>95</v>
      </c>
      <c r="L442" s="112"/>
    </row>
    <row r="443" spans="1:12" ht="14.25">
      <c r="A443" s="147" t="s">
        <v>3412</v>
      </c>
      <c r="B443" s="148">
        <v>89413</v>
      </c>
      <c r="C443" s="164" t="s">
        <v>2201</v>
      </c>
      <c r="D443" s="148" t="s">
        <v>119</v>
      </c>
      <c r="E443" s="148" t="s">
        <v>144</v>
      </c>
      <c r="F443" s="149">
        <v>29</v>
      </c>
      <c r="G443" s="149">
        <v>13.12</v>
      </c>
      <c r="H443" s="151">
        <f>'14 -BDI-EDIFICAÇÕES - SEM DESON'!$H$23</f>
        <v>0.2222616419077901</v>
      </c>
      <c r="I443" s="149">
        <f t="shared" si="188"/>
        <v>16.04</v>
      </c>
      <c r="J443" s="149">
        <f t="shared" si="189"/>
        <v>465.16</v>
      </c>
      <c r="L443" s="112"/>
    </row>
    <row r="444" spans="1:12" ht="14.25">
      <c r="A444" s="147" t="s">
        <v>3413</v>
      </c>
      <c r="B444" s="148">
        <v>89481</v>
      </c>
      <c r="C444" s="164" t="s">
        <v>483</v>
      </c>
      <c r="D444" s="148" t="s">
        <v>119</v>
      </c>
      <c r="E444" s="148" t="s">
        <v>144</v>
      </c>
      <c r="F444" s="149">
        <v>19</v>
      </c>
      <c r="G444" s="149">
        <v>5.82</v>
      </c>
      <c r="H444" s="151">
        <f>'14 -BDI-EDIFICAÇÕES - SEM DESON'!$H$23</f>
        <v>0.2222616419077901</v>
      </c>
      <c r="I444" s="149">
        <f t="shared" si="188"/>
        <v>7.11</v>
      </c>
      <c r="J444" s="149">
        <f t="shared" si="189"/>
        <v>135.09</v>
      </c>
      <c r="L444" s="112"/>
    </row>
    <row r="445" spans="1:12" ht="14.25">
      <c r="A445" s="147" t="s">
        <v>3414</v>
      </c>
      <c r="B445" s="148">
        <v>89485</v>
      </c>
      <c r="C445" s="164" t="s">
        <v>484</v>
      </c>
      <c r="D445" s="148" t="s">
        <v>119</v>
      </c>
      <c r="E445" s="148" t="s">
        <v>144</v>
      </c>
      <c r="F445" s="149">
        <v>2</v>
      </c>
      <c r="G445" s="149">
        <v>6.65</v>
      </c>
      <c r="H445" s="151">
        <f>'14 -BDI-EDIFICAÇÕES - SEM DESON'!$H$23</f>
        <v>0.2222616419077901</v>
      </c>
      <c r="I445" s="149">
        <f t="shared" si="188"/>
        <v>8.1300000000000008</v>
      </c>
      <c r="J445" s="149">
        <f t="shared" si="189"/>
        <v>16.260000000000002</v>
      </c>
      <c r="L445" s="112"/>
    </row>
    <row r="446" spans="1:12" ht="28.5">
      <c r="A446" s="147" t="s">
        <v>3415</v>
      </c>
      <c r="B446" s="148">
        <v>89821</v>
      </c>
      <c r="C446" s="164" t="s">
        <v>489</v>
      </c>
      <c r="D446" s="148" t="s">
        <v>119</v>
      </c>
      <c r="E446" s="148" t="s">
        <v>144</v>
      </c>
      <c r="F446" s="149">
        <v>16</v>
      </c>
      <c r="G446" s="149">
        <v>19.96</v>
      </c>
      <c r="H446" s="151">
        <f>'14 -BDI-EDIFICAÇÕES - SEM DESON'!$H$23</f>
        <v>0.2222616419077901</v>
      </c>
      <c r="I446" s="149">
        <f t="shared" si="188"/>
        <v>24.4</v>
      </c>
      <c r="J446" s="149">
        <f t="shared" si="189"/>
        <v>390.4</v>
      </c>
      <c r="L446" s="112"/>
    </row>
    <row r="447" spans="1:12" ht="14.25">
      <c r="A447" s="147" t="s">
        <v>3548</v>
      </c>
      <c r="B447" s="148">
        <v>89554</v>
      </c>
      <c r="C447" s="164" t="s">
        <v>3304</v>
      </c>
      <c r="D447" s="148" t="s">
        <v>119</v>
      </c>
      <c r="E447" s="148" t="s">
        <v>144</v>
      </c>
      <c r="F447" s="149">
        <v>29</v>
      </c>
      <c r="G447" s="149">
        <v>29.48</v>
      </c>
      <c r="H447" s="151">
        <f>'14 -BDI-EDIFICAÇÕES - SEM DESON'!$H$23</f>
        <v>0.2222616419077901</v>
      </c>
      <c r="I447" s="149">
        <f t="shared" si="188"/>
        <v>36.03</v>
      </c>
      <c r="J447" s="149">
        <f t="shared" si="189"/>
        <v>1044.8699999999999</v>
      </c>
      <c r="L447" s="112"/>
    </row>
    <row r="448" spans="1:12" ht="14.25">
      <c r="A448" s="147" t="s">
        <v>3416</v>
      </c>
      <c r="B448" s="148">
        <v>89547</v>
      </c>
      <c r="C448" s="164" t="s">
        <v>3305</v>
      </c>
      <c r="D448" s="148" t="s">
        <v>119</v>
      </c>
      <c r="E448" s="148" t="s">
        <v>144</v>
      </c>
      <c r="F448" s="149">
        <v>10</v>
      </c>
      <c r="G448" s="149">
        <v>23.18</v>
      </c>
      <c r="H448" s="151">
        <f>'14 -BDI-EDIFICAÇÕES - SEM DESON'!$H$23</f>
        <v>0.2222616419077901</v>
      </c>
      <c r="I448" s="149">
        <f t="shared" si="188"/>
        <v>28.33</v>
      </c>
      <c r="J448" s="149">
        <f t="shared" si="189"/>
        <v>283.3</v>
      </c>
      <c r="L448" s="112"/>
    </row>
    <row r="449" spans="1:12" ht="28.5">
      <c r="A449" s="147" t="s">
        <v>3417</v>
      </c>
      <c r="B449" s="148">
        <v>89813</v>
      </c>
      <c r="C449" s="164" t="s">
        <v>490</v>
      </c>
      <c r="D449" s="148" t="s">
        <v>119</v>
      </c>
      <c r="E449" s="148" t="s">
        <v>144</v>
      </c>
      <c r="F449" s="149">
        <v>8</v>
      </c>
      <c r="G449" s="149">
        <v>6.19</v>
      </c>
      <c r="H449" s="151">
        <f>'14 -BDI-EDIFICAÇÕES - SEM DESON'!$H$23</f>
        <v>0.2222616419077901</v>
      </c>
      <c r="I449" s="149">
        <f t="shared" si="188"/>
        <v>7.57</v>
      </c>
      <c r="J449" s="149">
        <f t="shared" si="189"/>
        <v>60.56</v>
      </c>
      <c r="L449" s="112"/>
    </row>
    <row r="450" spans="1:12" ht="28.5">
      <c r="A450" s="147" t="s">
        <v>3418</v>
      </c>
      <c r="B450" s="148">
        <v>89565</v>
      </c>
      <c r="C450" s="164" t="s">
        <v>3306</v>
      </c>
      <c r="D450" s="148" t="s">
        <v>119</v>
      </c>
      <c r="E450" s="148" t="s">
        <v>144</v>
      </c>
      <c r="F450" s="149">
        <v>1</v>
      </c>
      <c r="G450" s="149">
        <v>57.52</v>
      </c>
      <c r="H450" s="151">
        <f>'14 -BDI-EDIFICAÇÕES - SEM DESON'!$H$23</f>
        <v>0.2222616419077901</v>
      </c>
      <c r="I450" s="149">
        <f t="shared" si="188"/>
        <v>70.3</v>
      </c>
      <c r="J450" s="149">
        <f t="shared" si="189"/>
        <v>70.3</v>
      </c>
      <c r="L450" s="112"/>
    </row>
    <row r="451" spans="1:12" ht="28.5">
      <c r="A451" s="147" t="s">
        <v>3419</v>
      </c>
      <c r="B451" s="148">
        <v>89850</v>
      </c>
      <c r="C451" s="164" t="s">
        <v>492</v>
      </c>
      <c r="D451" s="148" t="s">
        <v>119</v>
      </c>
      <c r="E451" s="148" t="s">
        <v>144</v>
      </c>
      <c r="F451" s="149">
        <v>1</v>
      </c>
      <c r="G451" s="149">
        <v>33.369999999999997</v>
      </c>
      <c r="H451" s="151">
        <f>'14 -BDI-EDIFICAÇÕES - SEM DESON'!$H$23</f>
        <v>0.2222616419077901</v>
      </c>
      <c r="I451" s="149">
        <f t="shared" si="188"/>
        <v>40.79</v>
      </c>
      <c r="J451" s="149">
        <f t="shared" si="189"/>
        <v>40.79</v>
      </c>
      <c r="L451" s="112"/>
    </row>
    <row r="452" spans="1:12" ht="28.5">
      <c r="A452" s="147" t="s">
        <v>3420</v>
      </c>
      <c r="B452" s="148">
        <v>89529</v>
      </c>
      <c r="C452" s="164" t="s">
        <v>3307</v>
      </c>
      <c r="D452" s="148" t="s">
        <v>119</v>
      </c>
      <c r="E452" s="148" t="s">
        <v>144</v>
      </c>
      <c r="F452" s="149">
        <v>5</v>
      </c>
      <c r="G452" s="149">
        <v>38.07</v>
      </c>
      <c r="H452" s="151">
        <f>'14 -BDI-EDIFICAÇÕES - SEM DESON'!$H$23</f>
        <v>0.2222616419077901</v>
      </c>
      <c r="I452" s="149">
        <f t="shared" si="188"/>
        <v>46.53</v>
      </c>
      <c r="J452" s="149">
        <f t="shared" si="189"/>
        <v>232.65</v>
      </c>
      <c r="L452" s="112"/>
    </row>
    <row r="453" spans="1:12" ht="14.25">
      <c r="A453" s="147" t="s">
        <v>3421</v>
      </c>
      <c r="B453" s="148">
        <v>89522</v>
      </c>
      <c r="C453" s="164" t="s">
        <v>3308</v>
      </c>
      <c r="D453" s="148" t="s">
        <v>119</v>
      </c>
      <c r="E453" s="148" t="s">
        <v>144</v>
      </c>
      <c r="F453" s="149">
        <v>3</v>
      </c>
      <c r="G453" s="149">
        <v>30.64</v>
      </c>
      <c r="H453" s="151">
        <f>'14 -BDI-EDIFICAÇÕES - SEM DESON'!$H$23</f>
        <v>0.2222616419077901</v>
      </c>
      <c r="I453" s="149">
        <f t="shared" si="188"/>
        <v>37.450000000000003</v>
      </c>
      <c r="J453" s="149">
        <f t="shared" si="189"/>
        <v>112.35</v>
      </c>
      <c r="L453" s="112"/>
    </row>
    <row r="454" spans="1:12" ht="28.5">
      <c r="A454" s="147" t="s">
        <v>3422</v>
      </c>
      <c r="B454" s="148">
        <v>89801</v>
      </c>
      <c r="C454" s="164" t="s">
        <v>493</v>
      </c>
      <c r="D454" s="148" t="s">
        <v>119</v>
      </c>
      <c r="E454" s="148" t="s">
        <v>144</v>
      </c>
      <c r="F454" s="149">
        <v>4</v>
      </c>
      <c r="G454" s="149">
        <v>9.98</v>
      </c>
      <c r="H454" s="151">
        <f>'14 -BDI-EDIFICAÇÕES - SEM DESON'!$H$23</f>
        <v>0.2222616419077901</v>
      </c>
      <c r="I454" s="149">
        <f t="shared" si="188"/>
        <v>12.2</v>
      </c>
      <c r="J454" s="149">
        <f t="shared" si="189"/>
        <v>48.8</v>
      </c>
      <c r="L454" s="112"/>
    </row>
    <row r="455" spans="1:12" ht="28.5">
      <c r="A455" s="147" t="s">
        <v>3423</v>
      </c>
      <c r="B455" s="148">
        <v>89810</v>
      </c>
      <c r="C455" s="164" t="s">
        <v>495</v>
      </c>
      <c r="D455" s="148" t="s">
        <v>119</v>
      </c>
      <c r="E455" s="148" t="s">
        <v>144</v>
      </c>
      <c r="F455" s="149">
        <v>27</v>
      </c>
      <c r="G455" s="149">
        <v>30.97</v>
      </c>
      <c r="H455" s="151">
        <f>'14 -BDI-EDIFICAÇÕES - SEM DESON'!$H$23</f>
        <v>0.2222616419077901</v>
      </c>
      <c r="I455" s="149">
        <f t="shared" si="188"/>
        <v>37.85</v>
      </c>
      <c r="J455" s="149">
        <f t="shared" si="189"/>
        <v>1021.95</v>
      </c>
      <c r="L455" s="112"/>
    </row>
    <row r="456" spans="1:12" ht="28.5">
      <c r="A456" s="147" t="s">
        <v>3424</v>
      </c>
      <c r="B456" s="148">
        <v>89531</v>
      </c>
      <c r="C456" s="164" t="s">
        <v>3309</v>
      </c>
      <c r="D456" s="148" t="s">
        <v>119</v>
      </c>
      <c r="E456" s="148" t="s">
        <v>144</v>
      </c>
      <c r="F456" s="149">
        <v>49</v>
      </c>
      <c r="G456" s="149">
        <v>39.15</v>
      </c>
      <c r="H456" s="151">
        <f>'14 -BDI-EDIFICAÇÕES - SEM DESON'!$H$23</f>
        <v>0.2222616419077901</v>
      </c>
      <c r="I456" s="149">
        <f t="shared" si="188"/>
        <v>47.85</v>
      </c>
      <c r="J456" s="149">
        <f t="shared" si="189"/>
        <v>2344.65</v>
      </c>
      <c r="L456" s="112"/>
    </row>
    <row r="457" spans="1:12" ht="14.25">
      <c r="A457" s="147" t="s">
        <v>3425</v>
      </c>
      <c r="B457" s="148">
        <v>89524</v>
      </c>
      <c r="C457" s="164" t="s">
        <v>3310</v>
      </c>
      <c r="D457" s="148" t="s">
        <v>119</v>
      </c>
      <c r="E457" s="148" t="s">
        <v>144</v>
      </c>
      <c r="F457" s="149">
        <v>12</v>
      </c>
      <c r="G457" s="149">
        <v>31.13</v>
      </c>
      <c r="H457" s="151">
        <f>'14 -BDI-EDIFICAÇÕES - SEM DESON'!$H$23</f>
        <v>0.2222616419077901</v>
      </c>
      <c r="I457" s="149">
        <f t="shared" si="188"/>
        <v>38.049999999999997</v>
      </c>
      <c r="J457" s="149">
        <f t="shared" si="189"/>
        <v>456.6</v>
      </c>
      <c r="L457" s="112"/>
    </row>
    <row r="458" spans="1:12" ht="28.5">
      <c r="A458" s="147" t="s">
        <v>3426</v>
      </c>
      <c r="B458" s="148">
        <v>89802</v>
      </c>
      <c r="C458" s="164" t="s">
        <v>496</v>
      </c>
      <c r="D458" s="148" t="s">
        <v>119</v>
      </c>
      <c r="E458" s="148" t="s">
        <v>144</v>
      </c>
      <c r="F458" s="149">
        <v>14</v>
      </c>
      <c r="G458" s="149">
        <v>10.76</v>
      </c>
      <c r="H458" s="151">
        <f>'14 -BDI-EDIFICAÇÕES - SEM DESON'!$H$23</f>
        <v>0.2222616419077901</v>
      </c>
      <c r="I458" s="149">
        <f t="shared" si="188"/>
        <v>13.15</v>
      </c>
      <c r="J458" s="149">
        <f t="shared" si="189"/>
        <v>184.1</v>
      </c>
      <c r="L458" s="112"/>
    </row>
    <row r="459" spans="1:12" ht="28.5">
      <c r="A459" s="147" t="s">
        <v>3427</v>
      </c>
      <c r="B459" s="148">
        <v>89750</v>
      </c>
      <c r="C459" s="164" t="s">
        <v>2283</v>
      </c>
      <c r="D459" s="148" t="s">
        <v>119</v>
      </c>
      <c r="E459" s="148" t="s">
        <v>144</v>
      </c>
      <c r="F459" s="149">
        <v>2</v>
      </c>
      <c r="G459" s="149">
        <v>81.849999999999994</v>
      </c>
      <c r="H459" s="151">
        <f>'14 -BDI-EDIFICAÇÕES - SEM DESON'!$H$23</f>
        <v>0.2222616419077901</v>
      </c>
      <c r="I459" s="149">
        <f t="shared" si="188"/>
        <v>100.04</v>
      </c>
      <c r="J459" s="149">
        <f t="shared" si="189"/>
        <v>200.08</v>
      </c>
      <c r="L459" s="112"/>
    </row>
    <row r="460" spans="1:12" ht="14.25">
      <c r="A460" s="147" t="s">
        <v>3428</v>
      </c>
      <c r="B460" s="148" t="s">
        <v>3608</v>
      </c>
      <c r="C460" s="164" t="s">
        <v>3609</v>
      </c>
      <c r="D460" s="148" t="s">
        <v>1881</v>
      </c>
      <c r="E460" s="148" t="s">
        <v>144</v>
      </c>
      <c r="F460" s="149">
        <v>18</v>
      </c>
      <c r="G460" s="149">
        <f>'5 - R. ANALÍTICO - MODIFICAD'!$H$2412</f>
        <v>42.96</v>
      </c>
      <c r="H460" s="151">
        <f>'14 -BDI-EDIFICAÇÕES - SEM DESON'!$H$23</f>
        <v>0.2222616419077901</v>
      </c>
      <c r="I460" s="149">
        <f t="shared" ref="I460" si="192">ROUND(G460*(1+H460),2)</f>
        <v>52.51</v>
      </c>
      <c r="J460" s="149">
        <f t="shared" ref="J460" si="193">ROUND(ROUND(F460,2)*ROUND(I460,2),2)</f>
        <v>945.18</v>
      </c>
      <c r="L460" s="112"/>
    </row>
    <row r="461" spans="1:12" s="112" customFormat="1" ht="29.25" customHeight="1">
      <c r="A461" s="109" t="s">
        <v>352</v>
      </c>
      <c r="B461" s="145" t="s">
        <v>348</v>
      </c>
      <c r="C461" s="143"/>
      <c r="D461" s="143"/>
      <c r="E461" s="143"/>
      <c r="F461" s="143"/>
      <c r="G461" s="143"/>
      <c r="H461" s="143"/>
      <c r="I461" s="144"/>
      <c r="J461" s="113">
        <f>SUM(J462:J474)</f>
        <v>48082.650000000009</v>
      </c>
    </row>
    <row r="462" spans="1:12" ht="14.25">
      <c r="A462" s="147" t="s">
        <v>3429</v>
      </c>
      <c r="B462" s="148">
        <v>89402</v>
      </c>
      <c r="C462" s="164" t="s">
        <v>498</v>
      </c>
      <c r="D462" s="148" t="s">
        <v>119</v>
      </c>
      <c r="E462" s="148" t="s">
        <v>173</v>
      </c>
      <c r="F462" s="149">
        <v>60.35</v>
      </c>
      <c r="G462" s="149">
        <v>13.41</v>
      </c>
      <c r="H462" s="151">
        <f>'14 -BDI-EDIFICAÇÕES - SEM DESON'!$H$23</f>
        <v>0.2222616419077901</v>
      </c>
      <c r="I462" s="149">
        <f t="shared" ref="I462:I480" si="194">ROUND(G462*(1+H462),2)</f>
        <v>16.39</v>
      </c>
      <c r="J462" s="149">
        <f t="shared" ref="J462:J480" si="195">ROUND(ROUND(F462,2)*ROUND(I462,2),2)</f>
        <v>989.14</v>
      </c>
      <c r="L462" s="112"/>
    </row>
    <row r="463" spans="1:12" ht="14.25">
      <c r="A463" s="147" t="s">
        <v>3430</v>
      </c>
      <c r="B463" s="148">
        <v>89403</v>
      </c>
      <c r="C463" s="164" t="s">
        <v>499</v>
      </c>
      <c r="D463" s="148" t="s">
        <v>119</v>
      </c>
      <c r="E463" s="148" t="s">
        <v>173</v>
      </c>
      <c r="F463" s="149">
        <v>41.76</v>
      </c>
      <c r="G463" s="149">
        <v>20.53</v>
      </c>
      <c r="H463" s="151">
        <f>'14 -BDI-EDIFICAÇÕES - SEM DESON'!$H$23</f>
        <v>0.2222616419077901</v>
      </c>
      <c r="I463" s="149">
        <f t="shared" si="194"/>
        <v>25.09</v>
      </c>
      <c r="J463" s="149">
        <f t="shared" si="195"/>
        <v>1047.76</v>
      </c>
      <c r="L463" s="112"/>
    </row>
    <row r="464" spans="1:12" ht="14.25">
      <c r="A464" s="147" t="s">
        <v>3431</v>
      </c>
      <c r="B464" s="148">
        <v>89712</v>
      </c>
      <c r="C464" s="164" t="s">
        <v>501</v>
      </c>
      <c r="D464" s="148" t="s">
        <v>119</v>
      </c>
      <c r="E464" s="148" t="s">
        <v>173</v>
      </c>
      <c r="F464" s="149">
        <v>9.3000000000000007</v>
      </c>
      <c r="G464" s="149">
        <v>29.47</v>
      </c>
      <c r="H464" s="151">
        <f>'14 -BDI-EDIFICAÇÕES - SEM DESON'!$H$23</f>
        <v>0.2222616419077901</v>
      </c>
      <c r="I464" s="149">
        <f t="shared" si="194"/>
        <v>36.020000000000003</v>
      </c>
      <c r="J464" s="149">
        <f t="shared" si="195"/>
        <v>334.99</v>
      </c>
      <c r="L464" s="112"/>
    </row>
    <row r="465" spans="1:12" ht="14.25">
      <c r="A465" s="147" t="s">
        <v>3432</v>
      </c>
      <c r="B465" s="148">
        <v>89576</v>
      </c>
      <c r="C465" s="164" t="s">
        <v>3328</v>
      </c>
      <c r="D465" s="148" t="s">
        <v>119</v>
      </c>
      <c r="E465" s="148" t="s">
        <v>173</v>
      </c>
      <c r="F465" s="149">
        <v>19.12</v>
      </c>
      <c r="G465" s="149">
        <v>28.26</v>
      </c>
      <c r="H465" s="151">
        <f>'14 -BDI-EDIFICAÇÕES - SEM DESON'!$H$23</f>
        <v>0.2222616419077901</v>
      </c>
      <c r="I465" s="149">
        <f t="shared" si="194"/>
        <v>34.54</v>
      </c>
      <c r="J465" s="149">
        <f t="shared" si="195"/>
        <v>660.4</v>
      </c>
      <c r="L465" s="112"/>
    </row>
    <row r="466" spans="1:12" ht="14.25">
      <c r="A466" s="147" t="s">
        <v>3433</v>
      </c>
      <c r="B466" s="148">
        <v>89714</v>
      </c>
      <c r="C466" s="164" t="s">
        <v>503</v>
      </c>
      <c r="D466" s="148" t="s">
        <v>119</v>
      </c>
      <c r="E466" s="148" t="s">
        <v>173</v>
      </c>
      <c r="F466" s="149">
        <v>12.48</v>
      </c>
      <c r="G466" s="149">
        <v>41.03</v>
      </c>
      <c r="H466" s="151">
        <f>'14 -BDI-EDIFICAÇÕES - SEM DESON'!$H$23</f>
        <v>0.2222616419077901</v>
      </c>
      <c r="I466" s="149">
        <f t="shared" si="194"/>
        <v>50.15</v>
      </c>
      <c r="J466" s="149">
        <f t="shared" si="195"/>
        <v>625.87</v>
      </c>
      <c r="L466" s="112"/>
    </row>
    <row r="467" spans="1:12" ht="14.25">
      <c r="A467" s="147" t="s">
        <v>3434</v>
      </c>
      <c r="B467" s="148">
        <v>89512</v>
      </c>
      <c r="C467" s="164" t="s">
        <v>2848</v>
      </c>
      <c r="D467" s="148" t="s">
        <v>119</v>
      </c>
      <c r="E467" s="148" t="s">
        <v>173</v>
      </c>
      <c r="F467" s="149">
        <v>115.56</v>
      </c>
      <c r="G467" s="149">
        <v>52.91</v>
      </c>
      <c r="H467" s="151">
        <f>'14 -BDI-EDIFICAÇÕES - SEM DESON'!$H$23</f>
        <v>0.2222616419077901</v>
      </c>
      <c r="I467" s="149">
        <f t="shared" si="194"/>
        <v>64.67</v>
      </c>
      <c r="J467" s="149">
        <f t="shared" si="195"/>
        <v>7473.27</v>
      </c>
      <c r="L467" s="112"/>
    </row>
    <row r="468" spans="1:12" ht="14.25">
      <c r="A468" s="147" t="s">
        <v>3435</v>
      </c>
      <c r="B468" s="148">
        <v>89849</v>
      </c>
      <c r="C468" s="164" t="s">
        <v>2849</v>
      </c>
      <c r="D468" s="148" t="s">
        <v>119</v>
      </c>
      <c r="E468" s="148" t="s">
        <v>173</v>
      </c>
      <c r="F468" s="149">
        <v>9.08</v>
      </c>
      <c r="G468" s="149">
        <v>60.71</v>
      </c>
      <c r="H468" s="151">
        <f>'14 -BDI-EDIFICAÇÕES - SEM DESON'!$H$23</f>
        <v>0.2222616419077901</v>
      </c>
      <c r="I468" s="149">
        <f t="shared" si="194"/>
        <v>74.2</v>
      </c>
      <c r="J468" s="149">
        <f t="shared" si="195"/>
        <v>673.74</v>
      </c>
      <c r="L468" s="112"/>
    </row>
    <row r="469" spans="1:12" ht="14.25">
      <c r="A469" s="147" t="s">
        <v>3436</v>
      </c>
      <c r="B469" s="148">
        <v>104166</v>
      </c>
      <c r="C469" s="164" t="s">
        <v>2205</v>
      </c>
      <c r="D469" s="148" t="s">
        <v>119</v>
      </c>
      <c r="E469" s="148" t="s">
        <v>173</v>
      </c>
      <c r="F469" s="149">
        <v>52.04</v>
      </c>
      <c r="G469" s="149">
        <v>79.09</v>
      </c>
      <c r="H469" s="151">
        <f>'14 -BDI-EDIFICAÇÕES - SEM DESON'!$H$23</f>
        <v>0.2222616419077901</v>
      </c>
      <c r="I469" s="149">
        <f t="shared" si="194"/>
        <v>96.67</v>
      </c>
      <c r="J469" s="149">
        <f t="shared" si="195"/>
        <v>5030.71</v>
      </c>
      <c r="L469" s="112"/>
    </row>
    <row r="470" spans="1:12" ht="28.5">
      <c r="A470" s="147" t="s">
        <v>3437</v>
      </c>
      <c r="B470" s="148">
        <v>90695</v>
      </c>
      <c r="C470" s="164" t="s">
        <v>2965</v>
      </c>
      <c r="D470" s="148" t="s">
        <v>119</v>
      </c>
      <c r="E470" s="148" t="s">
        <v>173</v>
      </c>
      <c r="F470" s="149">
        <v>5.35</v>
      </c>
      <c r="G470" s="149">
        <v>92.66</v>
      </c>
      <c r="H470" s="151">
        <f>'14 -BDI-EDIFICAÇÕES - SEM DESON'!$H$23</f>
        <v>0.2222616419077901</v>
      </c>
      <c r="I470" s="149">
        <f t="shared" si="194"/>
        <v>113.25</v>
      </c>
      <c r="J470" s="149">
        <f t="shared" si="195"/>
        <v>605.89</v>
      </c>
      <c r="L470" s="112"/>
    </row>
    <row r="471" spans="1:12" ht="28.5">
      <c r="A471" s="147" t="s">
        <v>3438</v>
      </c>
      <c r="B471" s="148">
        <v>90696</v>
      </c>
      <c r="C471" s="164" t="s">
        <v>2966</v>
      </c>
      <c r="D471" s="148" t="s">
        <v>119</v>
      </c>
      <c r="E471" s="148" t="s">
        <v>173</v>
      </c>
      <c r="F471" s="149">
        <v>17.7</v>
      </c>
      <c r="G471" s="149">
        <v>154.75</v>
      </c>
      <c r="H471" s="151">
        <f>'14 -BDI-EDIFICAÇÕES - SEM DESON'!$H$23</f>
        <v>0.2222616419077901</v>
      </c>
      <c r="I471" s="149">
        <f t="shared" si="194"/>
        <v>189.14</v>
      </c>
      <c r="J471" s="149">
        <f t="shared" si="195"/>
        <v>3347.78</v>
      </c>
      <c r="L471" s="112"/>
    </row>
    <row r="472" spans="1:12" ht="28.5">
      <c r="A472" s="147" t="s">
        <v>3439</v>
      </c>
      <c r="B472" s="148">
        <v>90697</v>
      </c>
      <c r="C472" s="164" t="s">
        <v>2967</v>
      </c>
      <c r="D472" s="148" t="s">
        <v>119</v>
      </c>
      <c r="E472" s="148" t="s">
        <v>173</v>
      </c>
      <c r="F472" s="149">
        <v>57.16</v>
      </c>
      <c r="G472" s="149">
        <v>240.02</v>
      </c>
      <c r="H472" s="151">
        <f>'14 -BDI-EDIFICAÇÕES - SEM DESON'!$H$23</f>
        <v>0.2222616419077901</v>
      </c>
      <c r="I472" s="149">
        <f t="shared" si="194"/>
        <v>293.37</v>
      </c>
      <c r="J472" s="149">
        <f t="shared" si="195"/>
        <v>16769.03</v>
      </c>
      <c r="L472" s="112"/>
    </row>
    <row r="473" spans="1:12" ht="28.5">
      <c r="A473" s="147" t="s">
        <v>3440</v>
      </c>
      <c r="B473" s="148">
        <v>90698</v>
      </c>
      <c r="C473" s="164" t="s">
        <v>2968</v>
      </c>
      <c r="D473" s="148" t="s">
        <v>119</v>
      </c>
      <c r="E473" s="148" t="s">
        <v>173</v>
      </c>
      <c r="F473" s="149">
        <v>18.04</v>
      </c>
      <c r="G473" s="149">
        <v>366.83</v>
      </c>
      <c r="H473" s="151">
        <f>'14 -BDI-EDIFICAÇÕES - SEM DESON'!$H$23</f>
        <v>0.2222616419077901</v>
      </c>
      <c r="I473" s="149">
        <f t="shared" si="194"/>
        <v>448.36</v>
      </c>
      <c r="J473" s="149">
        <f t="shared" si="195"/>
        <v>8088.41</v>
      </c>
      <c r="L473" s="112"/>
    </row>
    <row r="474" spans="1:12" ht="28.5">
      <c r="A474" s="147" t="s">
        <v>3441</v>
      </c>
      <c r="B474" s="148">
        <v>90699</v>
      </c>
      <c r="C474" s="164" t="s">
        <v>2969</v>
      </c>
      <c r="D474" s="148" t="s">
        <v>119</v>
      </c>
      <c r="E474" s="148" t="s">
        <v>173</v>
      </c>
      <c r="F474" s="149">
        <v>3.86</v>
      </c>
      <c r="G474" s="149">
        <v>516.26</v>
      </c>
      <c r="H474" s="151">
        <f>'14 -BDI-EDIFICAÇÕES - SEM DESON'!$H$23</f>
        <v>0.2222616419077901</v>
      </c>
      <c r="I474" s="149">
        <f t="shared" si="194"/>
        <v>631</v>
      </c>
      <c r="J474" s="149">
        <f t="shared" si="195"/>
        <v>2435.66</v>
      </c>
      <c r="L474" s="112"/>
    </row>
    <row r="475" spans="1:12" s="112" customFormat="1" ht="29.25" customHeight="1">
      <c r="A475" s="109" t="s">
        <v>353</v>
      </c>
      <c r="B475" s="145" t="s">
        <v>354</v>
      </c>
      <c r="C475" s="143"/>
      <c r="D475" s="143"/>
      <c r="E475" s="143"/>
      <c r="F475" s="143"/>
      <c r="G475" s="143"/>
      <c r="H475" s="143"/>
      <c r="I475" s="144"/>
      <c r="J475" s="113">
        <f>SUM(J476:J483)</f>
        <v>101686.73</v>
      </c>
    </row>
    <row r="476" spans="1:12" ht="28.5">
      <c r="A476" s="147" t="s">
        <v>3442</v>
      </c>
      <c r="B476" s="148" t="s">
        <v>2145</v>
      </c>
      <c r="C476" s="164" t="s">
        <v>2293</v>
      </c>
      <c r="D476" s="148" t="s">
        <v>1881</v>
      </c>
      <c r="E476" s="148" t="s">
        <v>144</v>
      </c>
      <c r="F476" s="149">
        <v>2</v>
      </c>
      <c r="G476" s="149">
        <f>'5 - R. ANALÍTICO - MODIFICAD'!$H$2064</f>
        <v>162.11000000000001</v>
      </c>
      <c r="H476" s="151">
        <f>'14 -BDI-EDIFICAÇÕES - SEM DESON'!$H$23</f>
        <v>0.2222616419077901</v>
      </c>
      <c r="I476" s="149">
        <f t="shared" si="194"/>
        <v>198.14</v>
      </c>
      <c r="J476" s="149">
        <f t="shared" si="195"/>
        <v>396.28</v>
      </c>
      <c r="L476" s="112"/>
    </row>
    <row r="477" spans="1:12" ht="28.5">
      <c r="A477" s="147" t="s">
        <v>3443</v>
      </c>
      <c r="B477" s="148" t="s">
        <v>2144</v>
      </c>
      <c r="C477" s="164" t="s">
        <v>2294</v>
      </c>
      <c r="D477" s="148" t="s">
        <v>1881</v>
      </c>
      <c r="E477" s="148" t="s">
        <v>144</v>
      </c>
      <c r="F477" s="149">
        <v>4</v>
      </c>
      <c r="G477" s="149">
        <f>'5 - R. ANALÍTICO - MODIFICAD'!$H$2051</f>
        <v>56.57</v>
      </c>
      <c r="H477" s="151">
        <f>'14 -BDI-EDIFICAÇÕES - SEM DESON'!$H$23</f>
        <v>0.2222616419077901</v>
      </c>
      <c r="I477" s="149">
        <f t="shared" si="194"/>
        <v>69.14</v>
      </c>
      <c r="J477" s="149">
        <f t="shared" si="195"/>
        <v>276.56</v>
      </c>
      <c r="L477" s="112"/>
    </row>
    <row r="478" spans="1:12" ht="28.5">
      <c r="A478" s="147" t="s">
        <v>3444</v>
      </c>
      <c r="B478" s="148">
        <v>99253</v>
      </c>
      <c r="C478" s="164" t="s">
        <v>2870</v>
      </c>
      <c r="D478" s="148" t="s">
        <v>119</v>
      </c>
      <c r="E478" s="148" t="s">
        <v>144</v>
      </c>
      <c r="F478" s="149">
        <v>25</v>
      </c>
      <c r="G478" s="149">
        <v>573.24</v>
      </c>
      <c r="H478" s="151">
        <f>'14 -BDI-EDIFICAÇÕES - SEM DESON'!$H$23</f>
        <v>0.2222616419077901</v>
      </c>
      <c r="I478" s="149">
        <f t="shared" si="194"/>
        <v>700.65</v>
      </c>
      <c r="J478" s="149">
        <f t="shared" si="195"/>
        <v>17516.25</v>
      </c>
      <c r="L478" s="112"/>
    </row>
    <row r="479" spans="1:12" ht="14.25">
      <c r="A479" s="147" t="s">
        <v>3445</v>
      </c>
      <c r="B479" s="148" t="s">
        <v>3331</v>
      </c>
      <c r="C479" s="164" t="s">
        <v>3332</v>
      </c>
      <c r="D479" s="148" t="s">
        <v>1881</v>
      </c>
      <c r="E479" s="148" t="s">
        <v>173</v>
      </c>
      <c r="F479" s="149">
        <v>138.62</v>
      </c>
      <c r="G479" s="149">
        <f>'5 - R. ANALÍTICO - MODIFICAD'!$H$2631</f>
        <v>197.18</v>
      </c>
      <c r="H479" s="151">
        <f>'14 -BDI-EDIFICAÇÕES - SEM DESON'!$H$23</f>
        <v>0.2222616419077901</v>
      </c>
      <c r="I479" s="149">
        <f t="shared" si="194"/>
        <v>241.01</v>
      </c>
      <c r="J479" s="149">
        <f t="shared" si="195"/>
        <v>33408.81</v>
      </c>
      <c r="L479" s="112"/>
    </row>
    <row r="480" spans="1:12" ht="14.25">
      <c r="A480" s="147" t="s">
        <v>3446</v>
      </c>
      <c r="B480" s="148" t="s">
        <v>3333</v>
      </c>
      <c r="C480" s="164" t="s">
        <v>3650</v>
      </c>
      <c r="D480" s="148" t="s">
        <v>1881</v>
      </c>
      <c r="E480" s="148" t="s">
        <v>173</v>
      </c>
      <c r="F480" s="149">
        <v>54.53</v>
      </c>
      <c r="G480" s="149">
        <f>'5 - R. ANALÍTICO - MODIFICAD'!$H$2646</f>
        <v>185.77</v>
      </c>
      <c r="H480" s="151">
        <f>'14 -BDI-EDIFICAÇÕES - SEM DESON'!$H$23</f>
        <v>0.2222616419077901</v>
      </c>
      <c r="I480" s="149">
        <f t="shared" si="194"/>
        <v>227.06</v>
      </c>
      <c r="J480" s="149">
        <f t="shared" si="195"/>
        <v>12381.58</v>
      </c>
      <c r="L480" s="112"/>
    </row>
    <row r="481" spans="1:12" ht="14.25">
      <c r="A481" s="147" t="s">
        <v>3447</v>
      </c>
      <c r="B481" s="148" t="s">
        <v>3606</v>
      </c>
      <c r="C481" s="164" t="s">
        <v>3643</v>
      </c>
      <c r="D481" s="148" t="s">
        <v>1881</v>
      </c>
      <c r="E481" s="148" t="s">
        <v>173</v>
      </c>
      <c r="F481" s="149">
        <v>138.62</v>
      </c>
      <c r="G481" s="149">
        <f>'5 - R. ANALÍTICO - MODIFICAD'!$H$2656</f>
        <v>183.91</v>
      </c>
      <c r="H481" s="151">
        <f>'14 -BDI-EDIFICAÇÕES - SEM DESON'!$H$23</f>
        <v>0.2222616419077901</v>
      </c>
      <c r="I481" s="149">
        <f t="shared" ref="I481:I483" si="196">ROUND(G481*(1+H481),2)</f>
        <v>224.79</v>
      </c>
      <c r="J481" s="149">
        <f t="shared" ref="J481:J483" si="197">ROUND(ROUND(F481,2)*ROUND(I481,2),2)</f>
        <v>31160.39</v>
      </c>
      <c r="L481" s="112"/>
    </row>
    <row r="482" spans="1:12" ht="14.25">
      <c r="A482" s="147" t="s">
        <v>3639</v>
      </c>
      <c r="B482" s="148" t="s">
        <v>3641</v>
      </c>
      <c r="C482" s="164" t="s">
        <v>3644</v>
      </c>
      <c r="D482" s="148" t="s">
        <v>1881</v>
      </c>
      <c r="E482" s="148" t="s">
        <v>173</v>
      </c>
      <c r="F482" s="149">
        <v>54.53</v>
      </c>
      <c r="G482" s="149">
        <f>'5 - R. ANALÍTICO - MODIFICAD'!$H$2666</f>
        <v>93.99</v>
      </c>
      <c r="H482" s="151">
        <f>'14 -BDI-EDIFICAÇÕES - SEM DESON'!$H$23</f>
        <v>0.2222616419077901</v>
      </c>
      <c r="I482" s="149">
        <f t="shared" si="196"/>
        <v>114.88</v>
      </c>
      <c r="J482" s="149">
        <f t="shared" si="197"/>
        <v>6264.41</v>
      </c>
      <c r="L482" s="112"/>
    </row>
    <row r="483" spans="1:12" ht="28.5">
      <c r="A483" s="147" t="s">
        <v>3640</v>
      </c>
      <c r="B483" s="148" t="s">
        <v>3642</v>
      </c>
      <c r="C483" s="164" t="s">
        <v>3645</v>
      </c>
      <c r="D483" s="148" t="s">
        <v>1881</v>
      </c>
      <c r="E483" s="148" t="s">
        <v>144</v>
      </c>
      <c r="F483" s="149">
        <v>5</v>
      </c>
      <c r="G483" s="149">
        <f>'5 - R. ANALÍTICO - MODIFICAD'!$H$1990</f>
        <v>46.22</v>
      </c>
      <c r="H483" s="151">
        <f>'14 -BDI-EDIFICAÇÕES - SEM DESON'!$H$23</f>
        <v>0.2222616419077901</v>
      </c>
      <c r="I483" s="149">
        <f t="shared" si="196"/>
        <v>56.49</v>
      </c>
      <c r="J483" s="149">
        <f t="shared" si="197"/>
        <v>282.45</v>
      </c>
      <c r="L483" s="112"/>
    </row>
    <row r="484" spans="1:12" s="112" customFormat="1" ht="29.25" customHeight="1">
      <c r="A484" s="109" t="s">
        <v>49</v>
      </c>
      <c r="B484" s="145" t="s">
        <v>3448</v>
      </c>
      <c r="C484" s="143"/>
      <c r="D484" s="143"/>
      <c r="E484" s="143"/>
      <c r="F484" s="143"/>
      <c r="G484" s="143"/>
      <c r="H484" s="143"/>
      <c r="I484" s="144"/>
      <c r="J484" s="113">
        <f>J485+J498+J503</f>
        <v>32202.46</v>
      </c>
    </row>
    <row r="485" spans="1:12" s="112" customFormat="1" ht="29.25" customHeight="1">
      <c r="A485" s="109" t="s">
        <v>355</v>
      </c>
      <c r="B485" s="145" t="s">
        <v>347</v>
      </c>
      <c r="C485" s="143"/>
      <c r="D485" s="143"/>
      <c r="E485" s="143"/>
      <c r="F485" s="143"/>
      <c r="G485" s="143"/>
      <c r="H485" s="143"/>
      <c r="I485" s="144"/>
      <c r="J485" s="113">
        <f>SUM(J486:J497)</f>
        <v>5082.7400000000007</v>
      </c>
    </row>
    <row r="486" spans="1:12" ht="14.25">
      <c r="A486" s="147" t="s">
        <v>3449</v>
      </c>
      <c r="B486" s="148">
        <v>89784</v>
      </c>
      <c r="C486" s="164" t="s">
        <v>487</v>
      </c>
      <c r="D486" s="148" t="s">
        <v>119</v>
      </c>
      <c r="E486" s="148" t="s">
        <v>144</v>
      </c>
      <c r="F486" s="149">
        <v>14</v>
      </c>
      <c r="G486" s="149">
        <v>25.31</v>
      </c>
      <c r="H486" s="151">
        <f>'14 -BDI-EDIFICAÇÕES - SEM DESON'!$H$23</f>
        <v>0.2222616419077901</v>
      </c>
      <c r="I486" s="149">
        <f t="shared" ref="I486:I497" si="198">ROUND(G486*(1+H486),2)</f>
        <v>30.94</v>
      </c>
      <c r="J486" s="149">
        <f t="shared" ref="J486:J497" si="199">ROUND(ROUND(F486,2)*ROUND(I486,2),2)</f>
        <v>433.16</v>
      </c>
      <c r="L486" s="112"/>
    </row>
    <row r="487" spans="1:12" ht="28.5">
      <c r="A487" s="147" t="s">
        <v>3450</v>
      </c>
      <c r="B487" s="148">
        <v>89821</v>
      </c>
      <c r="C487" s="164" t="s">
        <v>489</v>
      </c>
      <c r="D487" s="148" t="s">
        <v>119</v>
      </c>
      <c r="E487" s="148" t="s">
        <v>144</v>
      </c>
      <c r="F487" s="149">
        <v>30</v>
      </c>
      <c r="G487" s="149">
        <v>19.96</v>
      </c>
      <c r="H487" s="151">
        <f>'14 -BDI-EDIFICAÇÕES - SEM DESON'!$H$23</f>
        <v>0.2222616419077901</v>
      </c>
      <c r="I487" s="149">
        <f t="shared" si="198"/>
        <v>24.4</v>
      </c>
      <c r="J487" s="149">
        <f t="shared" si="199"/>
        <v>732</v>
      </c>
      <c r="L487" s="112"/>
    </row>
    <row r="488" spans="1:12" ht="28.5">
      <c r="A488" s="147" t="s">
        <v>3451</v>
      </c>
      <c r="B488" s="148">
        <v>89813</v>
      </c>
      <c r="C488" s="164" t="s">
        <v>490</v>
      </c>
      <c r="D488" s="148" t="s">
        <v>119</v>
      </c>
      <c r="E488" s="148" t="s">
        <v>144</v>
      </c>
      <c r="F488" s="149">
        <v>79</v>
      </c>
      <c r="G488" s="149">
        <v>6.19</v>
      </c>
      <c r="H488" s="151">
        <f>'14 -BDI-EDIFICAÇÕES - SEM DESON'!$H$23</f>
        <v>0.2222616419077901</v>
      </c>
      <c r="I488" s="149">
        <f t="shared" si="198"/>
        <v>7.57</v>
      </c>
      <c r="J488" s="149">
        <f t="shared" si="199"/>
        <v>598.03</v>
      </c>
      <c r="L488" s="112"/>
    </row>
    <row r="489" spans="1:12" ht="28.5">
      <c r="A489" s="147" t="s">
        <v>3452</v>
      </c>
      <c r="B489" s="148">
        <v>89850</v>
      </c>
      <c r="C489" s="164" t="s">
        <v>492</v>
      </c>
      <c r="D489" s="148" t="s">
        <v>119</v>
      </c>
      <c r="E489" s="148" t="s">
        <v>144</v>
      </c>
      <c r="F489" s="149">
        <v>11</v>
      </c>
      <c r="G489" s="149">
        <v>33.369999999999997</v>
      </c>
      <c r="H489" s="151">
        <f>'14 -BDI-EDIFICAÇÕES - SEM DESON'!$H$23</f>
        <v>0.2222616419077901</v>
      </c>
      <c r="I489" s="149">
        <f t="shared" si="198"/>
        <v>40.79</v>
      </c>
      <c r="J489" s="149">
        <f t="shared" si="199"/>
        <v>448.69</v>
      </c>
      <c r="L489" s="112"/>
    </row>
    <row r="490" spans="1:12" ht="28.5">
      <c r="A490" s="147" t="s">
        <v>3453</v>
      </c>
      <c r="B490" s="148">
        <v>89801</v>
      </c>
      <c r="C490" s="164" t="s">
        <v>493</v>
      </c>
      <c r="D490" s="148" t="s">
        <v>119</v>
      </c>
      <c r="E490" s="148" t="s">
        <v>144</v>
      </c>
      <c r="F490" s="149">
        <v>53</v>
      </c>
      <c r="G490" s="149">
        <v>9.98</v>
      </c>
      <c r="H490" s="151">
        <f>'14 -BDI-EDIFICAÇÕES - SEM DESON'!$H$23</f>
        <v>0.2222616419077901</v>
      </c>
      <c r="I490" s="149">
        <f t="shared" si="198"/>
        <v>12.2</v>
      </c>
      <c r="J490" s="149">
        <f t="shared" si="199"/>
        <v>646.6</v>
      </c>
      <c r="L490" s="112"/>
    </row>
    <row r="491" spans="1:12" ht="28.5">
      <c r="A491" s="147" t="s">
        <v>3454</v>
      </c>
      <c r="B491" s="148">
        <v>89724</v>
      </c>
      <c r="C491" s="164" t="s">
        <v>494</v>
      </c>
      <c r="D491" s="148" t="s">
        <v>119</v>
      </c>
      <c r="E491" s="148" t="s">
        <v>144</v>
      </c>
      <c r="F491" s="149">
        <v>20</v>
      </c>
      <c r="G491" s="149">
        <v>11.13</v>
      </c>
      <c r="H491" s="151">
        <f>'14 -BDI-EDIFICAÇÕES - SEM DESON'!$H$23</f>
        <v>0.2222616419077901</v>
      </c>
      <c r="I491" s="149">
        <f t="shared" si="198"/>
        <v>13.6</v>
      </c>
      <c r="J491" s="149">
        <f t="shared" si="199"/>
        <v>272</v>
      </c>
      <c r="L491" s="112"/>
    </row>
    <row r="492" spans="1:12" ht="28.5">
      <c r="A492" s="147" t="s">
        <v>3455</v>
      </c>
      <c r="B492" s="148">
        <v>89810</v>
      </c>
      <c r="C492" s="164" t="s">
        <v>495</v>
      </c>
      <c r="D492" s="148" t="s">
        <v>119</v>
      </c>
      <c r="E492" s="148" t="s">
        <v>144</v>
      </c>
      <c r="F492" s="149">
        <v>10</v>
      </c>
      <c r="G492" s="149">
        <v>30.97</v>
      </c>
      <c r="H492" s="151">
        <f>'14 -BDI-EDIFICAÇÕES - SEM DESON'!$H$23</f>
        <v>0.2222616419077901</v>
      </c>
      <c r="I492" s="149">
        <f t="shared" si="198"/>
        <v>37.85</v>
      </c>
      <c r="J492" s="149">
        <f t="shared" si="199"/>
        <v>378.5</v>
      </c>
      <c r="L492" s="112"/>
    </row>
    <row r="493" spans="1:12" ht="28.5">
      <c r="A493" s="147" t="s">
        <v>3456</v>
      </c>
      <c r="B493" s="148">
        <v>89802</v>
      </c>
      <c r="C493" s="164" t="s">
        <v>496</v>
      </c>
      <c r="D493" s="148" t="s">
        <v>119</v>
      </c>
      <c r="E493" s="148" t="s">
        <v>144</v>
      </c>
      <c r="F493" s="149">
        <v>37</v>
      </c>
      <c r="G493" s="149">
        <v>10.76</v>
      </c>
      <c r="H493" s="151">
        <f>'14 -BDI-EDIFICAÇÕES - SEM DESON'!$H$23</f>
        <v>0.2222616419077901</v>
      </c>
      <c r="I493" s="149">
        <f t="shared" si="198"/>
        <v>13.15</v>
      </c>
      <c r="J493" s="149">
        <f t="shared" si="199"/>
        <v>486.55</v>
      </c>
      <c r="L493" s="112"/>
    </row>
    <row r="494" spans="1:12" ht="28.5">
      <c r="A494" s="147" t="s">
        <v>3457</v>
      </c>
      <c r="B494" s="148">
        <v>89726</v>
      </c>
      <c r="C494" s="164" t="s">
        <v>497</v>
      </c>
      <c r="D494" s="148" t="s">
        <v>119</v>
      </c>
      <c r="E494" s="148" t="s">
        <v>144</v>
      </c>
      <c r="F494" s="149">
        <v>8</v>
      </c>
      <c r="G494" s="149">
        <v>11.38</v>
      </c>
      <c r="H494" s="151">
        <f>'14 -BDI-EDIFICAÇÕES - SEM DESON'!$H$23</f>
        <v>0.2222616419077901</v>
      </c>
      <c r="I494" s="149">
        <f t="shared" si="198"/>
        <v>13.91</v>
      </c>
      <c r="J494" s="149">
        <f t="shared" si="199"/>
        <v>111.28</v>
      </c>
      <c r="L494" s="112"/>
    </row>
    <row r="495" spans="1:12" ht="28.5">
      <c r="A495" s="147" t="s">
        <v>3458</v>
      </c>
      <c r="B495" s="148">
        <v>104348</v>
      </c>
      <c r="C495" s="164" t="s">
        <v>488</v>
      </c>
      <c r="D495" s="148" t="s">
        <v>119</v>
      </c>
      <c r="E495" s="148" t="s">
        <v>144</v>
      </c>
      <c r="F495" s="149">
        <v>8</v>
      </c>
      <c r="G495" s="149">
        <v>11.76</v>
      </c>
      <c r="H495" s="151">
        <f>'14 -BDI-EDIFICAÇÕES - SEM DESON'!$H$23</f>
        <v>0.2222616419077901</v>
      </c>
      <c r="I495" s="149">
        <f t="shared" si="198"/>
        <v>14.37</v>
      </c>
      <c r="J495" s="149">
        <f t="shared" si="199"/>
        <v>114.96</v>
      </c>
      <c r="L495" s="112"/>
    </row>
    <row r="496" spans="1:12" ht="28.5">
      <c r="A496" s="147" t="s">
        <v>3459</v>
      </c>
      <c r="B496" s="148">
        <v>89797</v>
      </c>
      <c r="C496" s="164" t="s">
        <v>491</v>
      </c>
      <c r="D496" s="148" t="s">
        <v>119</v>
      </c>
      <c r="E496" s="148" t="s">
        <v>144</v>
      </c>
      <c r="F496" s="149">
        <v>12</v>
      </c>
      <c r="G496" s="149">
        <v>53.64</v>
      </c>
      <c r="H496" s="151">
        <f>'14 -BDI-EDIFICAÇÕES - SEM DESON'!$H$23</f>
        <v>0.2222616419077901</v>
      </c>
      <c r="I496" s="149">
        <f t="shared" si="198"/>
        <v>65.56</v>
      </c>
      <c r="J496" s="149">
        <f t="shared" si="199"/>
        <v>786.72</v>
      </c>
      <c r="L496" s="112"/>
    </row>
    <row r="497" spans="1:12" ht="28.5">
      <c r="A497" s="147" t="s">
        <v>3460</v>
      </c>
      <c r="B497" s="148">
        <v>89827</v>
      </c>
      <c r="C497" s="164" t="s">
        <v>2288</v>
      </c>
      <c r="D497" s="148" t="s">
        <v>119</v>
      </c>
      <c r="E497" s="148" t="s">
        <v>144</v>
      </c>
      <c r="F497" s="149">
        <v>3</v>
      </c>
      <c r="G497" s="149">
        <v>20.25</v>
      </c>
      <c r="H497" s="151">
        <f>'14 -BDI-EDIFICAÇÕES - SEM DESON'!$H$23</f>
        <v>0.2222616419077901</v>
      </c>
      <c r="I497" s="149">
        <f t="shared" si="198"/>
        <v>24.75</v>
      </c>
      <c r="J497" s="149">
        <f t="shared" si="199"/>
        <v>74.25</v>
      </c>
      <c r="L497" s="112"/>
    </row>
    <row r="498" spans="1:12" s="112" customFormat="1" ht="29.25" customHeight="1">
      <c r="A498" s="109" t="s">
        <v>356</v>
      </c>
      <c r="B498" s="145" t="s">
        <v>348</v>
      </c>
      <c r="C498" s="143"/>
      <c r="D498" s="143"/>
      <c r="E498" s="143"/>
      <c r="F498" s="143"/>
      <c r="G498" s="143"/>
      <c r="H498" s="143"/>
      <c r="I498" s="144"/>
      <c r="J498" s="113">
        <f>SUM(J499:J502)</f>
        <v>12285.369999999999</v>
      </c>
    </row>
    <row r="499" spans="1:12" ht="14.25">
      <c r="A499" s="147" t="s">
        <v>3461</v>
      </c>
      <c r="B499" s="148">
        <v>89711</v>
      </c>
      <c r="C499" s="164" t="s">
        <v>500</v>
      </c>
      <c r="D499" s="148" t="s">
        <v>119</v>
      </c>
      <c r="E499" s="148" t="s">
        <v>173</v>
      </c>
      <c r="F499" s="149">
        <v>12.19</v>
      </c>
      <c r="G499" s="149">
        <v>23.33</v>
      </c>
      <c r="H499" s="151">
        <f>'14 -BDI-EDIFICAÇÕES - SEM DESON'!$H$23</f>
        <v>0.2222616419077901</v>
      </c>
      <c r="I499" s="149">
        <f t="shared" ref="I499:I502" si="200">ROUND(G499*(1+H499),2)</f>
        <v>28.52</v>
      </c>
      <c r="J499" s="149">
        <f t="shared" ref="J499:J502" si="201">ROUND(ROUND(F499,2)*ROUND(I499,2),2)</f>
        <v>347.66</v>
      </c>
      <c r="L499" s="112"/>
    </row>
    <row r="500" spans="1:12" ht="14.25">
      <c r="A500" s="147" t="s">
        <v>3462</v>
      </c>
      <c r="B500" s="148">
        <v>89712</v>
      </c>
      <c r="C500" s="164" t="s">
        <v>501</v>
      </c>
      <c r="D500" s="148" t="s">
        <v>119</v>
      </c>
      <c r="E500" s="148" t="s">
        <v>173</v>
      </c>
      <c r="F500" s="149">
        <v>88.61</v>
      </c>
      <c r="G500" s="149">
        <v>29.47</v>
      </c>
      <c r="H500" s="151">
        <f>'14 -BDI-EDIFICAÇÕES - SEM DESON'!$H$23</f>
        <v>0.2222616419077901</v>
      </c>
      <c r="I500" s="149">
        <f t="shared" si="200"/>
        <v>36.020000000000003</v>
      </c>
      <c r="J500" s="149">
        <f t="shared" si="201"/>
        <v>3191.73</v>
      </c>
      <c r="L500" s="112"/>
    </row>
    <row r="501" spans="1:12" ht="14.25">
      <c r="A501" s="147" t="s">
        <v>3463</v>
      </c>
      <c r="B501" s="148">
        <v>89714</v>
      </c>
      <c r="C501" s="164" t="s">
        <v>503</v>
      </c>
      <c r="D501" s="148" t="s">
        <v>119</v>
      </c>
      <c r="E501" s="148" t="s">
        <v>173</v>
      </c>
      <c r="F501" s="149">
        <v>123.47</v>
      </c>
      <c r="G501" s="149">
        <v>41.03</v>
      </c>
      <c r="H501" s="151">
        <f>'14 -BDI-EDIFICAÇÕES - SEM DESON'!$H$23</f>
        <v>0.2222616419077901</v>
      </c>
      <c r="I501" s="149">
        <f t="shared" si="200"/>
        <v>50.15</v>
      </c>
      <c r="J501" s="149">
        <f t="shared" si="201"/>
        <v>6192.02</v>
      </c>
      <c r="L501" s="112"/>
    </row>
    <row r="502" spans="1:12" ht="14.25">
      <c r="A502" s="147" t="s">
        <v>3464</v>
      </c>
      <c r="B502" s="148">
        <v>89849</v>
      </c>
      <c r="C502" s="164" t="s">
        <v>2849</v>
      </c>
      <c r="D502" s="148" t="s">
        <v>119</v>
      </c>
      <c r="E502" s="148" t="s">
        <v>173</v>
      </c>
      <c r="F502" s="149">
        <v>34.42</v>
      </c>
      <c r="G502" s="149">
        <v>60.71</v>
      </c>
      <c r="H502" s="151">
        <f>'14 -BDI-EDIFICAÇÕES - SEM DESON'!$H$23</f>
        <v>0.2222616419077901</v>
      </c>
      <c r="I502" s="149">
        <f t="shared" si="200"/>
        <v>74.2</v>
      </c>
      <c r="J502" s="149">
        <f t="shared" si="201"/>
        <v>2553.96</v>
      </c>
      <c r="L502" s="112"/>
    </row>
    <row r="503" spans="1:12" s="112" customFormat="1" ht="29.25" customHeight="1">
      <c r="A503" s="109" t="s">
        <v>357</v>
      </c>
      <c r="B503" s="145" t="s">
        <v>354</v>
      </c>
      <c r="C503" s="143"/>
      <c r="D503" s="143"/>
      <c r="E503" s="143"/>
      <c r="F503" s="143"/>
      <c r="G503" s="143"/>
      <c r="H503" s="143"/>
      <c r="I503" s="144"/>
      <c r="J503" s="113">
        <f>SUM(J504:J506)</f>
        <v>14834.349999999999</v>
      </c>
    </row>
    <row r="504" spans="1:12" ht="28.5">
      <c r="A504" s="147" t="s">
        <v>3465</v>
      </c>
      <c r="B504" s="148">
        <v>98110</v>
      </c>
      <c r="C504" s="164" t="s">
        <v>2212</v>
      </c>
      <c r="D504" s="148" t="s">
        <v>119</v>
      </c>
      <c r="E504" s="148" t="s">
        <v>144</v>
      </c>
      <c r="F504" s="149">
        <v>2</v>
      </c>
      <c r="G504" s="149">
        <v>498.97</v>
      </c>
      <c r="H504" s="151">
        <f>'14 -BDI-EDIFICAÇÕES - SEM DESON'!$H$23</f>
        <v>0.2222616419077901</v>
      </c>
      <c r="I504" s="149">
        <f t="shared" ref="I504:I506" si="202">ROUND(G504*(1+H504),2)</f>
        <v>609.87</v>
      </c>
      <c r="J504" s="149">
        <f t="shared" ref="J504:J506" si="203">ROUND(ROUND(F504,2)*ROUND(I504,2),2)</f>
        <v>1219.74</v>
      </c>
      <c r="L504" s="112"/>
    </row>
    <row r="505" spans="1:12" ht="28.5">
      <c r="A505" s="147" t="s">
        <v>3466</v>
      </c>
      <c r="B505" s="148">
        <v>97902</v>
      </c>
      <c r="C505" s="164" t="s">
        <v>2603</v>
      </c>
      <c r="D505" s="148" t="s">
        <v>119</v>
      </c>
      <c r="E505" s="148" t="s">
        <v>144</v>
      </c>
      <c r="F505" s="149">
        <v>15</v>
      </c>
      <c r="G505" s="149">
        <v>591.29</v>
      </c>
      <c r="H505" s="151">
        <f>'14 -BDI-EDIFICAÇÕES - SEM DESON'!$H$23</f>
        <v>0.2222616419077901</v>
      </c>
      <c r="I505" s="149">
        <f t="shared" si="202"/>
        <v>722.71</v>
      </c>
      <c r="J505" s="149">
        <f t="shared" si="203"/>
        <v>10840.65</v>
      </c>
      <c r="L505" s="112"/>
    </row>
    <row r="506" spans="1:12" ht="28.5">
      <c r="A506" s="147" t="s">
        <v>3467</v>
      </c>
      <c r="B506" s="148" t="s">
        <v>2145</v>
      </c>
      <c r="C506" s="164" t="s">
        <v>2293</v>
      </c>
      <c r="D506" s="148" t="s">
        <v>1881</v>
      </c>
      <c r="E506" s="148" t="s">
        <v>144</v>
      </c>
      <c r="F506" s="149">
        <v>14</v>
      </c>
      <c r="G506" s="149">
        <f>'5 - R. ANALÍTICO - MODIFICAD'!$H$2064</f>
        <v>162.11000000000001</v>
      </c>
      <c r="H506" s="151">
        <f>'14 -BDI-EDIFICAÇÕES - SEM DESON'!$H$23</f>
        <v>0.2222616419077901</v>
      </c>
      <c r="I506" s="149">
        <f t="shared" si="202"/>
        <v>198.14</v>
      </c>
      <c r="J506" s="149">
        <f t="shared" si="203"/>
        <v>2773.96</v>
      </c>
      <c r="L506" s="112"/>
    </row>
    <row r="507" spans="1:12" s="112" customFormat="1" ht="29.25" customHeight="1">
      <c r="A507" s="109" t="s">
        <v>3468</v>
      </c>
      <c r="B507" s="145" t="s">
        <v>3469</v>
      </c>
      <c r="C507" s="143"/>
      <c r="D507" s="143"/>
      <c r="E507" s="143"/>
      <c r="F507" s="143"/>
      <c r="G507" s="143"/>
      <c r="H507" s="143"/>
      <c r="I507" s="144"/>
      <c r="J507" s="113">
        <f>SUM(J508:J514)</f>
        <v>25062.46</v>
      </c>
    </row>
    <row r="508" spans="1:12" ht="28.5">
      <c r="A508" s="147" t="s">
        <v>3470</v>
      </c>
      <c r="B508" s="148">
        <v>91222</v>
      </c>
      <c r="C508" s="164" t="s">
        <v>2881</v>
      </c>
      <c r="D508" s="148" t="s">
        <v>119</v>
      </c>
      <c r="E508" s="148" t="s">
        <v>173</v>
      </c>
      <c r="F508" s="149">
        <v>201.92</v>
      </c>
      <c r="G508" s="149">
        <v>9.74</v>
      </c>
      <c r="H508" s="151">
        <f>'14 -BDI-EDIFICAÇÕES - SEM DESON'!$H$23</f>
        <v>0.2222616419077901</v>
      </c>
      <c r="I508" s="149">
        <f t="shared" ref="I508:I514" si="204">ROUND(G508*(1+H508),2)</f>
        <v>11.9</v>
      </c>
      <c r="J508" s="149">
        <f t="shared" ref="J508:J514" si="205">ROUND(ROUND(F508,2)*ROUND(I508,2),2)</f>
        <v>2402.85</v>
      </c>
      <c r="L508" s="112"/>
    </row>
    <row r="509" spans="1:12" ht="28.5">
      <c r="A509" s="147" t="s">
        <v>3471</v>
      </c>
      <c r="B509" s="148">
        <v>90443</v>
      </c>
      <c r="C509" s="164" t="s">
        <v>2882</v>
      </c>
      <c r="D509" s="148" t="s">
        <v>119</v>
      </c>
      <c r="E509" s="148" t="s">
        <v>173</v>
      </c>
      <c r="F509" s="149">
        <v>339.81</v>
      </c>
      <c r="G509" s="149">
        <v>8.76</v>
      </c>
      <c r="H509" s="151">
        <f>'14 -BDI-EDIFICAÇÕES - SEM DESON'!$H$23</f>
        <v>0.2222616419077901</v>
      </c>
      <c r="I509" s="149">
        <f t="shared" si="204"/>
        <v>10.71</v>
      </c>
      <c r="J509" s="149">
        <f t="shared" si="205"/>
        <v>3639.37</v>
      </c>
      <c r="L509" s="112"/>
    </row>
    <row r="510" spans="1:12" ht="28.5">
      <c r="A510" s="147" t="s">
        <v>3472</v>
      </c>
      <c r="B510" s="148">
        <v>90467</v>
      </c>
      <c r="C510" s="164" t="s">
        <v>2883</v>
      </c>
      <c r="D510" s="148" t="s">
        <v>119</v>
      </c>
      <c r="E510" s="148" t="s">
        <v>173</v>
      </c>
      <c r="F510" s="149">
        <v>201.92</v>
      </c>
      <c r="G510" s="149">
        <v>24.57</v>
      </c>
      <c r="H510" s="151">
        <f>'14 -BDI-EDIFICAÇÕES - SEM DESON'!$H$23</f>
        <v>0.2222616419077901</v>
      </c>
      <c r="I510" s="149">
        <f t="shared" si="204"/>
        <v>30.03</v>
      </c>
      <c r="J510" s="149">
        <f t="shared" si="205"/>
        <v>6063.66</v>
      </c>
      <c r="L510" s="112"/>
    </row>
    <row r="511" spans="1:12" ht="28.5">
      <c r="A511" s="147" t="s">
        <v>3473</v>
      </c>
      <c r="B511" s="148">
        <v>90466</v>
      </c>
      <c r="C511" s="164" t="s">
        <v>2884</v>
      </c>
      <c r="D511" s="148" t="s">
        <v>119</v>
      </c>
      <c r="E511" s="148" t="s">
        <v>173</v>
      </c>
      <c r="F511" s="149">
        <v>339.81</v>
      </c>
      <c r="G511" s="149">
        <v>16.37</v>
      </c>
      <c r="H511" s="151">
        <f>'14 -BDI-EDIFICAÇÕES - SEM DESON'!$H$23</f>
        <v>0.2222616419077901</v>
      </c>
      <c r="I511" s="149">
        <f t="shared" si="204"/>
        <v>20.010000000000002</v>
      </c>
      <c r="J511" s="149">
        <f t="shared" si="205"/>
        <v>6799.6</v>
      </c>
      <c r="L511" s="112"/>
    </row>
    <row r="512" spans="1:12" ht="14.25">
      <c r="A512" s="147" t="s">
        <v>3474</v>
      </c>
      <c r="B512" s="148">
        <v>93358</v>
      </c>
      <c r="C512" s="164" t="s">
        <v>2724</v>
      </c>
      <c r="D512" s="148" t="s">
        <v>119</v>
      </c>
      <c r="E512" s="148" t="s">
        <v>167</v>
      </c>
      <c r="F512" s="149">
        <v>36.33</v>
      </c>
      <c r="G512" s="149">
        <v>93.94</v>
      </c>
      <c r="H512" s="151">
        <f>'14 -BDI-EDIFICAÇÕES - SEM DESON'!$H$23</f>
        <v>0.2222616419077901</v>
      </c>
      <c r="I512" s="149">
        <f t="shared" si="204"/>
        <v>114.82</v>
      </c>
      <c r="J512" s="149">
        <f t="shared" si="205"/>
        <v>4171.41</v>
      </c>
      <c r="L512" s="112"/>
    </row>
    <row r="513" spans="1:12" ht="28.5">
      <c r="A513" s="147" t="s">
        <v>3475</v>
      </c>
      <c r="B513" s="148">
        <v>101616</v>
      </c>
      <c r="C513" s="164" t="s">
        <v>211</v>
      </c>
      <c r="D513" s="148" t="s">
        <v>119</v>
      </c>
      <c r="E513" s="148" t="s">
        <v>139</v>
      </c>
      <c r="F513" s="149">
        <v>90.82</v>
      </c>
      <c r="G513" s="149">
        <v>7.03</v>
      </c>
      <c r="H513" s="151">
        <f>'14 -BDI-EDIFICAÇÕES - SEM DESON'!$H$23</f>
        <v>0.2222616419077901</v>
      </c>
      <c r="I513" s="149">
        <f t="shared" si="204"/>
        <v>8.59</v>
      </c>
      <c r="J513" s="149">
        <f t="shared" si="205"/>
        <v>780.14</v>
      </c>
      <c r="L513" s="112"/>
    </row>
    <row r="514" spans="1:12" ht="14.25">
      <c r="A514" s="147" t="s">
        <v>3476</v>
      </c>
      <c r="B514" s="148">
        <v>93382</v>
      </c>
      <c r="C514" s="164" t="s">
        <v>220</v>
      </c>
      <c r="D514" s="148" t="s">
        <v>119</v>
      </c>
      <c r="E514" s="148" t="s">
        <v>167</v>
      </c>
      <c r="F514" s="149">
        <v>36.33</v>
      </c>
      <c r="G514" s="149">
        <v>27.15</v>
      </c>
      <c r="H514" s="151">
        <f>'14 -BDI-EDIFICAÇÕES - SEM DESON'!$H$23</f>
        <v>0.2222616419077901</v>
      </c>
      <c r="I514" s="149">
        <f t="shared" si="204"/>
        <v>33.18</v>
      </c>
      <c r="J514" s="149">
        <f t="shared" si="205"/>
        <v>1205.43</v>
      </c>
      <c r="L514" s="112"/>
    </row>
    <row r="515" spans="1:12" s="112" customFormat="1" ht="29.25" customHeight="1">
      <c r="A515" s="109" t="s">
        <v>991</v>
      </c>
      <c r="B515" s="145" t="s">
        <v>27</v>
      </c>
      <c r="C515" s="143"/>
      <c r="D515" s="143"/>
      <c r="E515" s="143"/>
      <c r="F515" s="143"/>
      <c r="G515" s="143"/>
      <c r="H515" s="143"/>
      <c r="I515" s="144"/>
      <c r="J515" s="113">
        <f>J516+J595+J606+J621+J646+J658+J660</f>
        <v>838745.17999999993</v>
      </c>
    </row>
    <row r="516" spans="1:12" s="112" customFormat="1" ht="29.25" customHeight="1">
      <c r="A516" s="109" t="s">
        <v>50</v>
      </c>
      <c r="B516" s="145" t="s">
        <v>360</v>
      </c>
      <c r="C516" s="143"/>
      <c r="D516" s="143"/>
      <c r="E516" s="143"/>
      <c r="F516" s="143"/>
      <c r="G516" s="143"/>
      <c r="H516" s="143"/>
      <c r="I516" s="144"/>
      <c r="J516" s="113">
        <f>J517+J528+J541+J562+J581+J593</f>
        <v>537522.24</v>
      </c>
    </row>
    <row r="517" spans="1:12" s="112" customFormat="1" ht="29.25" customHeight="1">
      <c r="A517" s="109" t="s">
        <v>361</v>
      </c>
      <c r="B517" s="145" t="s">
        <v>362</v>
      </c>
      <c r="C517" s="143"/>
      <c r="D517" s="143"/>
      <c r="E517" s="143"/>
      <c r="F517" s="143"/>
      <c r="G517" s="143"/>
      <c r="H517" s="143"/>
      <c r="I517" s="144"/>
      <c r="J517" s="113">
        <f>SUM(J518:J527)</f>
        <v>53450.92</v>
      </c>
    </row>
    <row r="518" spans="1:12" ht="14.25">
      <c r="A518" s="147" t="s">
        <v>363</v>
      </c>
      <c r="B518" s="148">
        <v>97669</v>
      </c>
      <c r="C518" s="164" t="s">
        <v>364</v>
      </c>
      <c r="D518" s="148" t="s">
        <v>119</v>
      </c>
      <c r="E518" s="148" t="s">
        <v>173</v>
      </c>
      <c r="F518" s="149">
        <v>152.21</v>
      </c>
      <c r="G518" s="149">
        <v>18.57</v>
      </c>
      <c r="H518" s="151">
        <f>'14 -BDI-EDIFICAÇÕES - SEM DESON'!$H$23</f>
        <v>0.2222616419077901</v>
      </c>
      <c r="I518" s="149">
        <f t="shared" ref="I518:I527" si="206">ROUND(G518*(1+H518),2)</f>
        <v>22.7</v>
      </c>
      <c r="J518" s="149">
        <f t="shared" ref="J518:J527" si="207">ROUND(ROUND(F518,2)*ROUND(I518,2),2)</f>
        <v>3455.17</v>
      </c>
      <c r="L518" s="112"/>
    </row>
    <row r="519" spans="1:12" ht="28.5">
      <c r="A519" s="147" t="s">
        <v>365</v>
      </c>
      <c r="B519" s="148">
        <v>91850</v>
      </c>
      <c r="C519" s="164" t="s">
        <v>368</v>
      </c>
      <c r="D519" s="148" t="s">
        <v>119</v>
      </c>
      <c r="E519" s="148" t="s">
        <v>173</v>
      </c>
      <c r="F519" s="149">
        <v>489.93</v>
      </c>
      <c r="G519" s="149">
        <v>10.199999999999999</v>
      </c>
      <c r="H519" s="151">
        <f>'14 -BDI-EDIFICAÇÕES - SEM DESON'!$H$23</f>
        <v>0.2222616419077901</v>
      </c>
      <c r="I519" s="149">
        <f t="shared" si="206"/>
        <v>12.47</v>
      </c>
      <c r="J519" s="149">
        <f t="shared" si="207"/>
        <v>6109.43</v>
      </c>
      <c r="L519" s="112"/>
    </row>
    <row r="520" spans="1:12" ht="28.5">
      <c r="A520" s="147" t="s">
        <v>366</v>
      </c>
      <c r="B520" s="148">
        <v>91865</v>
      </c>
      <c r="C520" s="164" t="s">
        <v>505</v>
      </c>
      <c r="D520" s="148" t="s">
        <v>119</v>
      </c>
      <c r="E520" s="148" t="s">
        <v>173</v>
      </c>
      <c r="F520" s="149">
        <v>31.11</v>
      </c>
      <c r="G520" s="149">
        <v>22.03</v>
      </c>
      <c r="H520" s="151">
        <f>'14 -BDI-EDIFICAÇÕES - SEM DESON'!$H$23</f>
        <v>0.2222616419077901</v>
      </c>
      <c r="I520" s="149">
        <f t="shared" si="206"/>
        <v>26.93</v>
      </c>
      <c r="J520" s="149">
        <f t="shared" si="207"/>
        <v>837.79</v>
      </c>
      <c r="L520" s="112"/>
    </row>
    <row r="521" spans="1:12" ht="14.25">
      <c r="A521" s="147" t="s">
        <v>367</v>
      </c>
      <c r="B521" s="148">
        <v>91856</v>
      </c>
      <c r="C521" s="164" t="s">
        <v>421</v>
      </c>
      <c r="D521" s="148" t="s">
        <v>119</v>
      </c>
      <c r="E521" s="148" t="s">
        <v>173</v>
      </c>
      <c r="F521" s="149">
        <v>14.53</v>
      </c>
      <c r="G521" s="149">
        <v>14</v>
      </c>
      <c r="H521" s="151">
        <f>'14 -BDI-EDIFICAÇÕES - SEM DESON'!$H$23</f>
        <v>0.2222616419077901</v>
      </c>
      <c r="I521" s="149">
        <f t="shared" si="206"/>
        <v>17.11</v>
      </c>
      <c r="J521" s="149">
        <f t="shared" si="207"/>
        <v>248.61</v>
      </c>
      <c r="L521" s="112"/>
    </row>
    <row r="522" spans="1:12" ht="28.5">
      <c r="A522" s="147" t="s">
        <v>504</v>
      </c>
      <c r="B522" s="148">
        <v>91854</v>
      </c>
      <c r="C522" s="164" t="s">
        <v>420</v>
      </c>
      <c r="D522" s="148" t="s">
        <v>119</v>
      </c>
      <c r="E522" s="148" t="s">
        <v>173</v>
      </c>
      <c r="F522" s="149">
        <v>340.03</v>
      </c>
      <c r="G522" s="149">
        <v>10.84</v>
      </c>
      <c r="H522" s="151">
        <f>'14 -BDI-EDIFICAÇÕES - SEM DESON'!$H$23</f>
        <v>0.2222616419077901</v>
      </c>
      <c r="I522" s="149">
        <f t="shared" si="206"/>
        <v>13.25</v>
      </c>
      <c r="J522" s="149">
        <f t="shared" si="207"/>
        <v>4505.3999999999996</v>
      </c>
      <c r="L522" s="112"/>
    </row>
    <row r="523" spans="1:12" ht="28.5">
      <c r="A523" s="147" t="s">
        <v>506</v>
      </c>
      <c r="B523" s="148" t="s">
        <v>1969</v>
      </c>
      <c r="C523" s="164" t="s">
        <v>1936</v>
      </c>
      <c r="D523" s="148" t="s">
        <v>1881</v>
      </c>
      <c r="E523" s="148" t="s">
        <v>173</v>
      </c>
      <c r="F523" s="149">
        <v>162.74</v>
      </c>
      <c r="G523" s="149">
        <f>'5 - R. ANALÍTICO - MODIFICAD'!$H$1512</f>
        <v>23.63</v>
      </c>
      <c r="H523" s="151">
        <f>'14 -BDI-EDIFICAÇÕES - SEM DESON'!$H$23</f>
        <v>0.2222616419077901</v>
      </c>
      <c r="I523" s="149">
        <f t="shared" si="206"/>
        <v>28.88</v>
      </c>
      <c r="J523" s="149">
        <f t="shared" si="207"/>
        <v>4699.93</v>
      </c>
      <c r="L523" s="112"/>
    </row>
    <row r="524" spans="1:12" ht="14.25">
      <c r="A524" s="147" t="s">
        <v>507</v>
      </c>
      <c r="B524" s="148" t="s">
        <v>1970</v>
      </c>
      <c r="C524" s="164" t="s">
        <v>2525</v>
      </c>
      <c r="D524" s="148" t="s">
        <v>1881</v>
      </c>
      <c r="E524" s="148" t="s">
        <v>173</v>
      </c>
      <c r="F524" s="149">
        <v>71.05</v>
      </c>
      <c r="G524" s="149">
        <f>'5 - R. ANALÍTICO - MODIFICAD'!$H$342</f>
        <v>168.51999999999998</v>
      </c>
      <c r="H524" s="151">
        <f>'14 -BDI-EDIFICAÇÕES - SEM DESON'!$H$23</f>
        <v>0.2222616419077901</v>
      </c>
      <c r="I524" s="149">
        <f t="shared" si="206"/>
        <v>205.98</v>
      </c>
      <c r="J524" s="149">
        <f t="shared" si="207"/>
        <v>14634.88</v>
      </c>
      <c r="L524" s="112"/>
    </row>
    <row r="525" spans="1:12" ht="14.25">
      <c r="A525" s="147" t="s">
        <v>508</v>
      </c>
      <c r="B525" s="148" t="s">
        <v>1971</v>
      </c>
      <c r="C525" s="164" t="s">
        <v>1937</v>
      </c>
      <c r="D525" s="148" t="s">
        <v>1881</v>
      </c>
      <c r="E525" s="148" t="s">
        <v>173</v>
      </c>
      <c r="F525" s="149">
        <v>71.05</v>
      </c>
      <c r="G525" s="149">
        <f>'5 - R. ANALÍTICO - MODIFICAD'!$H$1524</f>
        <v>113.91</v>
      </c>
      <c r="H525" s="151">
        <f>'14 -BDI-EDIFICAÇÕES - SEM DESON'!$H$23</f>
        <v>0.2222616419077901</v>
      </c>
      <c r="I525" s="149">
        <f t="shared" si="206"/>
        <v>139.22999999999999</v>
      </c>
      <c r="J525" s="149">
        <f t="shared" si="207"/>
        <v>9892.2900000000009</v>
      </c>
      <c r="L525" s="112"/>
    </row>
    <row r="526" spans="1:12" ht="28.5">
      <c r="A526" s="147" t="s">
        <v>509</v>
      </c>
      <c r="B526" s="148" t="s">
        <v>1972</v>
      </c>
      <c r="C526" s="164" t="s">
        <v>2694</v>
      </c>
      <c r="D526" s="148" t="s">
        <v>1881</v>
      </c>
      <c r="E526" s="148" t="s">
        <v>173</v>
      </c>
      <c r="F526" s="149">
        <v>33.299999999999997</v>
      </c>
      <c r="G526" s="149">
        <f>'5 - R. ANALÍTICO - MODIFICAD'!$H$809</f>
        <v>74.290000000000006</v>
      </c>
      <c r="H526" s="151">
        <f>'14 -BDI-EDIFICAÇÕES - SEM DESON'!$H$23</f>
        <v>0.2222616419077901</v>
      </c>
      <c r="I526" s="149">
        <f t="shared" si="206"/>
        <v>90.8</v>
      </c>
      <c r="J526" s="149">
        <f t="shared" si="207"/>
        <v>3023.64</v>
      </c>
      <c r="L526" s="112"/>
    </row>
    <row r="527" spans="1:12" ht="28.5">
      <c r="A527" s="147" t="s">
        <v>510</v>
      </c>
      <c r="B527" s="148" t="s">
        <v>1973</v>
      </c>
      <c r="C527" s="164" t="s">
        <v>2527</v>
      </c>
      <c r="D527" s="148" t="s">
        <v>1881</v>
      </c>
      <c r="E527" s="148" t="s">
        <v>173</v>
      </c>
      <c r="F527" s="149">
        <v>99.29</v>
      </c>
      <c r="G527" s="149">
        <f>'5 - R. ANALÍTICO - MODIFICAD'!$H$357</f>
        <v>49.8</v>
      </c>
      <c r="H527" s="151">
        <f>'14 -BDI-EDIFICAÇÕES - SEM DESON'!$H$23</f>
        <v>0.2222616419077901</v>
      </c>
      <c r="I527" s="149">
        <f t="shared" si="206"/>
        <v>60.87</v>
      </c>
      <c r="J527" s="149">
        <f t="shared" si="207"/>
        <v>6043.78</v>
      </c>
      <c r="L527" s="112"/>
    </row>
    <row r="528" spans="1:12" s="112" customFormat="1" ht="29.25" customHeight="1">
      <c r="A528" s="109" t="s">
        <v>369</v>
      </c>
      <c r="B528" s="145" t="s">
        <v>370</v>
      </c>
      <c r="C528" s="143"/>
      <c r="D528" s="143"/>
      <c r="E528" s="143"/>
      <c r="F528" s="143"/>
      <c r="G528" s="143"/>
      <c r="H528" s="143"/>
      <c r="I528" s="144"/>
      <c r="J528" s="113">
        <f>SUM(J529:J540)</f>
        <v>20004.71</v>
      </c>
    </row>
    <row r="529" spans="1:12" s="112" customFormat="1" ht="14.25">
      <c r="A529" s="147" t="s">
        <v>371</v>
      </c>
      <c r="B529" s="148">
        <v>91940</v>
      </c>
      <c r="C529" s="164" t="s">
        <v>511</v>
      </c>
      <c r="D529" s="148" t="s">
        <v>119</v>
      </c>
      <c r="E529" s="148" t="s">
        <v>144</v>
      </c>
      <c r="F529" s="149">
        <v>119</v>
      </c>
      <c r="G529" s="149">
        <v>19.88</v>
      </c>
      <c r="H529" s="151">
        <f>'14 -BDI-EDIFICAÇÕES - SEM DESON'!$H$23</f>
        <v>0.2222616419077901</v>
      </c>
      <c r="I529" s="149">
        <f t="shared" ref="I529:I540" si="208">ROUND(G529*(1+H529),2)</f>
        <v>24.3</v>
      </c>
      <c r="J529" s="149">
        <f t="shared" ref="J529:J540" si="209">ROUND(ROUND(F529,2)*ROUND(I529,2),2)</f>
        <v>2891.7</v>
      </c>
    </row>
    <row r="530" spans="1:12" ht="14.25">
      <c r="A530" s="147" t="s">
        <v>372</v>
      </c>
      <c r="B530" s="148">
        <v>91943</v>
      </c>
      <c r="C530" s="164" t="s">
        <v>512</v>
      </c>
      <c r="D530" s="148" t="s">
        <v>119</v>
      </c>
      <c r="E530" s="148" t="s">
        <v>144</v>
      </c>
      <c r="F530" s="149">
        <v>19</v>
      </c>
      <c r="G530" s="149">
        <v>23.42</v>
      </c>
      <c r="H530" s="151">
        <f>'14 -BDI-EDIFICAÇÕES - SEM DESON'!$H$23</f>
        <v>0.2222616419077901</v>
      </c>
      <c r="I530" s="149">
        <f t="shared" si="208"/>
        <v>28.63</v>
      </c>
      <c r="J530" s="149">
        <f t="shared" si="209"/>
        <v>543.97</v>
      </c>
      <c r="L530" s="112"/>
    </row>
    <row r="531" spans="1:12" ht="14.25">
      <c r="A531" s="147" t="s">
        <v>373</v>
      </c>
      <c r="B531" s="148">
        <v>92865</v>
      </c>
      <c r="C531" s="164" t="s">
        <v>513</v>
      </c>
      <c r="D531" s="148" t="s">
        <v>119</v>
      </c>
      <c r="E531" s="148" t="s">
        <v>144</v>
      </c>
      <c r="F531" s="149">
        <v>3</v>
      </c>
      <c r="G531" s="149">
        <v>15.42</v>
      </c>
      <c r="H531" s="151">
        <f>'14 -BDI-EDIFICAÇÕES - SEM DESON'!$H$23</f>
        <v>0.2222616419077901</v>
      </c>
      <c r="I531" s="149">
        <f t="shared" si="208"/>
        <v>18.850000000000001</v>
      </c>
      <c r="J531" s="149">
        <f t="shared" si="209"/>
        <v>56.55</v>
      </c>
      <c r="L531" s="112"/>
    </row>
    <row r="532" spans="1:12" ht="42.75">
      <c r="A532" s="147" t="s">
        <v>374</v>
      </c>
      <c r="B532" s="148" t="s">
        <v>2951</v>
      </c>
      <c r="C532" s="164" t="s">
        <v>2982</v>
      </c>
      <c r="D532" s="148" t="s">
        <v>1881</v>
      </c>
      <c r="E532" s="148" t="s">
        <v>144</v>
      </c>
      <c r="F532" s="149">
        <v>2</v>
      </c>
      <c r="G532" s="149">
        <f>'5 - R. ANALÍTICO - MODIFICAD'!$H$941</f>
        <v>2146.7399999999998</v>
      </c>
      <c r="H532" s="151">
        <f>'14 -BDI-EDIFICAÇÕES - SEM DESON'!$H$23</f>
        <v>0.2222616419077901</v>
      </c>
      <c r="I532" s="149">
        <f t="shared" si="208"/>
        <v>2623.88</v>
      </c>
      <c r="J532" s="149">
        <f t="shared" si="209"/>
        <v>5247.76</v>
      </c>
      <c r="L532" s="112"/>
    </row>
    <row r="533" spans="1:12" ht="28.5">
      <c r="A533" s="147" t="s">
        <v>514</v>
      </c>
      <c r="B533" s="148">
        <v>97892</v>
      </c>
      <c r="C533" s="164" t="s">
        <v>515</v>
      </c>
      <c r="D533" s="148" t="s">
        <v>119</v>
      </c>
      <c r="E533" s="148" t="s">
        <v>144</v>
      </c>
      <c r="F533" s="149">
        <v>5</v>
      </c>
      <c r="G533" s="149">
        <v>423.91</v>
      </c>
      <c r="H533" s="151">
        <f>'14 -BDI-EDIFICAÇÕES - SEM DESON'!$H$23</f>
        <v>0.2222616419077901</v>
      </c>
      <c r="I533" s="149">
        <f t="shared" si="208"/>
        <v>518.13</v>
      </c>
      <c r="J533" s="149">
        <f t="shared" si="209"/>
        <v>2590.65</v>
      </c>
      <c r="L533" s="112"/>
    </row>
    <row r="534" spans="1:12" ht="28.5">
      <c r="A534" s="147" t="s">
        <v>516</v>
      </c>
      <c r="B534" s="148" t="s">
        <v>1974</v>
      </c>
      <c r="C534" s="164" t="s">
        <v>1938</v>
      </c>
      <c r="D534" s="148" t="s">
        <v>1881</v>
      </c>
      <c r="E534" s="148" t="s">
        <v>139</v>
      </c>
      <c r="F534" s="149">
        <v>0.72</v>
      </c>
      <c r="G534" s="149">
        <f>'5 - R. ANALÍTICO - MODIFICAD'!$H$1537</f>
        <v>2656.2</v>
      </c>
      <c r="H534" s="151">
        <f>'14 -BDI-EDIFICAÇÕES - SEM DESON'!$H$23</f>
        <v>0.2222616419077901</v>
      </c>
      <c r="I534" s="149">
        <f t="shared" si="208"/>
        <v>3246.57</v>
      </c>
      <c r="J534" s="149">
        <f t="shared" si="209"/>
        <v>2337.5300000000002</v>
      </c>
      <c r="L534" s="112"/>
    </row>
    <row r="535" spans="1:12" ht="28.5">
      <c r="A535" s="147" t="s">
        <v>517</v>
      </c>
      <c r="B535" s="148" t="s">
        <v>1975</v>
      </c>
      <c r="C535" s="164" t="s">
        <v>1939</v>
      </c>
      <c r="D535" s="148" t="s">
        <v>1881</v>
      </c>
      <c r="E535" s="148" t="s">
        <v>139</v>
      </c>
      <c r="F535" s="149">
        <v>0.48</v>
      </c>
      <c r="G535" s="149">
        <f>'5 - R. ANALÍTICO - MODIFICAD'!$H$1550</f>
        <v>2656.2</v>
      </c>
      <c r="H535" s="151">
        <f>'14 -BDI-EDIFICAÇÕES - SEM DESON'!$H$23</f>
        <v>0.2222616419077901</v>
      </c>
      <c r="I535" s="149">
        <f t="shared" si="208"/>
        <v>3246.57</v>
      </c>
      <c r="J535" s="149">
        <f t="shared" si="209"/>
        <v>1558.35</v>
      </c>
      <c r="L535" s="112"/>
    </row>
    <row r="536" spans="1:12" ht="28.5">
      <c r="A536" s="147" t="s">
        <v>518</v>
      </c>
      <c r="B536" s="148">
        <v>95781</v>
      </c>
      <c r="C536" s="164" t="s">
        <v>2665</v>
      </c>
      <c r="D536" s="148" t="s">
        <v>119</v>
      </c>
      <c r="E536" s="148" t="s">
        <v>144</v>
      </c>
      <c r="F536" s="149">
        <v>56</v>
      </c>
      <c r="G536" s="149">
        <v>34.85</v>
      </c>
      <c r="H536" s="151">
        <f>'14 -BDI-EDIFICAÇÕES - SEM DESON'!$H$23</f>
        <v>0.2222616419077901</v>
      </c>
      <c r="I536" s="149">
        <f t="shared" si="208"/>
        <v>42.6</v>
      </c>
      <c r="J536" s="149">
        <f t="shared" si="209"/>
        <v>2385.6</v>
      </c>
      <c r="L536" s="112"/>
    </row>
    <row r="537" spans="1:12" ht="28.5">
      <c r="A537" s="147" t="s">
        <v>519</v>
      </c>
      <c r="B537" s="148">
        <v>95789</v>
      </c>
      <c r="C537" s="164" t="s">
        <v>2666</v>
      </c>
      <c r="D537" s="148" t="s">
        <v>119</v>
      </c>
      <c r="E537" s="148" t="s">
        <v>144</v>
      </c>
      <c r="F537" s="149">
        <v>14</v>
      </c>
      <c r="G537" s="149">
        <v>39.5</v>
      </c>
      <c r="H537" s="151">
        <f>'14 -BDI-EDIFICAÇÕES - SEM DESON'!$H$23</f>
        <v>0.2222616419077901</v>
      </c>
      <c r="I537" s="149">
        <f t="shared" si="208"/>
        <v>48.28</v>
      </c>
      <c r="J537" s="149">
        <f t="shared" si="209"/>
        <v>675.92</v>
      </c>
      <c r="L537" s="112"/>
    </row>
    <row r="538" spans="1:12" ht="28.5">
      <c r="A538" s="147" t="s">
        <v>2659</v>
      </c>
      <c r="B538" s="148">
        <v>95796</v>
      </c>
      <c r="C538" s="164" t="s">
        <v>2667</v>
      </c>
      <c r="D538" s="148" t="s">
        <v>119</v>
      </c>
      <c r="E538" s="148" t="s">
        <v>144</v>
      </c>
      <c r="F538" s="149">
        <v>13</v>
      </c>
      <c r="G538" s="149">
        <v>46.36</v>
      </c>
      <c r="H538" s="151">
        <f>'14 -BDI-EDIFICAÇÕES - SEM DESON'!$H$23</f>
        <v>0.2222616419077901</v>
      </c>
      <c r="I538" s="149">
        <f t="shared" si="208"/>
        <v>56.66</v>
      </c>
      <c r="J538" s="149">
        <f t="shared" si="209"/>
        <v>736.58</v>
      </c>
      <c r="L538" s="112"/>
    </row>
    <row r="539" spans="1:12" ht="28.5">
      <c r="A539" s="147" t="s">
        <v>2660</v>
      </c>
      <c r="B539" s="148" t="s">
        <v>1976</v>
      </c>
      <c r="C539" s="164" t="s">
        <v>2662</v>
      </c>
      <c r="D539" s="148" t="s">
        <v>1881</v>
      </c>
      <c r="E539" s="148" t="s">
        <v>144</v>
      </c>
      <c r="F539" s="149">
        <v>5</v>
      </c>
      <c r="G539" s="149">
        <f>'5 - R. ANALÍTICO - MODIFICAD'!$H$837</f>
        <v>48.57</v>
      </c>
      <c r="H539" s="151">
        <f>'14 -BDI-EDIFICAÇÕES - SEM DESON'!$H$23</f>
        <v>0.2222616419077901</v>
      </c>
      <c r="I539" s="149">
        <f t="shared" si="208"/>
        <v>59.37</v>
      </c>
      <c r="J539" s="149">
        <f t="shared" si="209"/>
        <v>296.85000000000002</v>
      </c>
      <c r="L539" s="112"/>
    </row>
    <row r="540" spans="1:12" ht="28.5">
      <c r="A540" s="147" t="s">
        <v>2661</v>
      </c>
      <c r="B540" s="148" t="s">
        <v>1978</v>
      </c>
      <c r="C540" s="164" t="s">
        <v>2663</v>
      </c>
      <c r="D540" s="148" t="s">
        <v>1881</v>
      </c>
      <c r="E540" s="148" t="s">
        <v>144</v>
      </c>
      <c r="F540" s="149">
        <v>5</v>
      </c>
      <c r="G540" s="149">
        <f>'5 - R. ANALÍTICO - MODIFICAD'!$H$850</f>
        <v>111.8</v>
      </c>
      <c r="H540" s="151">
        <f>'14 -BDI-EDIFICAÇÕES - SEM DESON'!$H$23</f>
        <v>0.2222616419077901</v>
      </c>
      <c r="I540" s="149">
        <f t="shared" si="208"/>
        <v>136.65</v>
      </c>
      <c r="J540" s="149">
        <f t="shared" si="209"/>
        <v>683.25</v>
      </c>
      <c r="L540" s="112"/>
    </row>
    <row r="541" spans="1:12" s="112" customFormat="1" ht="29.25" customHeight="1">
      <c r="A541" s="109" t="s">
        <v>375</v>
      </c>
      <c r="B541" s="145" t="s">
        <v>376</v>
      </c>
      <c r="C541" s="143"/>
      <c r="D541" s="143"/>
      <c r="E541" s="143"/>
      <c r="F541" s="143"/>
      <c r="G541" s="143"/>
      <c r="H541" s="143"/>
      <c r="I541" s="144"/>
      <c r="J541" s="113">
        <f>SUM(J542:J561)</f>
        <v>35870.320000000007</v>
      </c>
    </row>
    <row r="542" spans="1:12" ht="14.25">
      <c r="A542" s="147" t="s">
        <v>377</v>
      </c>
      <c r="B542" s="148" t="s">
        <v>2011</v>
      </c>
      <c r="C542" s="164" t="s">
        <v>2606</v>
      </c>
      <c r="D542" s="148" t="s">
        <v>1881</v>
      </c>
      <c r="E542" s="148" t="s">
        <v>144</v>
      </c>
      <c r="F542" s="149">
        <v>24</v>
      </c>
      <c r="G542" s="149">
        <f>'5 - R. ANALÍTICO - MODIFICAD'!$H$718</f>
        <v>96.66</v>
      </c>
      <c r="H542" s="151">
        <f>'14 -BDI-EDIFICAÇÕES - SEM DESON'!$H$23</f>
        <v>0.2222616419077901</v>
      </c>
      <c r="I542" s="149">
        <f t="shared" ref="I542:I547" si="210">ROUND(G542*(1+H542),2)</f>
        <v>118.14</v>
      </c>
      <c r="J542" s="149">
        <f t="shared" ref="J542:J547" si="211">ROUND(ROUND(F542,2)*ROUND(I542,2),2)</f>
        <v>2835.36</v>
      </c>
      <c r="L542" s="112"/>
    </row>
    <row r="543" spans="1:12" ht="28.5">
      <c r="A543" s="147" t="s">
        <v>378</v>
      </c>
      <c r="B543" s="148">
        <v>93653</v>
      </c>
      <c r="C543" s="164" t="s">
        <v>520</v>
      </c>
      <c r="D543" s="148" t="s">
        <v>119</v>
      </c>
      <c r="E543" s="148" t="s">
        <v>144</v>
      </c>
      <c r="F543" s="149">
        <v>5</v>
      </c>
      <c r="G543" s="149">
        <v>16.079999999999998</v>
      </c>
      <c r="H543" s="151">
        <f>'14 -BDI-EDIFICAÇÕES - SEM DESON'!$H$23</f>
        <v>0.2222616419077901</v>
      </c>
      <c r="I543" s="149">
        <f t="shared" si="210"/>
        <v>19.649999999999999</v>
      </c>
      <c r="J543" s="149">
        <f t="shared" si="211"/>
        <v>98.25</v>
      </c>
      <c r="L543" s="112"/>
    </row>
    <row r="544" spans="1:12" ht="28.5">
      <c r="A544" s="147" t="s">
        <v>379</v>
      </c>
      <c r="B544" s="148">
        <v>93654</v>
      </c>
      <c r="C544" s="164" t="s">
        <v>2354</v>
      </c>
      <c r="D544" s="148" t="s">
        <v>119</v>
      </c>
      <c r="E544" s="148" t="s">
        <v>144</v>
      </c>
      <c r="F544" s="149">
        <v>11</v>
      </c>
      <c r="G544" s="149">
        <v>16.78</v>
      </c>
      <c r="H544" s="151">
        <f>'14 -BDI-EDIFICAÇÕES - SEM DESON'!$H$23</f>
        <v>0.2222616419077901</v>
      </c>
      <c r="I544" s="149">
        <f t="shared" si="210"/>
        <v>20.51</v>
      </c>
      <c r="J544" s="149">
        <f t="shared" si="211"/>
        <v>225.61</v>
      </c>
      <c r="L544" s="112"/>
    </row>
    <row r="545" spans="1:12" ht="28.5">
      <c r="A545" s="147" t="s">
        <v>380</v>
      </c>
      <c r="B545" s="148">
        <v>93655</v>
      </c>
      <c r="C545" s="164" t="s">
        <v>521</v>
      </c>
      <c r="D545" s="148" t="s">
        <v>119</v>
      </c>
      <c r="E545" s="148" t="s">
        <v>144</v>
      </c>
      <c r="F545" s="149">
        <v>15</v>
      </c>
      <c r="G545" s="149">
        <v>18.16</v>
      </c>
      <c r="H545" s="151">
        <f>'14 -BDI-EDIFICAÇÕES - SEM DESON'!$H$23</f>
        <v>0.2222616419077901</v>
      </c>
      <c r="I545" s="149">
        <f t="shared" si="210"/>
        <v>22.2</v>
      </c>
      <c r="J545" s="149">
        <f t="shared" si="211"/>
        <v>333</v>
      </c>
      <c r="L545" s="112"/>
    </row>
    <row r="546" spans="1:12" ht="28.5">
      <c r="A546" s="147" t="s">
        <v>381</v>
      </c>
      <c r="B546" s="148">
        <v>93656</v>
      </c>
      <c r="C546" s="164" t="s">
        <v>2355</v>
      </c>
      <c r="D546" s="148" t="s">
        <v>119</v>
      </c>
      <c r="E546" s="148" t="s">
        <v>144</v>
      </c>
      <c r="F546" s="149">
        <v>9</v>
      </c>
      <c r="G546" s="149">
        <v>18.16</v>
      </c>
      <c r="H546" s="151">
        <f>'14 -BDI-EDIFICAÇÕES - SEM DESON'!$H$23</f>
        <v>0.2222616419077901</v>
      </c>
      <c r="I546" s="149">
        <f t="shared" si="210"/>
        <v>22.2</v>
      </c>
      <c r="J546" s="149">
        <f t="shared" si="211"/>
        <v>199.8</v>
      </c>
      <c r="L546" s="112"/>
    </row>
    <row r="547" spans="1:12" s="112" customFormat="1" ht="28.5">
      <c r="A547" s="147" t="s">
        <v>522</v>
      </c>
      <c r="B547" s="148">
        <v>93657</v>
      </c>
      <c r="C547" s="164" t="s">
        <v>3257</v>
      </c>
      <c r="D547" s="148" t="s">
        <v>119</v>
      </c>
      <c r="E547" s="148" t="s">
        <v>144</v>
      </c>
      <c r="F547" s="149">
        <v>1</v>
      </c>
      <c r="G547" s="149">
        <v>19.82</v>
      </c>
      <c r="H547" s="151">
        <f>'14 -BDI-EDIFICAÇÕES - SEM DESON'!$H$23</f>
        <v>0.2222616419077901</v>
      </c>
      <c r="I547" s="149">
        <f t="shared" si="210"/>
        <v>24.23</v>
      </c>
      <c r="J547" s="149">
        <f t="shared" si="211"/>
        <v>24.23</v>
      </c>
    </row>
    <row r="548" spans="1:12" ht="28.5">
      <c r="A548" s="147" t="s">
        <v>523</v>
      </c>
      <c r="B548" s="148">
        <v>93664</v>
      </c>
      <c r="C548" s="164" t="s">
        <v>525</v>
      </c>
      <c r="D548" s="148" t="s">
        <v>119</v>
      </c>
      <c r="E548" s="148" t="s">
        <v>144</v>
      </c>
      <c r="F548" s="149">
        <v>2</v>
      </c>
      <c r="G548" s="149">
        <v>88.37</v>
      </c>
      <c r="H548" s="151">
        <f>'14 -BDI-EDIFICAÇÕES - SEM DESON'!$H$23</f>
        <v>0.2222616419077901</v>
      </c>
      <c r="I548" s="149">
        <f t="shared" ref="I548:I561" si="212">ROUND(G548*(1+H548),2)</f>
        <v>108.01</v>
      </c>
      <c r="J548" s="149">
        <f t="shared" ref="J548:J561" si="213">ROUND(ROUND(F548,2)*ROUND(I548,2),2)</f>
        <v>216.02</v>
      </c>
      <c r="L548" s="112"/>
    </row>
    <row r="549" spans="1:12" ht="28.5">
      <c r="A549" s="147" t="s">
        <v>524</v>
      </c>
      <c r="B549" s="148">
        <v>93670</v>
      </c>
      <c r="C549" s="164" t="s">
        <v>2356</v>
      </c>
      <c r="D549" s="148" t="s">
        <v>119</v>
      </c>
      <c r="E549" s="148" t="s">
        <v>144</v>
      </c>
      <c r="F549" s="149">
        <v>8</v>
      </c>
      <c r="G549" s="149">
        <v>106.99</v>
      </c>
      <c r="H549" s="151">
        <f>'14 -BDI-EDIFICAÇÕES - SEM DESON'!$H$23</f>
        <v>0.2222616419077901</v>
      </c>
      <c r="I549" s="149">
        <f t="shared" si="212"/>
        <v>130.77000000000001</v>
      </c>
      <c r="J549" s="149">
        <f t="shared" si="213"/>
        <v>1046.1600000000001</v>
      </c>
      <c r="L549" s="112"/>
    </row>
    <row r="550" spans="1:12" ht="28.5">
      <c r="A550" s="147" t="s">
        <v>526</v>
      </c>
      <c r="B550" s="148">
        <v>93673</v>
      </c>
      <c r="C550" s="164" t="s">
        <v>1273</v>
      </c>
      <c r="D550" s="148" t="s">
        <v>119</v>
      </c>
      <c r="E550" s="148" t="s">
        <v>144</v>
      </c>
      <c r="F550" s="149">
        <v>3</v>
      </c>
      <c r="G550" s="149">
        <v>130.07</v>
      </c>
      <c r="H550" s="151">
        <f>'14 -BDI-EDIFICAÇÕES - SEM DESON'!$H$23</f>
        <v>0.2222616419077901</v>
      </c>
      <c r="I550" s="149">
        <f t="shared" si="212"/>
        <v>158.97999999999999</v>
      </c>
      <c r="J550" s="149">
        <f t="shared" si="213"/>
        <v>476.94</v>
      </c>
      <c r="L550" s="112"/>
    </row>
    <row r="551" spans="1:12" ht="28.5">
      <c r="A551" s="147" t="s">
        <v>527</v>
      </c>
      <c r="B551" s="148">
        <v>101894</v>
      </c>
      <c r="C551" s="164" t="s">
        <v>529</v>
      </c>
      <c r="D551" s="148" t="s">
        <v>119</v>
      </c>
      <c r="E551" s="148" t="s">
        <v>144</v>
      </c>
      <c r="F551" s="149">
        <v>3</v>
      </c>
      <c r="G551" s="149">
        <v>212.88</v>
      </c>
      <c r="H551" s="151">
        <f>'14 -BDI-EDIFICAÇÕES - SEM DESON'!$H$23</f>
        <v>0.2222616419077901</v>
      </c>
      <c r="I551" s="149">
        <f t="shared" si="212"/>
        <v>260.2</v>
      </c>
      <c r="J551" s="149">
        <f t="shared" si="213"/>
        <v>780.6</v>
      </c>
      <c r="L551" s="112"/>
    </row>
    <row r="552" spans="1:12" ht="14.25">
      <c r="A552" s="147" t="s">
        <v>528</v>
      </c>
      <c r="B552" s="148">
        <v>101895</v>
      </c>
      <c r="C552" s="164" t="s">
        <v>2357</v>
      </c>
      <c r="D552" s="148" t="s">
        <v>119</v>
      </c>
      <c r="E552" s="148" t="s">
        <v>144</v>
      </c>
      <c r="F552" s="149">
        <v>4</v>
      </c>
      <c r="G552" s="149">
        <v>591.77</v>
      </c>
      <c r="H552" s="151">
        <f>'14 -BDI-EDIFICAÇÕES - SEM DESON'!$H$23</f>
        <v>0.2222616419077901</v>
      </c>
      <c r="I552" s="149">
        <f t="shared" si="212"/>
        <v>723.3</v>
      </c>
      <c r="J552" s="149">
        <f t="shared" si="213"/>
        <v>2893.2</v>
      </c>
      <c r="L552" s="112"/>
    </row>
    <row r="553" spans="1:12" ht="14.25">
      <c r="A553" s="147" t="s">
        <v>530</v>
      </c>
      <c r="B553" s="148">
        <v>101896</v>
      </c>
      <c r="C553" s="164" t="s">
        <v>2358</v>
      </c>
      <c r="D553" s="148" t="s">
        <v>119</v>
      </c>
      <c r="E553" s="148" t="s">
        <v>144</v>
      </c>
      <c r="F553" s="149">
        <v>2</v>
      </c>
      <c r="G553" s="149">
        <v>896.81</v>
      </c>
      <c r="H553" s="151">
        <f>'14 -BDI-EDIFICAÇÕES - SEM DESON'!$H$23</f>
        <v>0.2222616419077901</v>
      </c>
      <c r="I553" s="149">
        <f t="shared" si="212"/>
        <v>1096.1400000000001</v>
      </c>
      <c r="J553" s="149">
        <f t="shared" si="213"/>
        <v>2192.2800000000002</v>
      </c>
      <c r="L553" s="112"/>
    </row>
    <row r="554" spans="1:12" ht="14.25">
      <c r="A554" s="147" t="s">
        <v>531</v>
      </c>
      <c r="B554" s="148">
        <v>101896</v>
      </c>
      <c r="C554" s="164" t="s">
        <v>3258</v>
      </c>
      <c r="D554" s="148" t="s">
        <v>119</v>
      </c>
      <c r="E554" s="148" t="s">
        <v>144</v>
      </c>
      <c r="F554" s="149">
        <v>2</v>
      </c>
      <c r="G554" s="149">
        <v>896.81</v>
      </c>
      <c r="H554" s="151">
        <f>'14 -BDI-EDIFICAÇÕES - SEM DESON'!$H$23</f>
        <v>0.2222616419077901</v>
      </c>
      <c r="I554" s="149">
        <f t="shared" si="212"/>
        <v>1096.1400000000001</v>
      </c>
      <c r="J554" s="149">
        <f t="shared" si="213"/>
        <v>2192.2800000000002</v>
      </c>
      <c r="L554" s="112"/>
    </row>
    <row r="555" spans="1:12" ht="14.25">
      <c r="A555" s="147" t="s">
        <v>532</v>
      </c>
      <c r="B555" s="148" t="s">
        <v>1979</v>
      </c>
      <c r="C555" s="164" t="s">
        <v>2359</v>
      </c>
      <c r="D555" s="148" t="s">
        <v>1881</v>
      </c>
      <c r="E555" s="148" t="s">
        <v>144</v>
      </c>
      <c r="F555" s="149">
        <v>4</v>
      </c>
      <c r="G555" s="149">
        <f>'5 - R. ANALÍTICO - MODIFICAD'!$H$1574</f>
        <v>2080.69</v>
      </c>
      <c r="H555" s="151">
        <f>'14 -BDI-EDIFICAÇÕES - SEM DESON'!$H$23</f>
        <v>0.2222616419077901</v>
      </c>
      <c r="I555" s="149">
        <f t="shared" si="212"/>
        <v>2543.15</v>
      </c>
      <c r="J555" s="149">
        <f t="shared" si="213"/>
        <v>10172.6</v>
      </c>
      <c r="L555" s="112"/>
    </row>
    <row r="556" spans="1:12" s="112" customFormat="1" ht="14.25">
      <c r="A556" s="147" t="s">
        <v>533</v>
      </c>
      <c r="B556" s="148" t="s">
        <v>1980</v>
      </c>
      <c r="C556" s="164" t="s">
        <v>1940</v>
      </c>
      <c r="D556" s="148" t="s">
        <v>1881</v>
      </c>
      <c r="E556" s="148" t="s">
        <v>200</v>
      </c>
      <c r="F556" s="149">
        <v>40</v>
      </c>
      <c r="G556" s="149">
        <f>'5 - R. ANALÍTICO - MODIFICAD'!$H$1585</f>
        <v>127.58</v>
      </c>
      <c r="H556" s="151">
        <f>'14 -BDI-EDIFICAÇÕES - SEM DESON'!$H$23</f>
        <v>0.2222616419077901</v>
      </c>
      <c r="I556" s="149">
        <f t="shared" si="212"/>
        <v>155.94</v>
      </c>
      <c r="J556" s="149">
        <f t="shared" si="213"/>
        <v>6237.6</v>
      </c>
    </row>
    <row r="557" spans="1:12" ht="14.25">
      <c r="A557" s="147" t="s">
        <v>534</v>
      </c>
      <c r="B557" s="148">
        <v>101903</v>
      </c>
      <c r="C557" s="164" t="s">
        <v>535</v>
      </c>
      <c r="D557" s="148" t="s">
        <v>119</v>
      </c>
      <c r="E557" s="148" t="s">
        <v>144</v>
      </c>
      <c r="F557" s="149">
        <v>6</v>
      </c>
      <c r="G557" s="149">
        <v>439.67</v>
      </c>
      <c r="H557" s="151">
        <f>'14 -BDI-EDIFICAÇÕES - SEM DESON'!$H$23</f>
        <v>0.2222616419077901</v>
      </c>
      <c r="I557" s="149">
        <f t="shared" si="212"/>
        <v>537.39</v>
      </c>
      <c r="J557" s="149">
        <f t="shared" si="213"/>
        <v>3224.34</v>
      </c>
      <c r="L557" s="112"/>
    </row>
    <row r="558" spans="1:12" s="112" customFormat="1" ht="14.25">
      <c r="A558" s="147" t="s">
        <v>536</v>
      </c>
      <c r="B558" s="148" t="s">
        <v>1981</v>
      </c>
      <c r="C558" s="164" t="s">
        <v>1941</v>
      </c>
      <c r="D558" s="148" t="s">
        <v>1881</v>
      </c>
      <c r="E558" s="148" t="s">
        <v>144</v>
      </c>
      <c r="F558" s="149">
        <v>3</v>
      </c>
      <c r="G558" s="149">
        <f>'5 - R. ANALÍTICO - MODIFICAD'!$H$1597</f>
        <v>650.02</v>
      </c>
      <c r="H558" s="151">
        <f>'14 -BDI-EDIFICAÇÕES - SEM DESON'!$H$23</f>
        <v>0.2222616419077901</v>
      </c>
      <c r="I558" s="149">
        <f t="shared" si="212"/>
        <v>794.49</v>
      </c>
      <c r="J558" s="149">
        <f t="shared" si="213"/>
        <v>2383.4699999999998</v>
      </c>
    </row>
    <row r="559" spans="1:12" ht="28.5">
      <c r="A559" s="147" t="s">
        <v>537</v>
      </c>
      <c r="B559" s="148">
        <v>4814</v>
      </c>
      <c r="C559" s="164" t="s">
        <v>539</v>
      </c>
      <c r="D559" s="148" t="s">
        <v>119</v>
      </c>
      <c r="E559" s="148" t="s">
        <v>144</v>
      </c>
      <c r="F559" s="149">
        <v>3</v>
      </c>
      <c r="G559" s="149">
        <v>55.16</v>
      </c>
      <c r="H559" s="151">
        <f>'14 -BDI-EDIFICAÇÕES - SEM DESON'!$H$23</f>
        <v>0.2222616419077901</v>
      </c>
      <c r="I559" s="149">
        <f t="shared" si="212"/>
        <v>67.42</v>
      </c>
      <c r="J559" s="149">
        <f t="shared" si="213"/>
        <v>202.26</v>
      </c>
      <c r="L559" s="112"/>
    </row>
    <row r="560" spans="1:12" ht="14.25">
      <c r="A560" s="147" t="s">
        <v>540</v>
      </c>
      <c r="B560" s="148">
        <v>97054</v>
      </c>
      <c r="C560" s="164" t="s">
        <v>541</v>
      </c>
      <c r="D560" s="148" t="s">
        <v>119</v>
      </c>
      <c r="E560" s="148" t="s">
        <v>144</v>
      </c>
      <c r="F560" s="149">
        <v>3</v>
      </c>
      <c r="G560" s="149">
        <v>25.01</v>
      </c>
      <c r="H560" s="151">
        <f>'14 -BDI-EDIFICAÇÕES - SEM DESON'!$H$23</f>
        <v>0.2222616419077901</v>
      </c>
      <c r="I560" s="149">
        <f t="shared" si="212"/>
        <v>30.57</v>
      </c>
      <c r="J560" s="149">
        <f t="shared" si="213"/>
        <v>91.71</v>
      </c>
      <c r="L560" s="112"/>
    </row>
    <row r="561" spans="1:12" ht="28.5">
      <c r="A561" s="147" t="s">
        <v>542</v>
      </c>
      <c r="B561" s="148">
        <v>101632</v>
      </c>
      <c r="C561" s="164" t="s">
        <v>543</v>
      </c>
      <c r="D561" s="148" t="s">
        <v>119</v>
      </c>
      <c r="E561" s="148" t="s">
        <v>144</v>
      </c>
      <c r="F561" s="149">
        <v>1</v>
      </c>
      <c r="G561" s="149">
        <v>36.5</v>
      </c>
      <c r="H561" s="151">
        <f>'14 -BDI-EDIFICAÇÕES - SEM DESON'!$H$23</f>
        <v>0.2222616419077901</v>
      </c>
      <c r="I561" s="149">
        <f t="shared" si="212"/>
        <v>44.61</v>
      </c>
      <c r="J561" s="149">
        <f t="shared" si="213"/>
        <v>44.61</v>
      </c>
      <c r="L561" s="112"/>
    </row>
    <row r="562" spans="1:12" s="112" customFormat="1" ht="29.25" customHeight="1">
      <c r="A562" s="109" t="s">
        <v>382</v>
      </c>
      <c r="B562" s="145" t="s">
        <v>383</v>
      </c>
      <c r="C562" s="143"/>
      <c r="D562" s="143"/>
      <c r="E562" s="143"/>
      <c r="F562" s="143"/>
      <c r="G562" s="143"/>
      <c r="H562" s="143"/>
      <c r="I562" s="144"/>
      <c r="J562" s="113">
        <f>SUM(J563:J580)</f>
        <v>151944.79</v>
      </c>
    </row>
    <row r="563" spans="1:12" ht="28.5">
      <c r="A563" s="147" t="s">
        <v>544</v>
      </c>
      <c r="B563" s="148">
        <v>92001</v>
      </c>
      <c r="C563" s="164" t="s">
        <v>547</v>
      </c>
      <c r="D563" s="148" t="s">
        <v>119</v>
      </c>
      <c r="E563" s="148" t="s">
        <v>144</v>
      </c>
      <c r="F563" s="149">
        <v>7</v>
      </c>
      <c r="G563" s="149">
        <v>40.39</v>
      </c>
      <c r="H563" s="151">
        <f>'14 -BDI-EDIFICAÇÕES - SEM DESON'!$H$23</f>
        <v>0.2222616419077901</v>
      </c>
      <c r="I563" s="149">
        <f t="shared" ref="I563:I573" si="214">ROUND(G563*(1+H563),2)</f>
        <v>49.37</v>
      </c>
      <c r="J563" s="149">
        <f t="shared" ref="J563:J573" si="215">ROUND(ROUND(F563,2)*ROUND(I563,2),2)</f>
        <v>345.59</v>
      </c>
      <c r="L563" s="112"/>
    </row>
    <row r="564" spans="1:12" ht="28.5">
      <c r="A564" s="147" t="s">
        <v>546</v>
      </c>
      <c r="B564" s="148">
        <v>92008</v>
      </c>
      <c r="C564" s="164" t="s">
        <v>549</v>
      </c>
      <c r="D564" s="148" t="s">
        <v>119</v>
      </c>
      <c r="E564" s="148" t="s">
        <v>144</v>
      </c>
      <c r="F564" s="149">
        <v>112</v>
      </c>
      <c r="G564" s="149">
        <v>58.12</v>
      </c>
      <c r="H564" s="151">
        <f>'14 -BDI-EDIFICAÇÕES - SEM DESON'!$H$23</f>
        <v>0.2222616419077901</v>
      </c>
      <c r="I564" s="149">
        <f t="shared" si="214"/>
        <v>71.040000000000006</v>
      </c>
      <c r="J564" s="149">
        <f t="shared" si="215"/>
        <v>7956.48</v>
      </c>
      <c r="L564" s="112"/>
    </row>
    <row r="565" spans="1:12" ht="28.5">
      <c r="A565" s="147" t="s">
        <v>548</v>
      </c>
      <c r="B565" s="148">
        <v>92019</v>
      </c>
      <c r="C565" s="164" t="s">
        <v>551</v>
      </c>
      <c r="D565" s="148" t="s">
        <v>119</v>
      </c>
      <c r="E565" s="148" t="s">
        <v>144</v>
      </c>
      <c r="F565" s="149">
        <v>15</v>
      </c>
      <c r="G565" s="149">
        <v>106.65</v>
      </c>
      <c r="H565" s="151">
        <f>'14 -BDI-EDIFICAÇÕES - SEM DESON'!$H$23</f>
        <v>0.2222616419077901</v>
      </c>
      <c r="I565" s="149">
        <f t="shared" si="214"/>
        <v>130.35</v>
      </c>
      <c r="J565" s="149">
        <f t="shared" si="215"/>
        <v>1955.25</v>
      </c>
      <c r="L565" s="112"/>
    </row>
    <row r="566" spans="1:12" ht="28.5">
      <c r="A566" s="147" t="s">
        <v>550</v>
      </c>
      <c r="B566" s="148">
        <v>92000</v>
      </c>
      <c r="C566" s="164" t="s">
        <v>545</v>
      </c>
      <c r="D566" s="148" t="s">
        <v>119</v>
      </c>
      <c r="E566" s="148" t="s">
        <v>144</v>
      </c>
      <c r="F566" s="149">
        <v>15</v>
      </c>
      <c r="G566" s="149">
        <v>37.450000000000003</v>
      </c>
      <c r="H566" s="151">
        <f>'14 -BDI-EDIFICAÇÕES - SEM DESON'!$H$23</f>
        <v>0.2222616419077901</v>
      </c>
      <c r="I566" s="149">
        <f t="shared" si="214"/>
        <v>45.77</v>
      </c>
      <c r="J566" s="149">
        <f t="shared" si="215"/>
        <v>686.55</v>
      </c>
      <c r="L566" s="112"/>
    </row>
    <row r="567" spans="1:12" ht="28.5">
      <c r="A567" s="147" t="s">
        <v>552</v>
      </c>
      <c r="B567" s="148">
        <v>91955</v>
      </c>
      <c r="C567" s="164" t="s">
        <v>553</v>
      </c>
      <c r="D567" s="148" t="s">
        <v>119</v>
      </c>
      <c r="E567" s="148" t="s">
        <v>144</v>
      </c>
      <c r="F567" s="149">
        <v>13</v>
      </c>
      <c r="G567" s="149">
        <v>43.22</v>
      </c>
      <c r="H567" s="151">
        <f>'14 -BDI-EDIFICAÇÕES - SEM DESON'!$H$23</f>
        <v>0.2222616419077901</v>
      </c>
      <c r="I567" s="149">
        <f t="shared" si="214"/>
        <v>52.83</v>
      </c>
      <c r="J567" s="149">
        <f t="shared" si="215"/>
        <v>686.79</v>
      </c>
      <c r="L567" s="112"/>
    </row>
    <row r="568" spans="1:12" ht="28.5">
      <c r="A568" s="147" t="s">
        <v>554</v>
      </c>
      <c r="B568" s="148">
        <v>91969</v>
      </c>
      <c r="C568" s="164" t="s">
        <v>2362</v>
      </c>
      <c r="D568" s="148" t="s">
        <v>119</v>
      </c>
      <c r="E568" s="148" t="s">
        <v>144</v>
      </c>
      <c r="F568" s="149">
        <v>2</v>
      </c>
      <c r="G568" s="149">
        <v>96.18</v>
      </c>
      <c r="H568" s="151">
        <f>'14 -BDI-EDIFICAÇÕES - SEM DESON'!$H$23</f>
        <v>0.2222616419077901</v>
      </c>
      <c r="I568" s="149">
        <f t="shared" si="214"/>
        <v>117.56</v>
      </c>
      <c r="J568" s="149">
        <f t="shared" si="215"/>
        <v>235.12</v>
      </c>
      <c r="L568" s="112"/>
    </row>
    <row r="569" spans="1:12" ht="28.5">
      <c r="A569" s="147" t="s">
        <v>555</v>
      </c>
      <c r="B569" s="148">
        <v>91974</v>
      </c>
      <c r="C569" s="164" t="s">
        <v>556</v>
      </c>
      <c r="D569" s="148" t="s">
        <v>119</v>
      </c>
      <c r="E569" s="148" t="s">
        <v>144</v>
      </c>
      <c r="F569" s="149">
        <v>2</v>
      </c>
      <c r="G569" s="149">
        <v>79.38</v>
      </c>
      <c r="H569" s="151">
        <f>'14 -BDI-EDIFICAÇÕES - SEM DESON'!$H$23</f>
        <v>0.2222616419077901</v>
      </c>
      <c r="I569" s="149">
        <f t="shared" si="214"/>
        <v>97.02</v>
      </c>
      <c r="J569" s="149">
        <f t="shared" si="215"/>
        <v>194.04</v>
      </c>
      <c r="L569" s="112"/>
    </row>
    <row r="570" spans="1:12" ht="28.5">
      <c r="A570" s="147" t="s">
        <v>557</v>
      </c>
      <c r="B570" s="148">
        <v>92029</v>
      </c>
      <c r="C570" s="164" t="s">
        <v>558</v>
      </c>
      <c r="D570" s="148" t="s">
        <v>119</v>
      </c>
      <c r="E570" s="148" t="s">
        <v>144</v>
      </c>
      <c r="F570" s="149">
        <v>10</v>
      </c>
      <c r="G570" s="149">
        <v>68.209999999999994</v>
      </c>
      <c r="H570" s="151">
        <f>'14 -BDI-EDIFICAÇÕES - SEM DESON'!$H$23</f>
        <v>0.2222616419077901</v>
      </c>
      <c r="I570" s="149">
        <f t="shared" si="214"/>
        <v>83.37</v>
      </c>
      <c r="J570" s="149">
        <f t="shared" si="215"/>
        <v>833.7</v>
      </c>
      <c r="L570" s="112"/>
    </row>
    <row r="571" spans="1:12" s="112" customFormat="1" ht="14.25">
      <c r="A571" s="147" t="s">
        <v>559</v>
      </c>
      <c r="B571" s="148">
        <v>38091</v>
      </c>
      <c r="C571" s="164" t="s">
        <v>560</v>
      </c>
      <c r="D571" s="148" t="s">
        <v>119</v>
      </c>
      <c r="E571" s="148" t="s">
        <v>144</v>
      </c>
      <c r="F571" s="149">
        <v>7</v>
      </c>
      <c r="G571" s="149">
        <v>3.26</v>
      </c>
      <c r="H571" s="151">
        <f>'14 -BDI-EDIFICAÇÕES - SEM DESON'!$H$23</f>
        <v>0.2222616419077901</v>
      </c>
      <c r="I571" s="149">
        <f t="shared" si="214"/>
        <v>3.98</v>
      </c>
      <c r="J571" s="149">
        <f t="shared" si="215"/>
        <v>27.86</v>
      </c>
    </row>
    <row r="572" spans="1:12" s="112" customFormat="1" ht="14.25">
      <c r="A572" s="147" t="s">
        <v>561</v>
      </c>
      <c r="B572" s="148" t="s">
        <v>1982</v>
      </c>
      <c r="C572" s="164" t="s">
        <v>2677</v>
      </c>
      <c r="D572" s="148" t="s">
        <v>1881</v>
      </c>
      <c r="E572" s="148" t="s">
        <v>315</v>
      </c>
      <c r="F572" s="149">
        <v>2</v>
      </c>
      <c r="G572" s="149">
        <f>'5 - R. ANALÍTICO - MODIFICAD'!$H$1609</f>
        <v>600.09</v>
      </c>
      <c r="H572" s="151">
        <f>'14 -BDI-EDIFICAÇÕES - SEM DESON'!$H$23</f>
        <v>0.2222616419077901</v>
      </c>
      <c r="I572" s="149">
        <f t="shared" si="214"/>
        <v>733.47</v>
      </c>
      <c r="J572" s="149">
        <f t="shared" si="215"/>
        <v>1466.94</v>
      </c>
    </row>
    <row r="573" spans="1:12" s="219" customFormat="1" ht="42.75">
      <c r="A573" s="147" t="s">
        <v>562</v>
      </c>
      <c r="B573" s="148" t="s">
        <v>2136</v>
      </c>
      <c r="C573" s="164" t="s">
        <v>2611</v>
      </c>
      <c r="D573" s="148" t="s">
        <v>1881</v>
      </c>
      <c r="E573" s="148" t="s">
        <v>144</v>
      </c>
      <c r="F573" s="149">
        <v>39</v>
      </c>
      <c r="G573" s="149">
        <f>'5 - R. ANALÍTICO - MODIFICAD'!$H$749</f>
        <v>1104.9499999999998</v>
      </c>
      <c r="H573" s="151">
        <f>'14 -BDI-EDIFICAÇÕES - SEM DESON'!$H$23</f>
        <v>0.2222616419077901</v>
      </c>
      <c r="I573" s="149">
        <f t="shared" si="214"/>
        <v>1350.54</v>
      </c>
      <c r="J573" s="149">
        <f t="shared" si="215"/>
        <v>52671.06</v>
      </c>
      <c r="L573" s="112"/>
    </row>
    <row r="574" spans="1:12" s="219" customFormat="1" ht="28.5">
      <c r="A574" s="147" t="s">
        <v>563</v>
      </c>
      <c r="B574" s="148" t="s">
        <v>2189</v>
      </c>
      <c r="C574" s="164" t="s">
        <v>2533</v>
      </c>
      <c r="D574" s="148" t="s">
        <v>1881</v>
      </c>
      <c r="E574" s="148" t="s">
        <v>144</v>
      </c>
      <c r="F574" s="149">
        <v>71</v>
      </c>
      <c r="G574" s="149">
        <f>'5 - R. ANALÍTICO - MODIFICAD'!$H$405</f>
        <v>660.51</v>
      </c>
      <c r="H574" s="151">
        <f>'14 -BDI-EDIFICAÇÕES - SEM DESON'!$H$23</f>
        <v>0.2222616419077901</v>
      </c>
      <c r="I574" s="149">
        <f t="shared" ref="I574:I579" si="216">ROUND(G574*(1+H574),2)</f>
        <v>807.32</v>
      </c>
      <c r="J574" s="149">
        <f t="shared" ref="J574:J579" si="217">ROUND(ROUND(F574,2)*ROUND(I574,2),2)</f>
        <v>57319.72</v>
      </c>
      <c r="L574" s="112"/>
    </row>
    <row r="575" spans="1:12" ht="14.25">
      <c r="A575" s="147" t="s">
        <v>564</v>
      </c>
      <c r="B575" s="148" t="s">
        <v>2012</v>
      </c>
      <c r="C575" s="164" t="s">
        <v>2596</v>
      </c>
      <c r="D575" s="148" t="s">
        <v>1881</v>
      </c>
      <c r="E575" s="148" t="s">
        <v>144</v>
      </c>
      <c r="F575" s="149">
        <v>70</v>
      </c>
      <c r="G575" s="149">
        <f>'5 - R. ANALÍTICO - MODIFICAD'!$H$692</f>
        <v>143.82</v>
      </c>
      <c r="H575" s="151">
        <f>'14 -BDI-EDIFICAÇÕES - SEM DESON'!$H$23</f>
        <v>0.2222616419077901</v>
      </c>
      <c r="I575" s="149">
        <f t="shared" si="216"/>
        <v>175.79</v>
      </c>
      <c r="J575" s="149">
        <f t="shared" si="217"/>
        <v>12305.3</v>
      </c>
      <c r="L575" s="112"/>
    </row>
    <row r="576" spans="1:12" ht="14.25">
      <c r="A576" s="147" t="s">
        <v>565</v>
      </c>
      <c r="B576" s="148" t="s">
        <v>3259</v>
      </c>
      <c r="C576" s="164" t="s">
        <v>3260</v>
      </c>
      <c r="D576" s="148" t="s">
        <v>1881</v>
      </c>
      <c r="E576" s="148" t="s">
        <v>144</v>
      </c>
      <c r="F576" s="149">
        <v>6</v>
      </c>
      <c r="G576" s="149">
        <f>'5 - R. ANALÍTICO - MODIFICAD'!$H$997</f>
        <v>95.92</v>
      </c>
      <c r="H576" s="151">
        <f>'14 -BDI-EDIFICAÇÕES - SEM DESON'!$H$23</f>
        <v>0.2222616419077901</v>
      </c>
      <c r="I576" s="149">
        <f t="shared" si="216"/>
        <v>117.24</v>
      </c>
      <c r="J576" s="149">
        <f t="shared" si="217"/>
        <v>703.44</v>
      </c>
      <c r="L576" s="112"/>
    </row>
    <row r="577" spans="1:12" ht="14.25">
      <c r="A577" s="147" t="s">
        <v>2921</v>
      </c>
      <c r="B577" s="148" t="s">
        <v>1906</v>
      </c>
      <c r="C577" s="164" t="s">
        <v>2435</v>
      </c>
      <c r="D577" s="148" t="s">
        <v>1881</v>
      </c>
      <c r="E577" s="148" t="s">
        <v>144</v>
      </c>
      <c r="F577" s="149">
        <v>14</v>
      </c>
      <c r="G577" s="149">
        <f>'5 - R. ANALÍTICO - MODIFICAD'!$H$2077</f>
        <v>242.73000000000002</v>
      </c>
      <c r="H577" s="151">
        <f>'14 -BDI-EDIFICAÇÕES - SEM DESON'!$H$23</f>
        <v>0.2222616419077901</v>
      </c>
      <c r="I577" s="149">
        <f t="shared" si="216"/>
        <v>296.68</v>
      </c>
      <c r="J577" s="149">
        <f t="shared" si="217"/>
        <v>4153.5200000000004</v>
      </c>
      <c r="L577" s="112"/>
    </row>
    <row r="578" spans="1:12" ht="28.5">
      <c r="A578" s="147" t="s">
        <v>3263</v>
      </c>
      <c r="B578" s="148" t="s">
        <v>2922</v>
      </c>
      <c r="C578" s="164" t="s">
        <v>3544</v>
      </c>
      <c r="D578" s="148" t="s">
        <v>1881</v>
      </c>
      <c r="E578" s="148" t="s">
        <v>144</v>
      </c>
      <c r="F578" s="149">
        <v>6</v>
      </c>
      <c r="G578" s="149">
        <f>'5 - R. ANALÍTICO - MODIFICAD'!$H$926</f>
        <v>202.97</v>
      </c>
      <c r="H578" s="151">
        <f>'14 -BDI-EDIFICAÇÕES - SEM DESON'!$H$23</f>
        <v>0.2222616419077901</v>
      </c>
      <c r="I578" s="149">
        <f t="shared" si="216"/>
        <v>248.08</v>
      </c>
      <c r="J578" s="149">
        <f t="shared" si="217"/>
        <v>1488.48</v>
      </c>
      <c r="L578" s="112"/>
    </row>
    <row r="579" spans="1:12" ht="14.25">
      <c r="A579" s="147" t="s">
        <v>3261</v>
      </c>
      <c r="B579" s="148" t="s">
        <v>3262</v>
      </c>
      <c r="C579" s="164" t="s">
        <v>3545</v>
      </c>
      <c r="D579" s="148" t="s">
        <v>1881</v>
      </c>
      <c r="E579" s="148" t="s">
        <v>144</v>
      </c>
      <c r="F579" s="149">
        <v>24</v>
      </c>
      <c r="G579" s="149">
        <f>'5 - R. ANALÍTICO - MODIFICAD'!$H$1009</f>
        <v>300.10000000000002</v>
      </c>
      <c r="H579" s="151">
        <f>'14 -BDI-EDIFICAÇÕES - SEM DESON'!$H$23</f>
        <v>0.2222616419077901</v>
      </c>
      <c r="I579" s="149">
        <f t="shared" si="216"/>
        <v>366.8</v>
      </c>
      <c r="J579" s="149">
        <f t="shared" si="217"/>
        <v>8803.2000000000007</v>
      </c>
      <c r="L579" s="112"/>
    </row>
    <row r="580" spans="1:12" ht="28.5">
      <c r="A580" s="147" t="s">
        <v>3857</v>
      </c>
      <c r="B580" s="148" t="s">
        <v>3858</v>
      </c>
      <c r="C580" s="164" t="s">
        <v>3859</v>
      </c>
      <c r="D580" s="148" t="s">
        <v>1881</v>
      </c>
      <c r="E580" s="148" t="s">
        <v>144</v>
      </c>
      <c r="F580" s="149">
        <v>1</v>
      </c>
      <c r="G580" s="149">
        <f>'5 - R. ANALÍTICO - MODIFICAD'!H2423</f>
        <v>91.429999999999993</v>
      </c>
      <c r="H580" s="151">
        <f>'14 -BDI-EDIFICAÇÕES - SEM DESON'!$H$23</f>
        <v>0.2222616419077901</v>
      </c>
      <c r="I580" s="149">
        <f t="shared" ref="I580" si="218">ROUND(G580*(1+H580),2)</f>
        <v>111.75</v>
      </c>
      <c r="J580" s="149">
        <f t="shared" ref="J580" si="219">ROUND(ROUND(F580,2)*ROUND(I580,2),2)</f>
        <v>111.75</v>
      </c>
      <c r="L580" s="112"/>
    </row>
    <row r="581" spans="1:12" s="112" customFormat="1" ht="29.25" customHeight="1">
      <c r="A581" s="109" t="s">
        <v>384</v>
      </c>
      <c r="B581" s="145" t="s">
        <v>385</v>
      </c>
      <c r="D581" s="143"/>
      <c r="E581" s="143"/>
      <c r="F581" s="143"/>
      <c r="G581" s="143"/>
      <c r="H581" s="143"/>
      <c r="I581" s="144"/>
      <c r="J581" s="113">
        <f>SUM(J582:J592)</f>
        <v>177775.18</v>
      </c>
    </row>
    <row r="582" spans="1:12" ht="28.5">
      <c r="A582" s="147" t="s">
        <v>386</v>
      </c>
      <c r="B582" s="148">
        <v>92990</v>
      </c>
      <c r="C582" s="164" t="s">
        <v>566</v>
      </c>
      <c r="D582" s="148" t="s">
        <v>119</v>
      </c>
      <c r="E582" s="148" t="s">
        <v>173</v>
      </c>
      <c r="F582" s="149">
        <v>456.81</v>
      </c>
      <c r="G582" s="149">
        <v>95.93</v>
      </c>
      <c r="H582" s="151">
        <f>'14 -BDI-EDIFICAÇÕES - SEM DESON'!$H$23</f>
        <v>0.2222616419077901</v>
      </c>
      <c r="I582" s="149">
        <f t="shared" ref="I582:I592" si="220">ROUND(G582*(1+H582),2)</f>
        <v>117.25</v>
      </c>
      <c r="J582" s="149">
        <f t="shared" ref="J582:J592" si="221">ROUND(ROUND(F582,2)*ROUND(I582,2),2)</f>
        <v>53560.97</v>
      </c>
      <c r="L582" s="112"/>
    </row>
    <row r="583" spans="1:12" ht="28.5">
      <c r="A583" s="147" t="s">
        <v>388</v>
      </c>
      <c r="B583" s="148">
        <v>92986</v>
      </c>
      <c r="C583" s="164" t="s">
        <v>1121</v>
      </c>
      <c r="D583" s="148" t="s">
        <v>119</v>
      </c>
      <c r="E583" s="148" t="s">
        <v>173</v>
      </c>
      <c r="F583" s="149">
        <v>269.63</v>
      </c>
      <c r="G583" s="149">
        <v>47.58</v>
      </c>
      <c r="H583" s="151">
        <f>'14 -BDI-EDIFICAÇÕES - SEM DESON'!$H$23</f>
        <v>0.2222616419077901</v>
      </c>
      <c r="I583" s="149">
        <f t="shared" si="220"/>
        <v>58.16</v>
      </c>
      <c r="J583" s="149">
        <f t="shared" si="221"/>
        <v>15681.68</v>
      </c>
      <c r="L583" s="112"/>
    </row>
    <row r="584" spans="1:12" ht="28.5">
      <c r="A584" s="147" t="s">
        <v>568</v>
      </c>
      <c r="B584" s="148">
        <v>92984</v>
      </c>
      <c r="C584" s="164" t="s">
        <v>567</v>
      </c>
      <c r="D584" s="148" t="s">
        <v>119</v>
      </c>
      <c r="E584" s="148" t="s">
        <v>173</v>
      </c>
      <c r="F584" s="149">
        <v>30.93</v>
      </c>
      <c r="G584" s="149">
        <v>34.32</v>
      </c>
      <c r="H584" s="151">
        <f>'14 -BDI-EDIFICAÇÕES - SEM DESON'!$H$23</f>
        <v>0.2222616419077901</v>
      </c>
      <c r="I584" s="149">
        <f t="shared" si="220"/>
        <v>41.95</v>
      </c>
      <c r="J584" s="149">
        <f t="shared" si="221"/>
        <v>1297.51</v>
      </c>
      <c r="L584" s="112"/>
    </row>
    <row r="585" spans="1:12" ht="28.5">
      <c r="A585" s="147" t="s">
        <v>570</v>
      </c>
      <c r="B585" s="148">
        <v>91935</v>
      </c>
      <c r="C585" s="164" t="s">
        <v>569</v>
      </c>
      <c r="D585" s="148" t="s">
        <v>119</v>
      </c>
      <c r="E585" s="148" t="s">
        <v>173</v>
      </c>
      <c r="F585" s="149">
        <v>352.88</v>
      </c>
      <c r="G585" s="149">
        <v>30.87</v>
      </c>
      <c r="H585" s="151">
        <f>'14 -BDI-EDIFICAÇÕES - SEM DESON'!$H$23</f>
        <v>0.2222616419077901</v>
      </c>
      <c r="I585" s="149">
        <f t="shared" si="220"/>
        <v>37.729999999999997</v>
      </c>
      <c r="J585" s="149">
        <f t="shared" si="221"/>
        <v>13314.16</v>
      </c>
      <c r="L585" s="112"/>
    </row>
    <row r="586" spans="1:12" ht="28.5">
      <c r="A586" s="147" t="s">
        <v>571</v>
      </c>
      <c r="B586" s="148">
        <v>91930</v>
      </c>
      <c r="C586" s="164" t="s">
        <v>387</v>
      </c>
      <c r="D586" s="148" t="s">
        <v>119</v>
      </c>
      <c r="E586" s="148" t="s">
        <v>173</v>
      </c>
      <c r="F586" s="149">
        <v>2701.47</v>
      </c>
      <c r="G586" s="149">
        <v>11.32</v>
      </c>
      <c r="H586" s="151">
        <f>'14 -BDI-EDIFICAÇÕES - SEM DESON'!$H$23</f>
        <v>0.2222616419077901</v>
      </c>
      <c r="I586" s="149">
        <f t="shared" si="220"/>
        <v>13.84</v>
      </c>
      <c r="J586" s="149">
        <f t="shared" si="221"/>
        <v>37388.339999999997</v>
      </c>
      <c r="L586" s="112"/>
    </row>
    <row r="587" spans="1:12" ht="28.5">
      <c r="A587" s="147" t="s">
        <v>572</v>
      </c>
      <c r="B587" s="148">
        <v>91928</v>
      </c>
      <c r="C587" s="164" t="s">
        <v>389</v>
      </c>
      <c r="D587" s="148" t="s">
        <v>119</v>
      </c>
      <c r="E587" s="148" t="s">
        <v>173</v>
      </c>
      <c r="F587" s="149">
        <v>2437.62</v>
      </c>
      <c r="G587" s="149">
        <v>8.08</v>
      </c>
      <c r="H587" s="151">
        <f>'14 -BDI-EDIFICAÇÕES - SEM DESON'!$H$23</f>
        <v>0.2222616419077901</v>
      </c>
      <c r="I587" s="149">
        <f t="shared" si="220"/>
        <v>9.8800000000000008</v>
      </c>
      <c r="J587" s="149">
        <f t="shared" si="221"/>
        <v>24083.69</v>
      </c>
      <c r="L587" s="112"/>
    </row>
    <row r="588" spans="1:12" ht="28.5">
      <c r="A588" s="147" t="s">
        <v>574</v>
      </c>
      <c r="B588" s="148">
        <v>91926</v>
      </c>
      <c r="C588" s="164" t="s">
        <v>573</v>
      </c>
      <c r="D588" s="148" t="s">
        <v>119</v>
      </c>
      <c r="E588" s="148" t="s">
        <v>173</v>
      </c>
      <c r="F588" s="149">
        <v>4874.38</v>
      </c>
      <c r="G588" s="149">
        <v>5.18</v>
      </c>
      <c r="H588" s="151">
        <f>'14 -BDI-EDIFICAÇÕES - SEM DESON'!$H$23</f>
        <v>0.2222616419077901</v>
      </c>
      <c r="I588" s="149">
        <f t="shared" si="220"/>
        <v>6.33</v>
      </c>
      <c r="J588" s="149">
        <f t="shared" si="221"/>
        <v>30854.83</v>
      </c>
      <c r="L588" s="112"/>
    </row>
    <row r="589" spans="1:12" s="112" customFormat="1" ht="14.25">
      <c r="A589" s="147" t="s">
        <v>575</v>
      </c>
      <c r="B589" s="148" t="s">
        <v>1983</v>
      </c>
      <c r="C589" s="164" t="s">
        <v>1942</v>
      </c>
      <c r="D589" s="148" t="s">
        <v>1881</v>
      </c>
      <c r="E589" s="148" t="s">
        <v>144</v>
      </c>
      <c r="F589" s="149">
        <v>20</v>
      </c>
      <c r="G589" s="149">
        <f>'5 - R. ANALÍTICO - MODIFICAD'!$H$1621</f>
        <v>15.52</v>
      </c>
      <c r="H589" s="151">
        <f>'14 -BDI-EDIFICAÇÕES - SEM DESON'!$H$23</f>
        <v>0.2222616419077901</v>
      </c>
      <c r="I589" s="149">
        <f t="shared" si="220"/>
        <v>18.97</v>
      </c>
      <c r="J589" s="149">
        <f t="shared" si="221"/>
        <v>379.4</v>
      </c>
    </row>
    <row r="590" spans="1:12" s="112" customFormat="1" ht="14.25">
      <c r="A590" s="147" t="s">
        <v>576</v>
      </c>
      <c r="B590" s="148" t="s">
        <v>1977</v>
      </c>
      <c r="C590" s="164" t="s">
        <v>2363</v>
      </c>
      <c r="D590" s="148" t="s">
        <v>1881</v>
      </c>
      <c r="E590" s="148" t="s">
        <v>144</v>
      </c>
      <c r="F590" s="149">
        <v>20</v>
      </c>
      <c r="G590" s="149">
        <f>'5 - R. ANALÍTICO - MODIFICAD'!$H$1562</f>
        <v>11.75</v>
      </c>
      <c r="H590" s="151">
        <f>'14 -BDI-EDIFICAÇÕES - SEM DESON'!$H$23</f>
        <v>0.2222616419077901</v>
      </c>
      <c r="I590" s="149">
        <f t="shared" si="220"/>
        <v>14.36</v>
      </c>
      <c r="J590" s="149">
        <f t="shared" si="221"/>
        <v>287.2</v>
      </c>
    </row>
    <row r="591" spans="1:12" ht="14.25">
      <c r="A591" s="147" t="s">
        <v>577</v>
      </c>
      <c r="B591" s="148" t="s">
        <v>1984</v>
      </c>
      <c r="C591" s="164" t="s">
        <v>1943</v>
      </c>
      <c r="D591" s="148" t="s">
        <v>1881</v>
      </c>
      <c r="E591" s="148" t="s">
        <v>144</v>
      </c>
      <c r="F591" s="149">
        <v>10</v>
      </c>
      <c r="G591" s="149">
        <f>'5 - R. ANALÍTICO - MODIFICAD'!$H$1633</f>
        <v>10.59</v>
      </c>
      <c r="H591" s="151">
        <f>'14 -BDI-EDIFICAÇÕES - SEM DESON'!$H$23</f>
        <v>0.2222616419077901</v>
      </c>
      <c r="I591" s="149">
        <f t="shared" si="220"/>
        <v>12.94</v>
      </c>
      <c r="J591" s="149">
        <f t="shared" si="221"/>
        <v>129.4</v>
      </c>
      <c r="L591" s="112"/>
    </row>
    <row r="592" spans="1:12" ht="14.25">
      <c r="A592" s="147" t="s">
        <v>1086</v>
      </c>
      <c r="B592" s="148" t="s">
        <v>1985</v>
      </c>
      <c r="C592" s="164" t="s">
        <v>1944</v>
      </c>
      <c r="D592" s="148" t="s">
        <v>1881</v>
      </c>
      <c r="E592" s="148" t="s">
        <v>144</v>
      </c>
      <c r="F592" s="149">
        <v>35</v>
      </c>
      <c r="G592" s="149">
        <f>'5 - R. ANALÍTICO - MODIFICAD'!$H$1645</f>
        <v>18.649999999999999</v>
      </c>
      <c r="H592" s="151">
        <f>'14 -BDI-EDIFICAÇÕES - SEM DESON'!$H$23</f>
        <v>0.2222616419077901</v>
      </c>
      <c r="I592" s="149">
        <f t="shared" si="220"/>
        <v>22.8</v>
      </c>
      <c r="J592" s="149">
        <f t="shared" si="221"/>
        <v>798</v>
      </c>
      <c r="L592" s="112"/>
    </row>
    <row r="593" spans="1:12" s="112" customFormat="1" ht="29.25" customHeight="1">
      <c r="A593" s="109" t="s">
        <v>390</v>
      </c>
      <c r="B593" s="145" t="s">
        <v>391</v>
      </c>
      <c r="C593" s="143"/>
      <c r="D593" s="143"/>
      <c r="E593" s="143"/>
      <c r="F593" s="143"/>
      <c r="G593" s="143"/>
      <c r="H593" s="143"/>
      <c r="I593" s="144"/>
      <c r="J593" s="113">
        <f>J594</f>
        <v>98476.32</v>
      </c>
    </row>
    <row r="594" spans="1:12" ht="28.5">
      <c r="A594" s="147" t="s">
        <v>578</v>
      </c>
      <c r="B594" s="148" t="s">
        <v>2021</v>
      </c>
      <c r="C594" s="164" t="s">
        <v>2434</v>
      </c>
      <c r="D594" s="148" t="s">
        <v>1881</v>
      </c>
      <c r="E594" s="148" t="s">
        <v>144</v>
      </c>
      <c r="F594" s="149">
        <v>1</v>
      </c>
      <c r="G594" s="149">
        <f>'5 - R. ANALÍTICO - MODIFICAD'!$H$2573</f>
        <v>80568.94</v>
      </c>
      <c r="H594" s="151">
        <f>'14 -BDI-EDIFICAÇÕES - SEM DESON'!$H$23</f>
        <v>0.2222616419077901</v>
      </c>
      <c r="I594" s="149">
        <f>ROUND(G594*(1+H594),2)</f>
        <v>98476.32</v>
      </c>
      <c r="J594" s="149">
        <f>ROUND(ROUND(F594,2)*ROUND(I594,2),2)</f>
        <v>98476.32</v>
      </c>
      <c r="L594" s="112"/>
    </row>
    <row r="595" spans="1:12" s="112" customFormat="1" ht="29.25" customHeight="1">
      <c r="A595" s="109" t="s">
        <v>51</v>
      </c>
      <c r="B595" s="145" t="s">
        <v>392</v>
      </c>
      <c r="C595" s="143"/>
      <c r="D595" s="143"/>
      <c r="E595" s="143"/>
      <c r="F595" s="143"/>
      <c r="G595" s="143"/>
      <c r="H595" s="143"/>
      <c r="I595" s="144"/>
      <c r="J595" s="113">
        <f>SUM(J596:J605)</f>
        <v>40265.860000000008</v>
      </c>
    </row>
    <row r="596" spans="1:12" ht="28.5">
      <c r="A596" s="147" t="s">
        <v>393</v>
      </c>
      <c r="B596" s="148" t="s">
        <v>1986</v>
      </c>
      <c r="C596" s="164" t="s">
        <v>1945</v>
      </c>
      <c r="D596" s="148" t="s">
        <v>1881</v>
      </c>
      <c r="E596" s="148" t="s">
        <v>173</v>
      </c>
      <c r="F596" s="149">
        <v>287.54000000000002</v>
      </c>
      <c r="G596" s="149">
        <f>'5 - R. ANALÍTICO - MODIFICAD'!$H$1657</f>
        <v>36.96</v>
      </c>
      <c r="H596" s="151">
        <f>'14 -BDI-EDIFICAÇÕES - SEM DESON'!$H$23</f>
        <v>0.2222616419077901</v>
      </c>
      <c r="I596" s="149">
        <f t="shared" ref="I596:I605" si="222">ROUND(G596*(1+H596),2)</f>
        <v>45.17</v>
      </c>
      <c r="J596" s="149">
        <f t="shared" ref="J596:J605" si="223">ROUND(ROUND(F596,2)*ROUND(I596,2),2)</f>
        <v>12988.18</v>
      </c>
      <c r="L596" s="112"/>
    </row>
    <row r="597" spans="1:12" ht="14.25">
      <c r="A597" s="147" t="s">
        <v>394</v>
      </c>
      <c r="B597" s="148" t="s">
        <v>1987</v>
      </c>
      <c r="C597" s="164" t="s">
        <v>2221</v>
      </c>
      <c r="D597" s="148" t="s">
        <v>1881</v>
      </c>
      <c r="E597" s="148" t="s">
        <v>144</v>
      </c>
      <c r="F597" s="149">
        <v>31</v>
      </c>
      <c r="G597" s="149">
        <f>'5 - R. ANALÍTICO - MODIFICAD'!$H$1669</f>
        <v>18.41</v>
      </c>
      <c r="H597" s="151">
        <f>'14 -BDI-EDIFICAÇÕES - SEM DESON'!$H$23</f>
        <v>0.2222616419077901</v>
      </c>
      <c r="I597" s="149">
        <f t="shared" si="222"/>
        <v>22.5</v>
      </c>
      <c r="J597" s="149">
        <f t="shared" si="223"/>
        <v>697.5</v>
      </c>
      <c r="L597" s="112"/>
    </row>
    <row r="598" spans="1:12" ht="14.25">
      <c r="A598" s="147" t="s">
        <v>395</v>
      </c>
      <c r="B598" s="148" t="s">
        <v>1988</v>
      </c>
      <c r="C598" s="164" t="s">
        <v>1946</v>
      </c>
      <c r="D598" s="148" t="s">
        <v>1881</v>
      </c>
      <c r="E598" s="148" t="s">
        <v>144</v>
      </c>
      <c r="F598" s="149">
        <v>33</v>
      </c>
      <c r="G598" s="149">
        <f>'5 - R. ANALÍTICO - MODIFICAD'!$H$1681</f>
        <v>14.129999999999999</v>
      </c>
      <c r="H598" s="151">
        <f>'14 -BDI-EDIFICAÇÕES - SEM DESON'!$H$23</f>
        <v>0.2222616419077901</v>
      </c>
      <c r="I598" s="149">
        <f t="shared" si="222"/>
        <v>17.27</v>
      </c>
      <c r="J598" s="149">
        <f t="shared" si="223"/>
        <v>569.91</v>
      </c>
      <c r="L598" s="112"/>
    </row>
    <row r="599" spans="1:12" ht="14.25">
      <c r="A599" s="147" t="s">
        <v>396</v>
      </c>
      <c r="B599" s="148">
        <v>96977</v>
      </c>
      <c r="C599" s="164" t="s">
        <v>1267</v>
      </c>
      <c r="D599" s="148" t="s">
        <v>119</v>
      </c>
      <c r="E599" s="148" t="s">
        <v>173</v>
      </c>
      <c r="F599" s="149">
        <v>224.07</v>
      </c>
      <c r="G599" s="149">
        <v>71.98</v>
      </c>
      <c r="H599" s="151">
        <f>'14 -BDI-EDIFICAÇÕES - SEM DESON'!$H$23</f>
        <v>0.2222616419077901</v>
      </c>
      <c r="I599" s="149">
        <f t="shared" si="222"/>
        <v>87.98</v>
      </c>
      <c r="J599" s="149">
        <f t="shared" si="223"/>
        <v>19713.68</v>
      </c>
      <c r="L599" s="112"/>
    </row>
    <row r="600" spans="1:12" ht="14.25">
      <c r="A600" s="147" t="s">
        <v>397</v>
      </c>
      <c r="B600" s="148">
        <v>96985</v>
      </c>
      <c r="C600" s="164" t="s">
        <v>400</v>
      </c>
      <c r="D600" s="148" t="s">
        <v>119</v>
      </c>
      <c r="E600" s="148" t="s">
        <v>144</v>
      </c>
      <c r="F600" s="149">
        <v>16</v>
      </c>
      <c r="G600" s="149">
        <v>74.3</v>
      </c>
      <c r="H600" s="151">
        <f>'14 -BDI-EDIFICAÇÕES - SEM DESON'!$H$23</f>
        <v>0.2222616419077901</v>
      </c>
      <c r="I600" s="149">
        <f t="shared" si="222"/>
        <v>90.81</v>
      </c>
      <c r="J600" s="149">
        <f t="shared" si="223"/>
        <v>1452.96</v>
      </c>
      <c r="L600" s="112"/>
    </row>
    <row r="601" spans="1:12" s="112" customFormat="1" ht="28.5">
      <c r="A601" s="147" t="s">
        <v>398</v>
      </c>
      <c r="B601" s="148" t="s">
        <v>1991</v>
      </c>
      <c r="C601" s="164" t="s">
        <v>1947</v>
      </c>
      <c r="D601" s="148" t="s">
        <v>1881</v>
      </c>
      <c r="E601" s="148" t="s">
        <v>144</v>
      </c>
      <c r="F601" s="149">
        <v>21</v>
      </c>
      <c r="G601" s="149">
        <f>'5 - R. ANALÍTICO - MODIFICAD'!$H$1695</f>
        <v>38.89</v>
      </c>
      <c r="H601" s="151">
        <f>'14 -BDI-EDIFICAÇÕES - SEM DESON'!$H$23</f>
        <v>0.2222616419077901</v>
      </c>
      <c r="I601" s="149">
        <f t="shared" si="222"/>
        <v>47.53</v>
      </c>
      <c r="J601" s="149">
        <f t="shared" si="223"/>
        <v>998.13</v>
      </c>
    </row>
    <row r="602" spans="1:12" s="112" customFormat="1" ht="28.5">
      <c r="A602" s="147" t="s">
        <v>399</v>
      </c>
      <c r="B602" s="148" t="s">
        <v>1992</v>
      </c>
      <c r="C602" s="164" t="s">
        <v>1948</v>
      </c>
      <c r="D602" s="148" t="s">
        <v>1881</v>
      </c>
      <c r="E602" s="148" t="s">
        <v>144</v>
      </c>
      <c r="F602" s="149">
        <v>32</v>
      </c>
      <c r="G602" s="149">
        <f>'5 - R. ANALÍTICO - MODIFICAD'!$H$1709</f>
        <v>49.019999999999996</v>
      </c>
      <c r="H602" s="151">
        <f>'14 -BDI-EDIFICAÇÕES - SEM DESON'!$H$23</f>
        <v>0.2222616419077901</v>
      </c>
      <c r="I602" s="149">
        <f t="shared" si="222"/>
        <v>59.92</v>
      </c>
      <c r="J602" s="149">
        <f t="shared" si="223"/>
        <v>1917.44</v>
      </c>
    </row>
    <row r="603" spans="1:12" ht="28.5">
      <c r="A603" s="147" t="s">
        <v>401</v>
      </c>
      <c r="B603" s="148" t="s">
        <v>1993</v>
      </c>
      <c r="C603" s="164" t="s">
        <v>1949</v>
      </c>
      <c r="D603" s="148" t="s">
        <v>1881</v>
      </c>
      <c r="E603" s="148" t="s">
        <v>144</v>
      </c>
      <c r="F603" s="149">
        <v>1</v>
      </c>
      <c r="G603" s="149">
        <f>'5 - R. ANALÍTICO - MODIFICAD'!$H$1721</f>
        <v>493.07000000000005</v>
      </c>
      <c r="H603" s="151">
        <f>'14 -BDI-EDIFICAÇÕES - SEM DESON'!$H$23</f>
        <v>0.2222616419077901</v>
      </c>
      <c r="I603" s="149">
        <f t="shared" si="222"/>
        <v>602.66</v>
      </c>
      <c r="J603" s="149">
        <f t="shared" si="223"/>
        <v>602.66</v>
      </c>
      <c r="L603" s="112"/>
    </row>
    <row r="604" spans="1:12" s="112" customFormat="1" ht="28.5">
      <c r="A604" s="147" t="s">
        <v>402</v>
      </c>
      <c r="B604" s="148">
        <v>37560</v>
      </c>
      <c r="C604" s="164" t="s">
        <v>405</v>
      </c>
      <c r="D604" s="148" t="s">
        <v>119</v>
      </c>
      <c r="E604" s="148" t="s">
        <v>144</v>
      </c>
      <c r="F604" s="149">
        <v>14</v>
      </c>
      <c r="G604" s="149">
        <v>49.21</v>
      </c>
      <c r="H604" s="151">
        <f>'14 -BDI-EDIFICAÇÕES - SEM DESON'!$H$23</f>
        <v>0.2222616419077901</v>
      </c>
      <c r="I604" s="149">
        <f t="shared" si="222"/>
        <v>60.15</v>
      </c>
      <c r="J604" s="149">
        <f t="shared" si="223"/>
        <v>842.1</v>
      </c>
    </row>
    <row r="605" spans="1:12" s="112" customFormat="1" ht="28.5">
      <c r="A605" s="147" t="s">
        <v>403</v>
      </c>
      <c r="B605" s="148">
        <v>98111</v>
      </c>
      <c r="C605" s="164" t="s">
        <v>2292</v>
      </c>
      <c r="D605" s="148" t="s">
        <v>119</v>
      </c>
      <c r="E605" s="148" t="s">
        <v>144</v>
      </c>
      <c r="F605" s="149">
        <v>6</v>
      </c>
      <c r="G605" s="149">
        <v>65.900000000000006</v>
      </c>
      <c r="H605" s="151">
        <f>'14 -BDI-EDIFICAÇÕES - SEM DESON'!$H$23</f>
        <v>0.2222616419077901</v>
      </c>
      <c r="I605" s="149">
        <f t="shared" si="222"/>
        <v>80.55</v>
      </c>
      <c r="J605" s="149">
        <f t="shared" si="223"/>
        <v>483.3</v>
      </c>
    </row>
    <row r="606" spans="1:12" s="112" customFormat="1" ht="29.25" customHeight="1">
      <c r="A606" s="109" t="s">
        <v>408</v>
      </c>
      <c r="B606" s="145" t="s">
        <v>3549</v>
      </c>
      <c r="C606" s="143"/>
      <c r="D606" s="143"/>
      <c r="E606" s="143"/>
      <c r="F606" s="143"/>
      <c r="G606" s="143"/>
      <c r="H606" s="143"/>
      <c r="I606" s="144"/>
      <c r="J606" s="113">
        <f>J607+J612+J619</f>
        <v>48110.209999999992</v>
      </c>
    </row>
    <row r="607" spans="1:12" s="112" customFormat="1" ht="29.25" customHeight="1">
      <c r="A607" s="109" t="s">
        <v>410</v>
      </c>
      <c r="B607" s="145" t="s">
        <v>411</v>
      </c>
      <c r="C607" s="143"/>
      <c r="D607" s="143"/>
      <c r="E607" s="143"/>
      <c r="F607" s="143"/>
      <c r="G607" s="143"/>
      <c r="H607" s="143"/>
      <c r="I607" s="144"/>
      <c r="J607" s="113">
        <f>SUM(J608:J611)</f>
        <v>2837.85</v>
      </c>
    </row>
    <row r="608" spans="1:12" ht="28.5">
      <c r="A608" s="147" t="s">
        <v>412</v>
      </c>
      <c r="B608" s="148" t="s">
        <v>2438</v>
      </c>
      <c r="C608" s="164" t="s">
        <v>417</v>
      </c>
      <c r="D608" s="148" t="s">
        <v>119</v>
      </c>
      <c r="E608" s="148" t="s">
        <v>144</v>
      </c>
      <c r="F608" s="149">
        <v>24</v>
      </c>
      <c r="G608" s="149">
        <v>19.88</v>
      </c>
      <c r="H608" s="151">
        <f>'14 -BDI-EDIFICAÇÕES - SEM DESON'!$H$23</f>
        <v>0.2222616419077901</v>
      </c>
      <c r="I608" s="149">
        <f t="shared" ref="I608:I611" si="224">ROUND(G608*(1+H608),2)</f>
        <v>24.3</v>
      </c>
      <c r="J608" s="149">
        <f t="shared" ref="J608:J611" si="225">ROUND(ROUND(F608,2)*ROUND(I608,2),2)</f>
        <v>583.20000000000005</v>
      </c>
      <c r="L608" s="112"/>
    </row>
    <row r="609" spans="1:12" s="112" customFormat="1" ht="28.5">
      <c r="A609" s="147" t="s">
        <v>414</v>
      </c>
      <c r="B609" s="148">
        <v>91854</v>
      </c>
      <c r="C609" s="164" t="s">
        <v>420</v>
      </c>
      <c r="D609" s="148" t="s">
        <v>119</v>
      </c>
      <c r="E609" s="148" t="s">
        <v>173</v>
      </c>
      <c r="F609" s="149">
        <v>27.2</v>
      </c>
      <c r="G609" s="149">
        <v>10.84</v>
      </c>
      <c r="H609" s="151">
        <f>'14 -BDI-EDIFICAÇÕES - SEM DESON'!$H$23</f>
        <v>0.2222616419077901</v>
      </c>
      <c r="I609" s="149">
        <f t="shared" si="224"/>
        <v>13.25</v>
      </c>
      <c r="J609" s="149">
        <f t="shared" si="225"/>
        <v>360.4</v>
      </c>
    </row>
    <row r="610" spans="1:12" ht="14.25">
      <c r="A610" s="147" t="s">
        <v>416</v>
      </c>
      <c r="B610" s="148">
        <v>91856</v>
      </c>
      <c r="C610" s="164" t="s">
        <v>421</v>
      </c>
      <c r="D610" s="148" t="s">
        <v>119</v>
      </c>
      <c r="E610" s="148" t="s">
        <v>173</v>
      </c>
      <c r="F610" s="149">
        <v>73.83</v>
      </c>
      <c r="G610" s="149">
        <v>14</v>
      </c>
      <c r="H610" s="151">
        <f>'14 -BDI-EDIFICAÇÕES - SEM DESON'!$H$23</f>
        <v>0.2222616419077901</v>
      </c>
      <c r="I610" s="149">
        <f t="shared" si="224"/>
        <v>17.11</v>
      </c>
      <c r="J610" s="149">
        <f t="shared" si="225"/>
        <v>1263.23</v>
      </c>
      <c r="L610" s="112"/>
    </row>
    <row r="611" spans="1:12" ht="28.5">
      <c r="A611" s="147" t="s">
        <v>418</v>
      </c>
      <c r="B611" s="148">
        <v>91856</v>
      </c>
      <c r="C611" s="164" t="s">
        <v>2297</v>
      </c>
      <c r="D611" s="148" t="s">
        <v>119</v>
      </c>
      <c r="E611" s="148" t="s">
        <v>173</v>
      </c>
      <c r="F611" s="149">
        <v>36.880000000000003</v>
      </c>
      <c r="G611" s="149">
        <v>14</v>
      </c>
      <c r="H611" s="151">
        <f>'14 -BDI-EDIFICAÇÕES - SEM DESON'!$H$23</f>
        <v>0.2222616419077901</v>
      </c>
      <c r="I611" s="149">
        <f t="shared" si="224"/>
        <v>17.11</v>
      </c>
      <c r="J611" s="149">
        <f t="shared" si="225"/>
        <v>631.02</v>
      </c>
      <c r="L611" s="112"/>
    </row>
    <row r="612" spans="1:12" s="112" customFormat="1" ht="29.25" customHeight="1">
      <c r="A612" s="109" t="s">
        <v>422</v>
      </c>
      <c r="B612" s="145" t="s">
        <v>423</v>
      </c>
      <c r="C612" s="143"/>
      <c r="D612" s="143"/>
      <c r="E612" s="143"/>
      <c r="F612" s="143"/>
      <c r="G612" s="143"/>
      <c r="H612" s="143"/>
      <c r="I612" s="144"/>
      <c r="J612" s="113">
        <f>SUM(J613:J618)</f>
        <v>25280.199999999997</v>
      </c>
    </row>
    <row r="613" spans="1:12" ht="14.25">
      <c r="A613" s="147" t="s">
        <v>424</v>
      </c>
      <c r="B613" s="148">
        <v>38091</v>
      </c>
      <c r="C613" s="164" t="s">
        <v>560</v>
      </c>
      <c r="D613" s="148" t="s">
        <v>119</v>
      </c>
      <c r="E613" s="148" t="s">
        <v>144</v>
      </c>
      <c r="F613" s="149">
        <v>25</v>
      </c>
      <c r="G613" s="149">
        <v>3.26</v>
      </c>
      <c r="H613" s="151">
        <f>'14 -BDI-EDIFICAÇÕES - SEM DESON'!$H$23</f>
        <v>0.2222616419077901</v>
      </c>
      <c r="I613" s="149">
        <f t="shared" ref="I613:I617" si="226">ROUND(G613*(1+H613),2)</f>
        <v>3.98</v>
      </c>
      <c r="J613" s="149">
        <f t="shared" ref="J613:J617" si="227">ROUND(ROUND(F613,2)*ROUND(I613,2),2)</f>
        <v>99.5</v>
      </c>
      <c r="L613" s="112"/>
    </row>
    <row r="614" spans="1:12" s="112" customFormat="1" ht="28.5">
      <c r="A614" s="147" t="s">
        <v>426</v>
      </c>
      <c r="B614" s="148" t="s">
        <v>2013</v>
      </c>
      <c r="C614" s="164" t="s">
        <v>2608</v>
      </c>
      <c r="D614" s="148" t="s">
        <v>1881</v>
      </c>
      <c r="E614" s="148" t="s">
        <v>144</v>
      </c>
      <c r="F614" s="149">
        <v>25</v>
      </c>
      <c r="G614" s="149">
        <f>'5 - R. ANALÍTICO - MODIFICAD'!$H$730</f>
        <v>310.23</v>
      </c>
      <c r="H614" s="151">
        <f>'14 -BDI-EDIFICAÇÕES - SEM DESON'!$H$23</f>
        <v>0.2222616419077901</v>
      </c>
      <c r="I614" s="149">
        <f t="shared" si="226"/>
        <v>379.18</v>
      </c>
      <c r="J614" s="149">
        <f t="shared" si="227"/>
        <v>9479.5</v>
      </c>
    </row>
    <row r="615" spans="1:12" ht="14.25">
      <c r="A615" s="147" t="s">
        <v>427</v>
      </c>
      <c r="B615" s="148" t="s">
        <v>1997</v>
      </c>
      <c r="C615" s="164" t="s">
        <v>1951</v>
      </c>
      <c r="D615" s="148" t="s">
        <v>1881</v>
      </c>
      <c r="E615" s="148" t="s">
        <v>144</v>
      </c>
      <c r="F615" s="149">
        <v>2</v>
      </c>
      <c r="G615" s="149">
        <f>'5 - R. ANALÍTICO - MODIFICAD'!$H$1769</f>
        <v>33.67</v>
      </c>
      <c r="H615" s="151">
        <f>'14 -BDI-EDIFICAÇÕES - SEM DESON'!$H$23</f>
        <v>0.2222616419077901</v>
      </c>
      <c r="I615" s="149">
        <f t="shared" si="226"/>
        <v>41.15</v>
      </c>
      <c r="J615" s="149">
        <f t="shared" si="227"/>
        <v>82.3</v>
      </c>
      <c r="L615" s="112"/>
    </row>
    <row r="616" spans="1:12" ht="14.25">
      <c r="A616" s="147" t="s">
        <v>428</v>
      </c>
      <c r="B616" s="148" t="s">
        <v>2103</v>
      </c>
      <c r="C616" s="164" t="s">
        <v>2104</v>
      </c>
      <c r="D616" s="148" t="s">
        <v>1881</v>
      </c>
      <c r="E616" s="148" t="s">
        <v>144</v>
      </c>
      <c r="F616" s="149">
        <v>2</v>
      </c>
      <c r="G616" s="149">
        <f>'5 - R. ANALÍTICO - MODIFICAD'!$H$102</f>
        <v>1437.51</v>
      </c>
      <c r="H616" s="151">
        <f>'14 -BDI-EDIFICAÇÕES - SEM DESON'!$H$23</f>
        <v>0.2222616419077901</v>
      </c>
      <c r="I616" s="149">
        <f t="shared" si="226"/>
        <v>1757.01</v>
      </c>
      <c r="J616" s="149">
        <f t="shared" si="227"/>
        <v>3514.02</v>
      </c>
      <c r="L616" s="112"/>
    </row>
    <row r="617" spans="1:12" ht="14.25">
      <c r="A617" s="147" t="s">
        <v>429</v>
      </c>
      <c r="B617" s="148" t="s">
        <v>1998</v>
      </c>
      <c r="C617" s="164" t="s">
        <v>1952</v>
      </c>
      <c r="D617" s="148" t="s">
        <v>1881</v>
      </c>
      <c r="E617" s="148" t="s">
        <v>144</v>
      </c>
      <c r="F617" s="149">
        <v>2</v>
      </c>
      <c r="G617" s="149">
        <f>'5 - R. ANALÍTICO - MODIFICAD'!$H$1777</f>
        <v>96.61</v>
      </c>
      <c r="H617" s="151">
        <f>'14 -BDI-EDIFICAÇÕES - SEM DESON'!$H$23</f>
        <v>0.2222616419077901</v>
      </c>
      <c r="I617" s="149">
        <f t="shared" si="226"/>
        <v>118.08</v>
      </c>
      <c r="J617" s="149">
        <f t="shared" si="227"/>
        <v>236.16</v>
      </c>
      <c r="L617" s="112"/>
    </row>
    <row r="618" spans="1:12" ht="42.75">
      <c r="A618" s="147" t="s">
        <v>430</v>
      </c>
      <c r="B618" s="148" t="s">
        <v>2776</v>
      </c>
      <c r="C618" s="164" t="s">
        <v>1954</v>
      </c>
      <c r="D618" s="148" t="s">
        <v>1881</v>
      </c>
      <c r="E618" s="148" t="s">
        <v>144</v>
      </c>
      <c r="F618" s="149">
        <v>2</v>
      </c>
      <c r="G618" s="149">
        <f>'5 - R. ANALÍTICO - MODIFICAD'!$H$1789</f>
        <v>4855.2300000000005</v>
      </c>
      <c r="H618" s="151">
        <f>'14 -BDI-EDIFICAÇÕES - SEM DESON'!$H$23</f>
        <v>0.2222616419077901</v>
      </c>
      <c r="I618" s="149">
        <f t="shared" ref="I618" si="228">ROUND(G618*(1+H618),2)</f>
        <v>5934.36</v>
      </c>
      <c r="J618" s="149">
        <f t="shared" ref="J618" si="229">ROUND(ROUND(F618,2)*ROUND(I618,2),2)</f>
        <v>11868.72</v>
      </c>
      <c r="L618" s="112"/>
    </row>
    <row r="619" spans="1:12" s="112" customFormat="1" ht="29.25" customHeight="1">
      <c r="A619" s="109" t="s">
        <v>432</v>
      </c>
      <c r="B619" s="145" t="s">
        <v>385</v>
      </c>
      <c r="C619" s="143"/>
      <c r="D619" s="143"/>
      <c r="E619" s="143"/>
      <c r="F619" s="143"/>
      <c r="G619" s="143"/>
      <c r="H619" s="143"/>
      <c r="I619" s="144"/>
      <c r="J619" s="113">
        <f>J620</f>
        <v>19992.16</v>
      </c>
    </row>
    <row r="620" spans="1:12" ht="14.25">
      <c r="A620" s="147" t="s">
        <v>433</v>
      </c>
      <c r="B620" s="148">
        <v>100553</v>
      </c>
      <c r="C620" s="164" t="s">
        <v>2528</v>
      </c>
      <c r="D620" s="148" t="s">
        <v>119</v>
      </c>
      <c r="E620" s="148" t="s">
        <v>173</v>
      </c>
      <c r="F620" s="149">
        <v>554.26</v>
      </c>
      <c r="G620" s="149">
        <v>29.51</v>
      </c>
      <c r="H620" s="151">
        <f>'14 -BDI-EDIFICAÇÕES - SEM DESON'!$H$23</f>
        <v>0.2222616419077901</v>
      </c>
      <c r="I620" s="149">
        <f t="shared" ref="I620" si="230">ROUND(G620*(1+H620),2)</f>
        <v>36.07</v>
      </c>
      <c r="J620" s="149">
        <f t="shared" ref="J620" si="231">ROUND(ROUND(F620,2)*ROUND(I620,2),2)</f>
        <v>19992.16</v>
      </c>
      <c r="L620" s="112"/>
    </row>
    <row r="621" spans="1:12" s="112" customFormat="1" ht="29.25" customHeight="1">
      <c r="A621" s="109" t="s">
        <v>748</v>
      </c>
      <c r="B621" s="145" t="s">
        <v>3550</v>
      </c>
      <c r="C621" s="143"/>
      <c r="D621" s="143"/>
      <c r="E621" s="143"/>
      <c r="F621" s="143"/>
      <c r="G621" s="143"/>
      <c r="H621" s="143"/>
      <c r="I621" s="144"/>
      <c r="J621" s="113">
        <f>J622+J637+J644</f>
        <v>104295.08</v>
      </c>
    </row>
    <row r="622" spans="1:12" s="112" customFormat="1" ht="29.25" customHeight="1">
      <c r="A622" s="109" t="s">
        <v>750</v>
      </c>
      <c r="B622" s="145" t="s">
        <v>411</v>
      </c>
      <c r="C622" s="143"/>
      <c r="D622" s="143"/>
      <c r="E622" s="143"/>
      <c r="F622" s="143"/>
      <c r="G622" s="143"/>
      <c r="H622" s="143"/>
      <c r="I622" s="144"/>
      <c r="J622" s="113">
        <f>SUM(J623:J636)</f>
        <v>25124.959999999999</v>
      </c>
    </row>
    <row r="623" spans="1:12" ht="28.5">
      <c r="A623" s="147" t="s">
        <v>3551</v>
      </c>
      <c r="B623" s="148">
        <v>100560</v>
      </c>
      <c r="C623" s="164" t="s">
        <v>413</v>
      </c>
      <c r="D623" s="148" t="s">
        <v>119</v>
      </c>
      <c r="E623" s="148" t="s">
        <v>144</v>
      </c>
      <c r="F623" s="149">
        <v>1</v>
      </c>
      <c r="G623" s="149">
        <v>104.89</v>
      </c>
      <c r="H623" s="151">
        <f>'14 -BDI-EDIFICAÇÕES - SEM DESON'!$H$23</f>
        <v>0.2222616419077901</v>
      </c>
      <c r="I623" s="149">
        <f t="shared" ref="I623:I624" si="232">ROUND(G623*(1+H623),2)</f>
        <v>128.19999999999999</v>
      </c>
      <c r="J623" s="149">
        <f t="shared" ref="J623:J624" si="233">ROUND(ROUND(F623,2)*ROUND(I623,2),2)</f>
        <v>128.19999999999999</v>
      </c>
      <c r="L623" s="112"/>
    </row>
    <row r="624" spans="1:12" ht="14.25">
      <c r="A624" s="147" t="s">
        <v>3552</v>
      </c>
      <c r="B624" s="148">
        <v>100555</v>
      </c>
      <c r="C624" s="164" t="s">
        <v>415</v>
      </c>
      <c r="D624" s="148" t="s">
        <v>119</v>
      </c>
      <c r="E624" s="148" t="s">
        <v>144</v>
      </c>
      <c r="F624" s="149">
        <v>1</v>
      </c>
      <c r="G624" s="149">
        <v>1352.67</v>
      </c>
      <c r="H624" s="151">
        <f>'14 -BDI-EDIFICAÇÕES - SEM DESON'!$H$23</f>
        <v>0.2222616419077901</v>
      </c>
      <c r="I624" s="149">
        <f t="shared" si="232"/>
        <v>1653.32</v>
      </c>
      <c r="J624" s="149">
        <f t="shared" si="233"/>
        <v>1653.32</v>
      </c>
      <c r="L624" s="112"/>
    </row>
    <row r="625" spans="1:12" ht="14.25">
      <c r="A625" s="147" t="s">
        <v>3553</v>
      </c>
      <c r="B625" s="148" t="s">
        <v>1989</v>
      </c>
      <c r="C625" s="164" t="s">
        <v>2298</v>
      </c>
      <c r="D625" s="148" t="s">
        <v>1881</v>
      </c>
      <c r="E625" s="148" t="s">
        <v>144</v>
      </c>
      <c r="F625" s="149">
        <v>1</v>
      </c>
      <c r="G625" s="149">
        <f>'5 - R. ANALÍTICO - MODIFICAD'!$H$2110</f>
        <v>568.14</v>
      </c>
      <c r="H625" s="151">
        <f>'14 -BDI-EDIFICAÇÕES - SEM DESON'!$H$23</f>
        <v>0.2222616419077901</v>
      </c>
      <c r="I625" s="149">
        <f>ROUND(G625*(1+H625),2)</f>
        <v>694.42</v>
      </c>
      <c r="J625" s="149">
        <f>ROUND(ROUND(F625,2)*ROUND(I625,2),2)</f>
        <v>694.42</v>
      </c>
      <c r="L625" s="112"/>
    </row>
    <row r="626" spans="1:12" ht="28.5">
      <c r="A626" s="147" t="s">
        <v>3554</v>
      </c>
      <c r="B626" s="148">
        <v>91940</v>
      </c>
      <c r="C626" s="164" t="s">
        <v>417</v>
      </c>
      <c r="D626" s="148" t="s">
        <v>119</v>
      </c>
      <c r="E626" s="148" t="s">
        <v>144</v>
      </c>
      <c r="F626" s="149">
        <v>24</v>
      </c>
      <c r="G626" s="149">
        <v>19.8</v>
      </c>
      <c r="H626" s="151">
        <f>'14 -BDI-EDIFICAÇÕES - SEM DESON'!$H$23</f>
        <v>0.2222616419077901</v>
      </c>
      <c r="I626" s="149">
        <f t="shared" ref="I626:I631" si="234">ROUND(G626*(1+H626),2)</f>
        <v>24.2</v>
      </c>
      <c r="J626" s="149">
        <f t="shared" ref="J626:J631" si="235">ROUND(ROUND(F626,2)*ROUND(I626,2),2)</f>
        <v>580.79999999999995</v>
      </c>
      <c r="L626" s="112"/>
    </row>
    <row r="627" spans="1:12" ht="14.25">
      <c r="A627" s="147" t="s">
        <v>3555</v>
      </c>
      <c r="B627" s="148">
        <v>92872</v>
      </c>
      <c r="C627" s="164" t="s">
        <v>2436</v>
      </c>
      <c r="D627" s="148" t="s">
        <v>119</v>
      </c>
      <c r="E627" s="148" t="s">
        <v>144</v>
      </c>
      <c r="F627" s="149">
        <v>6</v>
      </c>
      <c r="G627" s="149">
        <v>13.17</v>
      </c>
      <c r="H627" s="151">
        <f>'14 -BDI-EDIFICAÇÕES - SEM DESON'!$H$23</f>
        <v>0.2222616419077901</v>
      </c>
      <c r="I627" s="149">
        <f t="shared" si="234"/>
        <v>16.100000000000001</v>
      </c>
      <c r="J627" s="149">
        <f t="shared" si="235"/>
        <v>96.6</v>
      </c>
      <c r="L627" s="112"/>
    </row>
    <row r="628" spans="1:12" ht="28.5">
      <c r="A628" s="147" t="s">
        <v>3556</v>
      </c>
      <c r="B628" s="148">
        <v>97667</v>
      </c>
      <c r="C628" s="164" t="s">
        <v>419</v>
      </c>
      <c r="D628" s="148" t="s">
        <v>119</v>
      </c>
      <c r="E628" s="148" t="s">
        <v>173</v>
      </c>
      <c r="F628" s="149">
        <v>64.77</v>
      </c>
      <c r="G628" s="149">
        <v>8.7799999999999994</v>
      </c>
      <c r="H628" s="151">
        <f>'14 -BDI-EDIFICAÇÕES - SEM DESON'!$H$23</f>
        <v>0.2222616419077901</v>
      </c>
      <c r="I628" s="149">
        <f t="shared" si="234"/>
        <v>10.73</v>
      </c>
      <c r="J628" s="149">
        <f t="shared" si="235"/>
        <v>694.98</v>
      </c>
      <c r="L628" s="112"/>
    </row>
    <row r="629" spans="1:12" ht="28.5">
      <c r="A629" s="147" t="s">
        <v>3557</v>
      </c>
      <c r="B629" s="148">
        <v>91854</v>
      </c>
      <c r="C629" s="164" t="s">
        <v>420</v>
      </c>
      <c r="D629" s="148" t="s">
        <v>119</v>
      </c>
      <c r="E629" s="148" t="s">
        <v>173</v>
      </c>
      <c r="F629" s="149">
        <v>61.88</v>
      </c>
      <c r="G629" s="149">
        <v>10.84</v>
      </c>
      <c r="H629" s="151">
        <f>'14 -BDI-EDIFICAÇÕES - SEM DESON'!$H$23</f>
        <v>0.2222616419077901</v>
      </c>
      <c r="I629" s="149">
        <f t="shared" si="234"/>
        <v>13.25</v>
      </c>
      <c r="J629" s="149">
        <f t="shared" si="235"/>
        <v>819.91</v>
      </c>
      <c r="L629" s="112"/>
    </row>
    <row r="630" spans="1:12" ht="14.25">
      <c r="A630" s="147" t="s">
        <v>3558</v>
      </c>
      <c r="B630" s="148">
        <v>91856</v>
      </c>
      <c r="C630" s="164" t="s">
        <v>421</v>
      </c>
      <c r="D630" s="148" t="s">
        <v>119</v>
      </c>
      <c r="E630" s="148" t="s">
        <v>173</v>
      </c>
      <c r="F630" s="149">
        <v>73.83</v>
      </c>
      <c r="G630" s="149">
        <v>14</v>
      </c>
      <c r="H630" s="151">
        <f>'14 -BDI-EDIFICAÇÕES - SEM DESON'!$H$23</f>
        <v>0.2222616419077901</v>
      </c>
      <c r="I630" s="149">
        <f t="shared" si="234"/>
        <v>17.11</v>
      </c>
      <c r="J630" s="149">
        <f t="shared" si="235"/>
        <v>1263.23</v>
      </c>
      <c r="L630" s="112"/>
    </row>
    <row r="631" spans="1:12" ht="28.5">
      <c r="A631" s="147" t="s">
        <v>3559</v>
      </c>
      <c r="B631" s="148">
        <v>91856</v>
      </c>
      <c r="C631" s="164" t="s">
        <v>2297</v>
      </c>
      <c r="D631" s="148" t="s">
        <v>119</v>
      </c>
      <c r="E631" s="148" t="s">
        <v>173</v>
      </c>
      <c r="F631" s="149">
        <v>36.880000000000003</v>
      </c>
      <c r="G631" s="149">
        <v>14</v>
      </c>
      <c r="H631" s="151">
        <f>'14 -BDI-EDIFICAÇÕES - SEM DESON'!$H$23</f>
        <v>0.2222616419077901</v>
      </c>
      <c r="I631" s="149">
        <f t="shared" si="234"/>
        <v>17.11</v>
      </c>
      <c r="J631" s="149">
        <f t="shared" si="235"/>
        <v>631.02</v>
      </c>
      <c r="L631" s="112"/>
    </row>
    <row r="632" spans="1:12" ht="28.5">
      <c r="A632" s="147" t="s">
        <v>3560</v>
      </c>
      <c r="B632" s="148" t="s">
        <v>1973</v>
      </c>
      <c r="C632" s="164" t="s">
        <v>2527</v>
      </c>
      <c r="D632" s="148" t="s">
        <v>1881</v>
      </c>
      <c r="E632" s="148" t="s">
        <v>173</v>
      </c>
      <c r="F632" s="149">
        <v>41.06</v>
      </c>
      <c r="G632" s="149">
        <f>'5 - R. ANALÍTICO - MODIFICAD'!$H$357</f>
        <v>49.8</v>
      </c>
      <c r="H632" s="151">
        <f>'14 -BDI-EDIFICAÇÕES - SEM DESON'!$H$23</f>
        <v>0.2222616419077901</v>
      </c>
      <c r="I632" s="149">
        <f>ROUND(G632*(1+H632),2)</f>
        <v>60.87</v>
      </c>
      <c r="J632" s="149">
        <f>ROUND(ROUND(F632,2)*ROUND(I632,2),2)</f>
        <v>2499.3200000000002</v>
      </c>
      <c r="L632" s="112"/>
    </row>
    <row r="633" spans="1:12" ht="28.5">
      <c r="A633" s="147" t="s">
        <v>3561</v>
      </c>
      <c r="B633" s="148" t="s">
        <v>1990</v>
      </c>
      <c r="C633" s="164" t="s">
        <v>2695</v>
      </c>
      <c r="D633" s="148" t="s">
        <v>1881</v>
      </c>
      <c r="E633" s="148" t="s">
        <v>173</v>
      </c>
      <c r="F633" s="149">
        <v>28.18</v>
      </c>
      <c r="G633" s="149">
        <f>'5 - R. ANALÍTICO - MODIFICAD'!$H$824</f>
        <v>74.290000000000006</v>
      </c>
      <c r="H633" s="151">
        <f>'14 -BDI-EDIFICAÇÕES - SEM DESON'!$H$23</f>
        <v>0.2222616419077901</v>
      </c>
      <c r="I633" s="149">
        <f>ROUND(G633*(1+H633),2)</f>
        <v>90.8</v>
      </c>
      <c r="J633" s="149">
        <f>ROUND(ROUND(F633,2)*ROUND(I633,2),2)</f>
        <v>2558.7399999999998</v>
      </c>
      <c r="L633" s="112"/>
    </row>
    <row r="634" spans="1:12" ht="28.5">
      <c r="A634" s="147" t="s">
        <v>3562</v>
      </c>
      <c r="B634" s="148" t="s">
        <v>1994</v>
      </c>
      <c r="C634" s="164" t="s">
        <v>3275</v>
      </c>
      <c r="D634" s="148" t="s">
        <v>1881</v>
      </c>
      <c r="E634" s="148" t="s">
        <v>173</v>
      </c>
      <c r="F634" s="149">
        <v>37.950000000000003</v>
      </c>
      <c r="G634" s="149">
        <f>'5 - R. ANALÍTICO - MODIFICAD'!H373</f>
        <v>151.79000000000002</v>
      </c>
      <c r="H634" s="151">
        <f>'14 -BDI-EDIFICAÇÕES - SEM DESON'!$H$23</f>
        <v>0.2222616419077901</v>
      </c>
      <c r="I634" s="149">
        <f>ROUND(G634*(1+H634),2)</f>
        <v>185.53</v>
      </c>
      <c r="J634" s="149">
        <f>ROUND(ROUND(F634,2)*ROUND(I634,2),2)</f>
        <v>7040.86</v>
      </c>
      <c r="L634" s="112"/>
    </row>
    <row r="635" spans="1:12" ht="14.25">
      <c r="A635" s="147" t="s">
        <v>3563</v>
      </c>
      <c r="B635" s="148" t="s">
        <v>1995</v>
      </c>
      <c r="C635" s="164" t="s">
        <v>2987</v>
      </c>
      <c r="D635" s="148" t="s">
        <v>1881</v>
      </c>
      <c r="E635" s="148" t="s">
        <v>173</v>
      </c>
      <c r="F635" s="149">
        <v>37.950000000000003</v>
      </c>
      <c r="G635" s="149">
        <f>'5 - R. ANALÍTICO - MODIFICAD'!$H$1746</f>
        <v>79.490000000000009</v>
      </c>
      <c r="H635" s="151">
        <f>'14 -BDI-EDIFICAÇÕES - SEM DESON'!$H$23</f>
        <v>0.2222616419077901</v>
      </c>
      <c r="I635" s="149">
        <f t="shared" ref="I635:I636" si="236">ROUND(G635*(1+H635),2)</f>
        <v>97.16</v>
      </c>
      <c r="J635" s="149">
        <f t="shared" ref="J635:J636" si="237">ROUND(ROUND(F635,2)*ROUND(I635,2),2)</f>
        <v>3687.22</v>
      </c>
      <c r="L635" s="112"/>
    </row>
    <row r="636" spans="1:12" ht="28.5">
      <c r="A636" s="147" t="s">
        <v>3677</v>
      </c>
      <c r="B636" s="148">
        <v>95796</v>
      </c>
      <c r="C636" s="164" t="s">
        <v>3678</v>
      </c>
      <c r="D636" s="148" t="s">
        <v>119</v>
      </c>
      <c r="E636" s="148" t="s">
        <v>144</v>
      </c>
      <c r="F636" s="149">
        <v>49</v>
      </c>
      <c r="G636" s="149">
        <v>46.36</v>
      </c>
      <c r="H636" s="151">
        <f>'14 -BDI-EDIFICAÇÕES - SEM DESON'!$H$23</f>
        <v>0.2222616419077901</v>
      </c>
      <c r="I636" s="149">
        <f t="shared" si="236"/>
        <v>56.66</v>
      </c>
      <c r="J636" s="149">
        <f t="shared" si="237"/>
        <v>2776.34</v>
      </c>
      <c r="L636" s="112"/>
    </row>
    <row r="637" spans="1:12" s="112" customFormat="1" ht="29.25" customHeight="1">
      <c r="A637" s="109" t="s">
        <v>3564</v>
      </c>
      <c r="B637" s="145" t="s">
        <v>423</v>
      </c>
      <c r="C637" s="143"/>
      <c r="D637" s="143"/>
      <c r="E637" s="143"/>
      <c r="F637" s="143"/>
      <c r="G637" s="143"/>
      <c r="H637" s="143"/>
      <c r="I637" s="144"/>
      <c r="J637" s="113">
        <f>SUM(J638:J643)</f>
        <v>36695.040000000001</v>
      </c>
    </row>
    <row r="638" spans="1:12" ht="14.25">
      <c r="A638" s="147" t="s">
        <v>3565</v>
      </c>
      <c r="B638" s="148" t="s">
        <v>2075</v>
      </c>
      <c r="C638" s="164" t="s">
        <v>2531</v>
      </c>
      <c r="D638" s="148" t="s">
        <v>1881</v>
      </c>
      <c r="E638" s="148" t="s">
        <v>144</v>
      </c>
      <c r="F638" s="149">
        <v>51</v>
      </c>
      <c r="G638" s="149">
        <f>'5 - R. ANALÍTICO - MODIFICAD'!$H$389</f>
        <v>193.51999999999998</v>
      </c>
      <c r="H638" s="151">
        <f>'14 -BDI-EDIFICAÇÕES - SEM DESON'!$H$23</f>
        <v>0.2222616419077901</v>
      </c>
      <c r="I638" s="149">
        <f>ROUND(G638*(1+H638),2)</f>
        <v>236.53</v>
      </c>
      <c r="J638" s="149">
        <f>ROUND(ROUND(F638,2)*ROUND(I638,2),2)</f>
        <v>12063.03</v>
      </c>
      <c r="L638" s="112"/>
    </row>
    <row r="639" spans="1:12" ht="14.25">
      <c r="A639" s="147" t="s">
        <v>3566</v>
      </c>
      <c r="B639" s="148" t="s">
        <v>1996</v>
      </c>
      <c r="C639" s="164" t="s">
        <v>1950</v>
      </c>
      <c r="D639" s="148" t="s">
        <v>1881</v>
      </c>
      <c r="E639" s="148" t="s">
        <v>144</v>
      </c>
      <c r="F639" s="149">
        <v>5</v>
      </c>
      <c r="G639" s="149">
        <f>'5 - R. ANALÍTICO - MODIFICAD'!$H$1757</f>
        <v>2222.61</v>
      </c>
      <c r="H639" s="151">
        <f>'14 -BDI-EDIFICAÇÕES - SEM DESON'!$H$23</f>
        <v>0.2222616419077901</v>
      </c>
      <c r="I639" s="149">
        <f>ROUND(G639*(1+H639),2)</f>
        <v>2716.61</v>
      </c>
      <c r="J639" s="149">
        <f>ROUND(ROUND(F639,2)*ROUND(I639,2),2)</f>
        <v>13583.05</v>
      </c>
      <c r="L639" s="112"/>
    </row>
    <row r="640" spans="1:12" ht="14.25">
      <c r="A640" s="147" t="s">
        <v>3567</v>
      </c>
      <c r="B640" s="148" t="s">
        <v>1997</v>
      </c>
      <c r="C640" s="164" t="s">
        <v>1951</v>
      </c>
      <c r="D640" s="148" t="s">
        <v>1881</v>
      </c>
      <c r="E640" s="148" t="s">
        <v>144</v>
      </c>
      <c r="F640" s="149">
        <v>4</v>
      </c>
      <c r="G640" s="149">
        <f>'5 - R. ANALÍTICO - MODIFICAD'!$H$1769</f>
        <v>33.67</v>
      </c>
      <c r="H640" s="151">
        <f>'14 -BDI-EDIFICAÇÕES - SEM DESON'!$H$23</f>
        <v>0.2222616419077901</v>
      </c>
      <c r="I640" s="149">
        <f t="shared" ref="I640:I642" si="238">ROUND(G640*(1+H640),2)</f>
        <v>41.15</v>
      </c>
      <c r="J640" s="149">
        <f t="shared" ref="J640:J642" si="239">ROUND(ROUND(F640,2)*ROUND(I640,2),2)</f>
        <v>164.6</v>
      </c>
      <c r="L640" s="112"/>
    </row>
    <row r="641" spans="1:12" ht="14.25">
      <c r="A641" s="147" t="s">
        <v>3568</v>
      </c>
      <c r="B641" s="148" t="s">
        <v>2103</v>
      </c>
      <c r="C641" s="164" t="s">
        <v>2104</v>
      </c>
      <c r="D641" s="148" t="s">
        <v>1881</v>
      </c>
      <c r="E641" s="148" t="s">
        <v>144</v>
      </c>
      <c r="F641" s="149">
        <v>4</v>
      </c>
      <c r="G641" s="149">
        <f>'5 - R. ANALÍTICO - MODIFICAD'!$H$102</f>
        <v>1437.51</v>
      </c>
      <c r="H641" s="151">
        <f>'14 -BDI-EDIFICAÇÕES - SEM DESON'!$H$23</f>
        <v>0.2222616419077901</v>
      </c>
      <c r="I641" s="149">
        <f t="shared" si="238"/>
        <v>1757.01</v>
      </c>
      <c r="J641" s="149">
        <f t="shared" si="239"/>
        <v>7028.04</v>
      </c>
      <c r="L641" s="112"/>
    </row>
    <row r="642" spans="1:12" ht="14.25">
      <c r="A642" s="147" t="s">
        <v>3569</v>
      </c>
      <c r="B642" s="148" t="s">
        <v>1998</v>
      </c>
      <c r="C642" s="164" t="s">
        <v>1952</v>
      </c>
      <c r="D642" s="148" t="s">
        <v>1881</v>
      </c>
      <c r="E642" s="148" t="s">
        <v>144</v>
      </c>
      <c r="F642" s="149">
        <v>4</v>
      </c>
      <c r="G642" s="149">
        <f>'5 - R. ANALÍTICO - MODIFICAD'!$H$1777</f>
        <v>96.61</v>
      </c>
      <c r="H642" s="151">
        <f>'14 -BDI-EDIFICAÇÕES - SEM DESON'!$H$23</f>
        <v>0.2222616419077901</v>
      </c>
      <c r="I642" s="149">
        <f t="shared" si="238"/>
        <v>118.08</v>
      </c>
      <c r="J642" s="149">
        <f t="shared" si="239"/>
        <v>472.32</v>
      </c>
      <c r="L642" s="112"/>
    </row>
    <row r="643" spans="1:12" ht="14.25">
      <c r="A643" s="147" t="s">
        <v>3570</v>
      </c>
      <c r="B643" s="148" t="s">
        <v>2076</v>
      </c>
      <c r="C643" s="164" t="s">
        <v>2371</v>
      </c>
      <c r="D643" s="148" t="s">
        <v>1881</v>
      </c>
      <c r="E643" s="148" t="s">
        <v>144</v>
      </c>
      <c r="F643" s="149">
        <v>360</v>
      </c>
      <c r="G643" s="149">
        <f>'5 - R. ANALÍTICO - MODIFICAD'!$H$2298</f>
        <v>7.69</v>
      </c>
      <c r="H643" s="151">
        <f>'14 -BDI-EDIFICAÇÕES - SEM DESON'!$H$23</f>
        <v>0.2222616419077901</v>
      </c>
      <c r="I643" s="149">
        <f>ROUND(G643*(1+H643),2)</f>
        <v>9.4</v>
      </c>
      <c r="J643" s="149">
        <f>ROUND(ROUND(F643,2)*ROUND(I643,2),2)</f>
        <v>3384</v>
      </c>
      <c r="L643" s="112"/>
    </row>
    <row r="644" spans="1:12" s="112" customFormat="1" ht="29.25" customHeight="1">
      <c r="A644" s="109" t="s">
        <v>3571</v>
      </c>
      <c r="B644" s="145" t="s">
        <v>385</v>
      </c>
      <c r="C644" s="143"/>
      <c r="D644" s="143"/>
      <c r="E644" s="143"/>
      <c r="F644" s="143"/>
      <c r="G644" s="143"/>
      <c r="H644" s="143"/>
      <c r="I644" s="144"/>
      <c r="J644" s="113">
        <f>J645</f>
        <v>42475.08</v>
      </c>
    </row>
    <row r="645" spans="1:12" ht="28.5">
      <c r="A645" s="147" t="s">
        <v>3595</v>
      </c>
      <c r="B645" s="148">
        <v>98299</v>
      </c>
      <c r="C645" s="164" t="s">
        <v>2159</v>
      </c>
      <c r="D645" s="148" t="s">
        <v>119</v>
      </c>
      <c r="E645" s="148" t="s">
        <v>173</v>
      </c>
      <c r="F645" s="149">
        <v>1331.09</v>
      </c>
      <c r="G645" s="149">
        <v>26.11</v>
      </c>
      <c r="H645" s="151">
        <f>'14 -BDI-EDIFICAÇÕES - SEM DESON'!$H$23</f>
        <v>0.2222616419077901</v>
      </c>
      <c r="I645" s="149">
        <f>ROUND(G645*(1+H645),2)</f>
        <v>31.91</v>
      </c>
      <c r="J645" s="149">
        <f>ROUND(ROUND(F645,2)*ROUND(I645,2),2)</f>
        <v>42475.08</v>
      </c>
      <c r="L645" s="112"/>
    </row>
    <row r="646" spans="1:12" s="112" customFormat="1" ht="29.25" customHeight="1">
      <c r="A646" s="109" t="s">
        <v>3572</v>
      </c>
      <c r="B646" s="145" t="s">
        <v>3573</v>
      </c>
      <c r="C646" s="143"/>
      <c r="D646" s="143"/>
      <c r="E646" s="143"/>
      <c r="F646" s="143"/>
      <c r="G646" s="143"/>
      <c r="H646" s="143"/>
      <c r="I646" s="144"/>
      <c r="J646" s="113">
        <f>J647+J649+J655</f>
        <v>8447.51</v>
      </c>
    </row>
    <row r="647" spans="1:12" s="112" customFormat="1" ht="29.25" customHeight="1">
      <c r="A647" s="109" t="s">
        <v>3574</v>
      </c>
      <c r="B647" s="145" t="s">
        <v>411</v>
      </c>
      <c r="C647" s="143"/>
      <c r="D647" s="143"/>
      <c r="E647" s="143"/>
      <c r="F647" s="143"/>
      <c r="G647" s="143"/>
      <c r="H647" s="143"/>
      <c r="I647" s="144"/>
      <c r="J647" s="113">
        <f>J648</f>
        <v>188.68</v>
      </c>
    </row>
    <row r="648" spans="1:12" ht="28.5">
      <c r="A648" s="147" t="s">
        <v>3596</v>
      </c>
      <c r="B648" s="148">
        <v>91854</v>
      </c>
      <c r="C648" s="164" t="s">
        <v>420</v>
      </c>
      <c r="D648" s="148" t="s">
        <v>119</v>
      </c>
      <c r="E648" s="148" t="s">
        <v>173</v>
      </c>
      <c r="F648" s="149">
        <v>14.24</v>
      </c>
      <c r="G648" s="149">
        <v>10.84</v>
      </c>
      <c r="H648" s="151">
        <f>'14 -BDI-EDIFICAÇÕES - SEM DESON'!$H$23</f>
        <v>0.2222616419077901</v>
      </c>
      <c r="I648" s="149">
        <f t="shared" ref="I648" si="240">ROUND(G648*(1+H648),2)</f>
        <v>13.25</v>
      </c>
      <c r="J648" s="149">
        <f t="shared" ref="J648" si="241">ROUND(ROUND(F648,2)*ROUND(I648,2),2)</f>
        <v>188.68</v>
      </c>
      <c r="L648" s="112"/>
    </row>
    <row r="649" spans="1:12" s="112" customFormat="1" ht="29.25" customHeight="1">
      <c r="A649" s="109" t="s">
        <v>3575</v>
      </c>
      <c r="B649" s="145" t="s">
        <v>423</v>
      </c>
      <c r="C649" s="143"/>
      <c r="D649" s="143"/>
      <c r="E649" s="143"/>
      <c r="F649" s="143"/>
      <c r="G649" s="143"/>
      <c r="H649" s="143"/>
      <c r="I649" s="144"/>
      <c r="J649" s="113">
        <f>SUM(J650:J654)</f>
        <v>6419.5</v>
      </c>
    </row>
    <row r="650" spans="1:12" ht="14.25">
      <c r="A650" s="147" t="s">
        <v>3577</v>
      </c>
      <c r="B650" s="148" t="s">
        <v>1997</v>
      </c>
      <c r="C650" s="164" t="s">
        <v>1951</v>
      </c>
      <c r="D650" s="148" t="s">
        <v>1881</v>
      </c>
      <c r="E650" s="148" t="s">
        <v>144</v>
      </c>
      <c r="F650" s="149">
        <v>1</v>
      </c>
      <c r="G650" s="149">
        <f>'5 - R. ANALÍTICO - MODIFICAD'!$H$1769</f>
        <v>33.67</v>
      </c>
      <c r="H650" s="151">
        <f>'14 -BDI-EDIFICAÇÕES - SEM DESON'!$H$23</f>
        <v>0.2222616419077901</v>
      </c>
      <c r="I650" s="149">
        <f t="shared" ref="I650:I651" si="242">ROUND(G650*(1+H650),2)</f>
        <v>41.15</v>
      </c>
      <c r="J650" s="149">
        <f t="shared" ref="J650:J651" si="243">ROUND(ROUND(F650,2)*ROUND(I650,2),2)</f>
        <v>41.15</v>
      </c>
      <c r="L650" s="112"/>
    </row>
    <row r="651" spans="1:12" ht="14.25">
      <c r="A651" s="147" t="s">
        <v>3578</v>
      </c>
      <c r="B651" s="148" t="s">
        <v>1998</v>
      </c>
      <c r="C651" s="164" t="s">
        <v>1952</v>
      </c>
      <c r="D651" s="148" t="s">
        <v>1881</v>
      </c>
      <c r="E651" s="148" t="s">
        <v>144</v>
      </c>
      <c r="F651" s="149">
        <v>1</v>
      </c>
      <c r="G651" s="149">
        <f>'5 - R. ANALÍTICO - MODIFICAD'!$H$1777</f>
        <v>96.61</v>
      </c>
      <c r="H651" s="151">
        <f>'14 -BDI-EDIFICAÇÕES - SEM DESON'!$H$23</f>
        <v>0.2222616419077901</v>
      </c>
      <c r="I651" s="149">
        <f t="shared" si="242"/>
        <v>118.08</v>
      </c>
      <c r="J651" s="149">
        <f t="shared" si="243"/>
        <v>118.08</v>
      </c>
      <c r="L651" s="112"/>
    </row>
    <row r="652" spans="1:12" ht="14.25">
      <c r="A652" s="147" t="s">
        <v>3579</v>
      </c>
      <c r="B652" s="148" t="s">
        <v>3269</v>
      </c>
      <c r="C652" s="164" t="s">
        <v>3272</v>
      </c>
      <c r="D652" s="148" t="s">
        <v>1881</v>
      </c>
      <c r="E652" s="148" t="s">
        <v>144</v>
      </c>
      <c r="F652" s="149">
        <v>4</v>
      </c>
      <c r="G652" s="149">
        <f>'5 - R. ANALÍTICO - MODIFICAD'!$H$2384</f>
        <v>42.459999999999994</v>
      </c>
      <c r="H652" s="151">
        <f>'14 -BDI-EDIFICAÇÕES - SEM DESON'!$H$23</f>
        <v>0.2222616419077901</v>
      </c>
      <c r="I652" s="149">
        <f>ROUND(G652*(1+H652),2)</f>
        <v>51.9</v>
      </c>
      <c r="J652" s="149">
        <f>ROUND(ROUND(F652,2)*ROUND(I652,2),2)</f>
        <v>207.6</v>
      </c>
      <c r="L652" s="112"/>
    </row>
    <row r="653" spans="1:12" ht="28.5">
      <c r="A653" s="147" t="s">
        <v>3580</v>
      </c>
      <c r="B653" s="148" t="s">
        <v>2014</v>
      </c>
      <c r="C653" s="164" t="s">
        <v>1953</v>
      </c>
      <c r="D653" s="148" t="s">
        <v>1881</v>
      </c>
      <c r="E653" s="148" t="s">
        <v>144</v>
      </c>
      <c r="F653" s="149">
        <v>4</v>
      </c>
      <c r="G653" s="149">
        <f>'5 - R. ANALÍTICO - MODIFICAD'!$H$2221</f>
        <v>490</v>
      </c>
      <c r="H653" s="151">
        <f>'14 -BDI-EDIFICAÇÕES - SEM DESON'!$H$23</f>
        <v>0.2222616419077901</v>
      </c>
      <c r="I653" s="149">
        <f>ROUND(G653*(1+H653),2)</f>
        <v>598.91</v>
      </c>
      <c r="J653" s="149">
        <f>ROUND(ROUND(F653,2)*ROUND(I653,2),2)</f>
        <v>2395.64</v>
      </c>
      <c r="L653" s="112"/>
    </row>
    <row r="654" spans="1:12" ht="14.25">
      <c r="A654" s="147" t="s">
        <v>3581</v>
      </c>
      <c r="B654" s="148" t="s">
        <v>2855</v>
      </c>
      <c r="C654" s="165" t="s">
        <v>3679</v>
      </c>
      <c r="D654" s="148" t="s">
        <v>1881</v>
      </c>
      <c r="E654" s="148" t="s">
        <v>144</v>
      </c>
      <c r="F654" s="149">
        <v>1</v>
      </c>
      <c r="G654" s="149">
        <f>'5 - R. ANALÍTICO - MODIFICAD'!$H$2341</f>
        <v>2992.02</v>
      </c>
      <c r="H654" s="151">
        <f>'14 -BDI-EDIFICAÇÕES - SEM DESON'!$H$23</f>
        <v>0.2222616419077901</v>
      </c>
      <c r="I654" s="149">
        <f>ROUND(G654*(1+H654),2)</f>
        <v>3657.03</v>
      </c>
      <c r="J654" s="149">
        <f>ROUND(ROUND(F654,2)*ROUND(I654,2),2)</f>
        <v>3657.03</v>
      </c>
      <c r="L654" s="112"/>
    </row>
    <row r="655" spans="1:12" s="112" customFormat="1" ht="29.25" customHeight="1">
      <c r="A655" s="109" t="s">
        <v>3576</v>
      </c>
      <c r="B655" s="145" t="s">
        <v>385</v>
      </c>
      <c r="C655" s="143"/>
      <c r="D655" s="143"/>
      <c r="E655" s="143"/>
      <c r="F655" s="143"/>
      <c r="G655" s="143"/>
      <c r="H655" s="143"/>
      <c r="I655" s="144"/>
      <c r="J655" s="113">
        <f>SUM(J656:J657)</f>
        <v>1839.33</v>
      </c>
    </row>
    <row r="656" spans="1:12" ht="14.25">
      <c r="A656" s="147" t="s">
        <v>3582</v>
      </c>
      <c r="B656" s="148" t="s">
        <v>2015</v>
      </c>
      <c r="C656" s="164" t="s">
        <v>1955</v>
      </c>
      <c r="D656" s="148" t="s">
        <v>1881</v>
      </c>
      <c r="E656" s="148" t="s">
        <v>173</v>
      </c>
      <c r="F656" s="149">
        <v>85.76</v>
      </c>
      <c r="G656" s="149">
        <f>'5 - R. ANALÍTICO - MODIFICAD'!$H$2226</f>
        <v>5.9</v>
      </c>
      <c r="H656" s="151">
        <f>'14 -BDI-EDIFICAÇÕES - SEM DESON'!$H$23</f>
        <v>0.2222616419077901</v>
      </c>
      <c r="I656" s="149">
        <f>ROUND(G656*(1+H656),2)</f>
        <v>7.21</v>
      </c>
      <c r="J656" s="149">
        <f>ROUND(ROUND(F656,2)*ROUND(I656,2),2)</f>
        <v>618.33000000000004</v>
      </c>
      <c r="L656" s="112"/>
    </row>
    <row r="657" spans="1:12" ht="14.25">
      <c r="A657" s="147" t="s">
        <v>3583</v>
      </c>
      <c r="B657" s="148" t="s">
        <v>3271</v>
      </c>
      <c r="C657" s="164" t="s">
        <v>3274</v>
      </c>
      <c r="D657" s="148" t="s">
        <v>1881</v>
      </c>
      <c r="E657" s="148" t="s">
        <v>173</v>
      </c>
      <c r="F657" s="149">
        <v>30</v>
      </c>
      <c r="G657" s="149">
        <f>'5 - R. ANALÍTICO - MODIFICAD'!$H$1021</f>
        <v>33.299999999999997</v>
      </c>
      <c r="H657" s="151">
        <f>'14 -BDI-EDIFICAÇÕES - SEM DESON'!$H$23</f>
        <v>0.2222616419077901</v>
      </c>
      <c r="I657" s="149">
        <f t="shared" ref="I657" si="244">ROUND(G657*(1+H657),2)</f>
        <v>40.700000000000003</v>
      </c>
      <c r="J657" s="149">
        <f t="shared" ref="J657" si="245">ROUND(ROUND(F657,2)*ROUND(I657,2),2)</f>
        <v>1221</v>
      </c>
      <c r="L657" s="112"/>
    </row>
    <row r="658" spans="1:12" s="112" customFormat="1" ht="29.25" customHeight="1">
      <c r="A658" s="109" t="s">
        <v>3584</v>
      </c>
      <c r="B658" s="145" t="s">
        <v>749</v>
      </c>
      <c r="C658" s="143"/>
      <c r="D658" s="143"/>
      <c r="E658" s="143"/>
      <c r="F658" s="143"/>
      <c r="G658" s="143"/>
      <c r="H658" s="143"/>
      <c r="I658" s="144"/>
      <c r="J658" s="113">
        <f>J659</f>
        <v>60727.38</v>
      </c>
    </row>
    <row r="659" spans="1:12" ht="28.5">
      <c r="A659" s="147" t="s">
        <v>3585</v>
      </c>
      <c r="B659" s="148" t="s">
        <v>1844</v>
      </c>
      <c r="C659" s="164" t="s">
        <v>2395</v>
      </c>
      <c r="D659" s="148" t="s">
        <v>3832</v>
      </c>
      <c r="E659" s="148" t="s">
        <v>315</v>
      </c>
      <c r="F659" s="149">
        <v>1</v>
      </c>
      <c r="G659" s="149">
        <f>'6 - COTAÇÃO MERCADO'!D7</f>
        <v>53498.5</v>
      </c>
      <c r="H659" s="151">
        <f>'15 -BDI-EQUIPAMENTO - SEM DESON'!H23</f>
        <v>0.13512301037882701</v>
      </c>
      <c r="I659" s="149">
        <f t="shared" ref="I659" si="246">ROUND(G659*(1+H659),2)</f>
        <v>60727.38</v>
      </c>
      <c r="J659" s="149">
        <f t="shared" ref="J659" si="247">ROUND(ROUND(F659,2)*ROUND(I659,2),2)</f>
        <v>60727.38</v>
      </c>
      <c r="L659" s="112"/>
    </row>
    <row r="660" spans="1:12" s="112" customFormat="1" ht="29.25" customHeight="1">
      <c r="A660" s="109" t="s">
        <v>3586</v>
      </c>
      <c r="B660" s="145" t="s">
        <v>3469</v>
      </c>
      <c r="C660" s="143"/>
      <c r="D660" s="143"/>
      <c r="E660" s="143"/>
      <c r="F660" s="143"/>
      <c r="G660" s="143"/>
      <c r="H660" s="143"/>
      <c r="I660" s="144"/>
      <c r="J660" s="113">
        <f>SUM(J661:J668)</f>
        <v>39376.900000000009</v>
      </c>
    </row>
    <row r="661" spans="1:12" ht="28.5">
      <c r="A661" s="147" t="s">
        <v>3587</v>
      </c>
      <c r="B661" s="148">
        <v>91222</v>
      </c>
      <c r="C661" s="164" t="s">
        <v>2914</v>
      </c>
      <c r="D661" s="148" t="s">
        <v>119</v>
      </c>
      <c r="E661" s="148" t="s">
        <v>173</v>
      </c>
      <c r="F661" s="149">
        <v>166.35</v>
      </c>
      <c r="G661" s="149">
        <v>9.74</v>
      </c>
      <c r="H661" s="151">
        <f>'14 -BDI-EDIFICAÇÕES - SEM DESON'!$H$23</f>
        <v>0.2222616419077901</v>
      </c>
      <c r="I661" s="149">
        <f t="shared" ref="I661:I668" si="248">ROUND(G661*(1+H661),2)</f>
        <v>11.9</v>
      </c>
      <c r="J661" s="149">
        <f t="shared" ref="J661:J668" si="249">ROUND(ROUND(F661,2)*ROUND(I661,2),2)</f>
        <v>1979.57</v>
      </c>
      <c r="L661" s="112"/>
    </row>
    <row r="662" spans="1:12" ht="28.5">
      <c r="A662" s="147" t="s">
        <v>3588</v>
      </c>
      <c r="B662" s="148">
        <v>90447</v>
      </c>
      <c r="C662" s="164" t="s">
        <v>2915</v>
      </c>
      <c r="D662" s="148" t="s">
        <v>119</v>
      </c>
      <c r="E662" s="148" t="s">
        <v>173</v>
      </c>
      <c r="F662" s="149">
        <v>745.89</v>
      </c>
      <c r="G662" s="149">
        <v>9.09</v>
      </c>
      <c r="H662" s="151">
        <f>'14 -BDI-EDIFICAÇÕES - SEM DESON'!$H$23</f>
        <v>0.2222616419077901</v>
      </c>
      <c r="I662" s="149">
        <f t="shared" si="248"/>
        <v>11.11</v>
      </c>
      <c r="J662" s="149">
        <f t="shared" si="249"/>
        <v>8286.84</v>
      </c>
      <c r="L662" s="112"/>
    </row>
    <row r="663" spans="1:12" ht="28.5">
      <c r="A663" s="147" t="s">
        <v>3589</v>
      </c>
      <c r="B663" s="148">
        <v>90467</v>
      </c>
      <c r="C663" s="164" t="s">
        <v>2916</v>
      </c>
      <c r="D663" s="148" t="s">
        <v>119</v>
      </c>
      <c r="E663" s="148" t="s">
        <v>173</v>
      </c>
      <c r="F663" s="149">
        <v>166.35</v>
      </c>
      <c r="G663" s="149">
        <v>24.57</v>
      </c>
      <c r="H663" s="151">
        <f>'14 -BDI-EDIFICAÇÕES - SEM DESON'!$H$23</f>
        <v>0.2222616419077901</v>
      </c>
      <c r="I663" s="149">
        <f t="shared" si="248"/>
        <v>30.03</v>
      </c>
      <c r="J663" s="149">
        <f t="shared" si="249"/>
        <v>4995.49</v>
      </c>
      <c r="L663" s="112"/>
    </row>
    <row r="664" spans="1:12" ht="28.5">
      <c r="A664" s="147" t="s">
        <v>3590</v>
      </c>
      <c r="B664" s="148">
        <v>104766</v>
      </c>
      <c r="C664" s="164" t="s">
        <v>2917</v>
      </c>
      <c r="D664" s="148" t="s">
        <v>119</v>
      </c>
      <c r="E664" s="148" t="s">
        <v>173</v>
      </c>
      <c r="F664" s="149">
        <v>745.89</v>
      </c>
      <c r="G664" s="149">
        <v>16.86</v>
      </c>
      <c r="H664" s="151">
        <f>'14 -BDI-EDIFICAÇÕES - SEM DESON'!$H$23</f>
        <v>0.2222616419077901</v>
      </c>
      <c r="I664" s="149">
        <f t="shared" si="248"/>
        <v>20.61</v>
      </c>
      <c r="J664" s="149">
        <f t="shared" si="249"/>
        <v>15372.79</v>
      </c>
      <c r="L664" s="112"/>
    </row>
    <row r="665" spans="1:12" ht="14.25">
      <c r="A665" s="147" t="s">
        <v>3591</v>
      </c>
      <c r="B665" s="148">
        <v>93358</v>
      </c>
      <c r="C665" s="164" t="s">
        <v>2724</v>
      </c>
      <c r="D665" s="148" t="s">
        <v>119</v>
      </c>
      <c r="E665" s="148" t="s">
        <v>167</v>
      </c>
      <c r="F665" s="149">
        <v>37.24</v>
      </c>
      <c r="G665" s="149">
        <v>93.94</v>
      </c>
      <c r="H665" s="151">
        <f>'14 -BDI-EDIFICAÇÕES - SEM DESON'!$H$23</f>
        <v>0.2222616419077901</v>
      </c>
      <c r="I665" s="149">
        <f t="shared" si="248"/>
        <v>114.82</v>
      </c>
      <c r="J665" s="149">
        <f t="shared" si="249"/>
        <v>4275.8999999999996</v>
      </c>
      <c r="L665" s="112"/>
    </row>
    <row r="666" spans="1:12" ht="28.5">
      <c r="A666" s="147" t="s">
        <v>3592</v>
      </c>
      <c r="B666" s="148">
        <v>101616</v>
      </c>
      <c r="C666" s="164" t="s">
        <v>211</v>
      </c>
      <c r="D666" s="148" t="s">
        <v>119</v>
      </c>
      <c r="E666" s="148" t="s">
        <v>139</v>
      </c>
      <c r="F666" s="149">
        <v>93.1</v>
      </c>
      <c r="G666" s="149">
        <v>7.03</v>
      </c>
      <c r="H666" s="151">
        <f>'14 -BDI-EDIFICAÇÕES - SEM DESON'!$H$23</f>
        <v>0.2222616419077901</v>
      </c>
      <c r="I666" s="149">
        <f t="shared" si="248"/>
        <v>8.59</v>
      </c>
      <c r="J666" s="149">
        <f t="shared" si="249"/>
        <v>799.73</v>
      </c>
      <c r="L666" s="112"/>
    </row>
    <row r="667" spans="1:12" ht="14.25">
      <c r="A667" s="147" t="s">
        <v>3593</v>
      </c>
      <c r="B667" s="148">
        <v>93382</v>
      </c>
      <c r="C667" s="164" t="s">
        <v>220</v>
      </c>
      <c r="D667" s="148" t="s">
        <v>119</v>
      </c>
      <c r="E667" s="148" t="s">
        <v>167</v>
      </c>
      <c r="F667" s="149">
        <v>37.24</v>
      </c>
      <c r="G667" s="149">
        <v>27.15</v>
      </c>
      <c r="H667" s="151">
        <f>'14 -BDI-EDIFICAÇÕES - SEM DESON'!$H$23</f>
        <v>0.2222616419077901</v>
      </c>
      <c r="I667" s="149">
        <f t="shared" si="248"/>
        <v>33.18</v>
      </c>
      <c r="J667" s="149">
        <f t="shared" si="249"/>
        <v>1235.6199999999999</v>
      </c>
      <c r="L667" s="112"/>
    </row>
    <row r="668" spans="1:12" ht="14.25">
      <c r="A668" s="147" t="s">
        <v>3594</v>
      </c>
      <c r="B668" s="148" t="s">
        <v>3270</v>
      </c>
      <c r="C668" s="165" t="s">
        <v>3273</v>
      </c>
      <c r="D668" s="148" t="s">
        <v>1881</v>
      </c>
      <c r="E668" s="148" t="s">
        <v>144</v>
      </c>
      <c r="F668" s="149">
        <v>84</v>
      </c>
      <c r="G668" s="149">
        <f>'5 - R. ANALÍTICO - MODIFICAD'!$H$2390</f>
        <v>23.68</v>
      </c>
      <c r="H668" s="151">
        <f>'14 -BDI-EDIFICAÇÕES - SEM DESON'!$H$23</f>
        <v>0.2222616419077901</v>
      </c>
      <c r="I668" s="149">
        <f t="shared" si="248"/>
        <v>28.94</v>
      </c>
      <c r="J668" s="149">
        <f t="shared" si="249"/>
        <v>2430.96</v>
      </c>
      <c r="L668" s="112"/>
    </row>
    <row r="669" spans="1:12" s="112" customFormat="1" ht="29.25" customHeight="1">
      <c r="A669" s="109" t="s">
        <v>990</v>
      </c>
      <c r="B669" s="145" t="s">
        <v>61</v>
      </c>
      <c r="C669" s="143"/>
      <c r="D669" s="143"/>
      <c r="E669" s="143"/>
      <c r="F669" s="143"/>
      <c r="G669" s="143"/>
      <c r="H669" s="143"/>
      <c r="I669" s="144"/>
      <c r="J669" s="113">
        <f>J670</f>
        <v>177287.64</v>
      </c>
    </row>
    <row r="670" spans="1:12" s="112" customFormat="1" ht="29.25" customHeight="1">
      <c r="A670" s="109" t="s">
        <v>52</v>
      </c>
      <c r="B670" s="145" t="s">
        <v>435</v>
      </c>
      <c r="C670" s="143"/>
      <c r="D670" s="143"/>
      <c r="E670" s="143"/>
      <c r="F670" s="143"/>
      <c r="G670" s="143"/>
      <c r="H670" s="143"/>
      <c r="I670" s="144"/>
      <c r="J670" s="113">
        <f>J671+J684</f>
        <v>177287.64</v>
      </c>
    </row>
    <row r="671" spans="1:12" s="112" customFormat="1" ht="29.25" customHeight="1">
      <c r="A671" s="109" t="s">
        <v>436</v>
      </c>
      <c r="B671" s="145" t="s">
        <v>437</v>
      </c>
      <c r="C671" s="143"/>
      <c r="D671" s="143"/>
      <c r="E671" s="143"/>
      <c r="F671" s="143"/>
      <c r="G671" s="143"/>
      <c r="H671" s="143"/>
      <c r="I671" s="144"/>
      <c r="J671" s="113">
        <f>J672+J678</f>
        <v>164784.76</v>
      </c>
    </row>
    <row r="672" spans="1:12" s="112" customFormat="1" ht="29.25" customHeight="1">
      <c r="A672" s="109" t="s">
        <v>438</v>
      </c>
      <c r="B672" s="145" t="s">
        <v>439</v>
      </c>
      <c r="C672" s="143"/>
      <c r="D672" s="143"/>
      <c r="E672" s="143"/>
      <c r="F672" s="143"/>
      <c r="G672" s="143"/>
      <c r="H672" s="143"/>
      <c r="I672" s="144"/>
      <c r="J672" s="113">
        <f>SUM(J673:J677)</f>
        <v>126049.46</v>
      </c>
    </row>
    <row r="673" spans="1:12" ht="28.5">
      <c r="A673" s="147" t="s">
        <v>440</v>
      </c>
      <c r="B673" s="148">
        <v>103250</v>
      </c>
      <c r="C673" s="164" t="s">
        <v>441</v>
      </c>
      <c r="D673" s="148" t="s">
        <v>119</v>
      </c>
      <c r="E673" s="148" t="s">
        <v>144</v>
      </c>
      <c r="F673" s="149">
        <v>7</v>
      </c>
      <c r="G673" s="149">
        <v>4712.78</v>
      </c>
      <c r="H673" s="151">
        <f>'15 -BDI-EQUIPAMENTO - SEM DESON'!$H$23</f>
        <v>0.13512301037882701</v>
      </c>
      <c r="I673" s="149">
        <f t="shared" ref="I673:I677" si="250">ROUND(G673*(1+H673),2)</f>
        <v>5349.59</v>
      </c>
      <c r="J673" s="149">
        <f t="shared" ref="J673:J677" si="251">ROUND(ROUND(F673,2)*ROUND(I673,2),2)</f>
        <v>37447.129999999997</v>
      </c>
      <c r="L673" s="112"/>
    </row>
    <row r="674" spans="1:12" ht="28.5">
      <c r="A674" s="147" t="s">
        <v>442</v>
      </c>
      <c r="B674" s="148">
        <v>103247</v>
      </c>
      <c r="C674" s="164" t="s">
        <v>443</v>
      </c>
      <c r="D674" s="148" t="s">
        <v>119</v>
      </c>
      <c r="E674" s="148" t="s">
        <v>144</v>
      </c>
      <c r="F674" s="149">
        <v>1</v>
      </c>
      <c r="G674" s="149">
        <v>3234.43</v>
      </c>
      <c r="H674" s="151">
        <f>'15 -BDI-EQUIPAMENTO - SEM DESON'!$H$23</f>
        <v>0.13512301037882701</v>
      </c>
      <c r="I674" s="149">
        <f t="shared" si="250"/>
        <v>3671.48</v>
      </c>
      <c r="J674" s="149">
        <f t="shared" si="251"/>
        <v>3671.48</v>
      </c>
      <c r="L674" s="112"/>
    </row>
    <row r="675" spans="1:12" s="112" customFormat="1" ht="28.5">
      <c r="A675" s="147" t="s">
        <v>444</v>
      </c>
      <c r="B675" s="148">
        <v>103244</v>
      </c>
      <c r="C675" s="164" t="s">
        <v>445</v>
      </c>
      <c r="D675" s="148" t="s">
        <v>119</v>
      </c>
      <c r="E675" s="148" t="s">
        <v>144</v>
      </c>
      <c r="F675" s="149">
        <v>1</v>
      </c>
      <c r="G675" s="149">
        <v>2910.63</v>
      </c>
      <c r="H675" s="151">
        <f>'15 -BDI-EQUIPAMENTO - SEM DESON'!$H$23</f>
        <v>0.13512301037882701</v>
      </c>
      <c r="I675" s="149">
        <f t="shared" si="250"/>
        <v>3303.92</v>
      </c>
      <c r="J675" s="149">
        <f t="shared" si="251"/>
        <v>3303.92</v>
      </c>
    </row>
    <row r="676" spans="1:12" s="112" customFormat="1" ht="28.5">
      <c r="A676" s="147" t="s">
        <v>2425</v>
      </c>
      <c r="B676" s="148">
        <v>103273</v>
      </c>
      <c r="C676" s="164" t="s">
        <v>3824</v>
      </c>
      <c r="D676" s="148" t="s">
        <v>119</v>
      </c>
      <c r="E676" s="148" t="s">
        <v>144</v>
      </c>
      <c r="F676" s="149">
        <v>5</v>
      </c>
      <c r="G676" s="149">
        <v>14297.81</v>
      </c>
      <c r="H676" s="151">
        <f>'15 -BDI-EQUIPAMENTO - SEM DESON'!$H$23</f>
        <v>0.13512301037882701</v>
      </c>
      <c r="I676" s="149">
        <f t="shared" si="250"/>
        <v>16229.77</v>
      </c>
      <c r="J676" s="149">
        <f t="shared" si="251"/>
        <v>81148.850000000006</v>
      </c>
    </row>
    <row r="677" spans="1:12" s="112" customFormat="1" ht="14.25">
      <c r="A677" s="147" t="s">
        <v>2426</v>
      </c>
      <c r="B677" s="148" t="s">
        <v>2016</v>
      </c>
      <c r="C677" s="164" t="s">
        <v>1956</v>
      </c>
      <c r="D677" s="148" t="s">
        <v>1881</v>
      </c>
      <c r="E677" s="148" t="s">
        <v>144</v>
      </c>
      <c r="F677" s="149">
        <v>9</v>
      </c>
      <c r="G677" s="149">
        <f>'5 - R. ANALÍTICO - MODIFICAD'!$H$2231</f>
        <v>46.8</v>
      </c>
      <c r="H677" s="151">
        <f>'15 -BDI-EQUIPAMENTO - SEM DESON'!$H$23</f>
        <v>0.13512301037882701</v>
      </c>
      <c r="I677" s="149">
        <f t="shared" si="250"/>
        <v>53.12</v>
      </c>
      <c r="J677" s="149">
        <f t="shared" si="251"/>
        <v>478.08</v>
      </c>
    </row>
    <row r="678" spans="1:12" s="112" customFormat="1" ht="29.25" customHeight="1">
      <c r="A678" s="109" t="s">
        <v>446</v>
      </c>
      <c r="B678" s="145" t="s">
        <v>447</v>
      </c>
      <c r="C678" s="143"/>
      <c r="D678" s="143"/>
      <c r="E678" s="143"/>
      <c r="F678" s="143"/>
      <c r="G678" s="143"/>
      <c r="H678" s="143"/>
      <c r="I678" s="144"/>
      <c r="J678" s="113">
        <f>SUM(J679:J683)</f>
        <v>38735.300000000003</v>
      </c>
    </row>
    <row r="679" spans="1:12" ht="42.75">
      <c r="A679" s="147" t="s">
        <v>448</v>
      </c>
      <c r="B679" s="148">
        <v>97327</v>
      </c>
      <c r="C679" s="164" t="s">
        <v>751</v>
      </c>
      <c r="D679" s="148" t="s">
        <v>119</v>
      </c>
      <c r="E679" s="148" t="s">
        <v>173</v>
      </c>
      <c r="F679" s="149">
        <v>107.08</v>
      </c>
      <c r="G679" s="149">
        <v>40.1</v>
      </c>
      <c r="H679" s="151">
        <f>'14 -BDI-EDIFICAÇÕES - SEM DESON'!$H$23</f>
        <v>0.2222616419077901</v>
      </c>
      <c r="I679" s="149">
        <f t="shared" ref="I679:I683" si="252">ROUND(G679*(1+H679),2)</f>
        <v>49.01</v>
      </c>
      <c r="J679" s="149">
        <f t="shared" ref="J679:J683" si="253">ROUND(ROUND(F679,2)*ROUND(I679,2),2)</f>
        <v>5247.99</v>
      </c>
      <c r="L679" s="112"/>
    </row>
    <row r="680" spans="1:12" ht="42.75">
      <c r="A680" s="147" t="s">
        <v>449</v>
      </c>
      <c r="B680" s="148">
        <v>97328</v>
      </c>
      <c r="C680" s="164" t="s">
        <v>752</v>
      </c>
      <c r="D680" s="148" t="s">
        <v>119</v>
      </c>
      <c r="E680" s="148" t="s">
        <v>173</v>
      </c>
      <c r="F680" s="149">
        <v>78.77</v>
      </c>
      <c r="G680" s="149">
        <v>64.069999999999993</v>
      </c>
      <c r="H680" s="151">
        <f>'14 -BDI-EDIFICAÇÕES - SEM DESON'!$H$23</f>
        <v>0.2222616419077901</v>
      </c>
      <c r="I680" s="149">
        <f t="shared" si="252"/>
        <v>78.31</v>
      </c>
      <c r="J680" s="149">
        <f t="shared" si="253"/>
        <v>6168.48</v>
      </c>
      <c r="L680" s="112"/>
    </row>
    <row r="681" spans="1:12" s="112" customFormat="1" ht="42.75">
      <c r="A681" s="147" t="s">
        <v>450</v>
      </c>
      <c r="B681" s="148">
        <v>97329</v>
      </c>
      <c r="C681" s="164" t="s">
        <v>753</v>
      </c>
      <c r="D681" s="148" t="s">
        <v>119</v>
      </c>
      <c r="E681" s="148" t="s">
        <v>173</v>
      </c>
      <c r="F681" s="149">
        <v>102.12</v>
      </c>
      <c r="G681" s="149">
        <v>83.61</v>
      </c>
      <c r="H681" s="151">
        <f>'14 -BDI-EDIFICAÇÕES - SEM DESON'!$H$23</f>
        <v>0.2222616419077901</v>
      </c>
      <c r="I681" s="149">
        <f t="shared" si="252"/>
        <v>102.19</v>
      </c>
      <c r="J681" s="149">
        <f t="shared" si="253"/>
        <v>10435.64</v>
      </c>
    </row>
    <row r="682" spans="1:12" ht="42.75">
      <c r="A682" s="147" t="s">
        <v>451</v>
      </c>
      <c r="B682" s="148">
        <v>97330</v>
      </c>
      <c r="C682" s="164" t="s">
        <v>2255</v>
      </c>
      <c r="D682" s="148" t="s">
        <v>119</v>
      </c>
      <c r="E682" s="148" t="s">
        <v>173</v>
      </c>
      <c r="F682" s="149">
        <v>73.44</v>
      </c>
      <c r="G682" s="149">
        <v>102.85</v>
      </c>
      <c r="H682" s="151">
        <f>'14 -BDI-EDIFICAÇÕES - SEM DESON'!$H$23</f>
        <v>0.2222616419077901</v>
      </c>
      <c r="I682" s="149">
        <f t="shared" si="252"/>
        <v>125.71</v>
      </c>
      <c r="J682" s="149">
        <f t="shared" si="253"/>
        <v>9232.14</v>
      </c>
      <c r="L682" s="112"/>
    </row>
    <row r="683" spans="1:12" ht="14.25">
      <c r="A683" s="147" t="s">
        <v>1087</v>
      </c>
      <c r="B683" s="148" t="s">
        <v>2017</v>
      </c>
      <c r="C683" s="164" t="s">
        <v>2018</v>
      </c>
      <c r="D683" s="148" t="s">
        <v>1881</v>
      </c>
      <c r="E683" s="148" t="s">
        <v>173</v>
      </c>
      <c r="F683" s="149">
        <v>361.41</v>
      </c>
      <c r="G683" s="149">
        <f>'5 - R. ANALÍTICO - MODIFICAD'!$H$2243</f>
        <v>17.32</v>
      </c>
      <c r="H683" s="151">
        <f>'14 -BDI-EDIFICAÇÕES - SEM DESON'!$H$23</f>
        <v>0.2222616419077901</v>
      </c>
      <c r="I683" s="149">
        <f t="shared" si="252"/>
        <v>21.17</v>
      </c>
      <c r="J683" s="149">
        <f t="shared" si="253"/>
        <v>7651.05</v>
      </c>
      <c r="L683" s="112"/>
    </row>
    <row r="684" spans="1:12" s="112" customFormat="1" ht="29.25" customHeight="1">
      <c r="A684" s="109" t="s">
        <v>452</v>
      </c>
      <c r="B684" s="145" t="s">
        <v>453</v>
      </c>
      <c r="C684" s="143"/>
      <c r="D684" s="143"/>
      <c r="E684" s="143"/>
      <c r="F684" s="143"/>
      <c r="G684" s="143"/>
      <c r="H684" s="143"/>
      <c r="I684" s="144"/>
      <c r="J684" s="113">
        <f>SUM(J685:J687)</f>
        <v>12502.880000000001</v>
      </c>
    </row>
    <row r="685" spans="1:12" s="112" customFormat="1" ht="28.5">
      <c r="A685" s="147" t="s">
        <v>754</v>
      </c>
      <c r="B685" s="148" t="s">
        <v>1999</v>
      </c>
      <c r="C685" s="164" t="s">
        <v>1957</v>
      </c>
      <c r="D685" s="148" t="s">
        <v>1881</v>
      </c>
      <c r="E685" s="148" t="s">
        <v>200</v>
      </c>
      <c r="F685" s="149">
        <v>64.03</v>
      </c>
      <c r="G685" s="149">
        <f>'5 - R. ANALÍTICO - MODIFICAD'!$H$1803</f>
        <v>51.400000000000006</v>
      </c>
      <c r="H685" s="151">
        <f>'14 -BDI-EDIFICAÇÕES - SEM DESON'!$H$23</f>
        <v>0.2222616419077901</v>
      </c>
      <c r="I685" s="149">
        <f t="shared" ref="I685:I687" si="254">ROUND(G685*(1+H685),2)</f>
        <v>62.82</v>
      </c>
      <c r="J685" s="149">
        <f t="shared" ref="J685:J687" si="255">ROUND(ROUND(F685,2)*ROUND(I685,2),2)</f>
        <v>4022.36</v>
      </c>
    </row>
    <row r="686" spans="1:12" ht="28.5">
      <c r="A686" s="147" t="s">
        <v>755</v>
      </c>
      <c r="B686" s="148" t="s">
        <v>2000</v>
      </c>
      <c r="C686" s="164" t="s">
        <v>1958</v>
      </c>
      <c r="D686" s="148" t="s">
        <v>1881</v>
      </c>
      <c r="E686" s="148" t="s">
        <v>139</v>
      </c>
      <c r="F686" s="149">
        <v>0.33</v>
      </c>
      <c r="G686" s="149">
        <f>'5 - R. ANALÍTICO - MODIFICAD'!$H$1815</f>
        <v>2268.0200000000004</v>
      </c>
      <c r="H686" s="151">
        <f>'14 -BDI-EDIFICAÇÕES - SEM DESON'!$H$23</f>
        <v>0.2222616419077901</v>
      </c>
      <c r="I686" s="149">
        <f t="shared" si="254"/>
        <v>2772.11</v>
      </c>
      <c r="J686" s="149">
        <f t="shared" si="255"/>
        <v>914.8</v>
      </c>
      <c r="L686" s="112"/>
    </row>
    <row r="687" spans="1:12" s="112" customFormat="1" ht="14.25">
      <c r="A687" s="147" t="s">
        <v>2749</v>
      </c>
      <c r="B687" s="148" t="s">
        <v>2022</v>
      </c>
      <c r="C687" s="164" t="s">
        <v>1959</v>
      </c>
      <c r="D687" s="148" t="s">
        <v>1881</v>
      </c>
      <c r="E687" s="148" t="s">
        <v>144</v>
      </c>
      <c r="F687" s="149">
        <v>4</v>
      </c>
      <c r="G687" s="149">
        <f>'5 - R. ANALÍTICO - MODIFICAD'!$H$2578</f>
        <v>1547.48</v>
      </c>
      <c r="H687" s="151">
        <f>'14 -BDI-EDIFICAÇÕES - SEM DESON'!$H$23</f>
        <v>0.2222616419077901</v>
      </c>
      <c r="I687" s="149">
        <f t="shared" si="254"/>
        <v>1891.43</v>
      </c>
      <c r="J687" s="149">
        <f t="shared" si="255"/>
        <v>7565.72</v>
      </c>
    </row>
    <row r="688" spans="1:12" s="112" customFormat="1" ht="29.25" customHeight="1">
      <c r="A688" s="109" t="s">
        <v>989</v>
      </c>
      <c r="B688" s="145" t="s">
        <v>28</v>
      </c>
      <c r="C688" s="143"/>
      <c r="D688" s="143"/>
      <c r="E688" s="143"/>
      <c r="F688" s="143"/>
      <c r="G688" s="143"/>
      <c r="H688" s="143"/>
      <c r="I688" s="144"/>
      <c r="J688" s="113">
        <f>J689+J692+J694</f>
        <v>2998.5600000000004</v>
      </c>
    </row>
    <row r="689" spans="1:12" s="112" customFormat="1" ht="29.25" customHeight="1">
      <c r="A689" s="109" t="s">
        <v>54</v>
      </c>
      <c r="B689" s="145" t="s">
        <v>758</v>
      </c>
      <c r="C689" s="143"/>
      <c r="D689" s="143"/>
      <c r="E689" s="143"/>
      <c r="F689" s="143"/>
      <c r="G689" s="143"/>
      <c r="H689" s="143"/>
      <c r="I689" s="144"/>
      <c r="J689" s="113">
        <f>SUM(J690:J691)</f>
        <v>667.8</v>
      </c>
    </row>
    <row r="690" spans="1:12" ht="14.25">
      <c r="A690" s="147" t="s">
        <v>756</v>
      </c>
      <c r="B690" s="148">
        <v>37558</v>
      </c>
      <c r="C690" s="164" t="s">
        <v>761</v>
      </c>
      <c r="D690" s="148" t="s">
        <v>119</v>
      </c>
      <c r="E690" s="148" t="s">
        <v>144</v>
      </c>
      <c r="F690" s="149">
        <v>8</v>
      </c>
      <c r="G690" s="149">
        <v>46.61</v>
      </c>
      <c r="H690" s="151">
        <f>'14 -BDI-EDIFICAÇÕES - SEM DESON'!$H$23</f>
        <v>0.2222616419077901</v>
      </c>
      <c r="I690" s="149">
        <f t="shared" ref="I690:I691" si="256">ROUND(G690*(1+H690),2)</f>
        <v>56.97</v>
      </c>
      <c r="J690" s="149">
        <f t="shared" ref="J690:J691" si="257">ROUND(ROUND(F690,2)*ROUND(I690,2),2)</f>
        <v>455.76</v>
      </c>
      <c r="L690" s="112"/>
    </row>
    <row r="691" spans="1:12" ht="14.25">
      <c r="A691" s="147" t="s">
        <v>757</v>
      </c>
      <c r="B691" s="148">
        <v>37556</v>
      </c>
      <c r="C691" s="164" t="s">
        <v>763</v>
      </c>
      <c r="D691" s="148" t="s">
        <v>119</v>
      </c>
      <c r="E691" s="148" t="s">
        <v>144</v>
      </c>
      <c r="F691" s="149">
        <v>6</v>
      </c>
      <c r="G691" s="149">
        <v>28.91</v>
      </c>
      <c r="H691" s="151">
        <f>'14 -BDI-EDIFICAÇÕES - SEM DESON'!$H$23</f>
        <v>0.2222616419077901</v>
      </c>
      <c r="I691" s="149">
        <f t="shared" si="256"/>
        <v>35.340000000000003</v>
      </c>
      <c r="J691" s="149">
        <f t="shared" si="257"/>
        <v>212.04</v>
      </c>
      <c r="L691" s="112"/>
    </row>
    <row r="692" spans="1:12" s="112" customFormat="1" ht="29.25" customHeight="1">
      <c r="A692" s="109" t="s">
        <v>55</v>
      </c>
      <c r="B692" s="145" t="s">
        <v>764</v>
      </c>
      <c r="C692" s="143"/>
      <c r="D692" s="143"/>
      <c r="E692" s="143"/>
      <c r="F692" s="143"/>
      <c r="G692" s="143"/>
      <c r="H692" s="143"/>
      <c r="I692" s="144"/>
      <c r="J692" s="113">
        <f>SUM(J693:J693)</f>
        <v>2044.92</v>
      </c>
    </row>
    <row r="693" spans="1:12" ht="14.25">
      <c r="A693" s="147" t="s">
        <v>759</v>
      </c>
      <c r="B693" s="148" t="s">
        <v>2023</v>
      </c>
      <c r="C693" s="164" t="s">
        <v>2640</v>
      </c>
      <c r="D693" s="148" t="s">
        <v>1881</v>
      </c>
      <c r="E693" s="148" t="s">
        <v>144</v>
      </c>
      <c r="F693" s="149">
        <v>6</v>
      </c>
      <c r="G693" s="149">
        <f>'5 - R. ANALÍTICO - MODIFICAD'!$H$794</f>
        <v>278.84000000000003</v>
      </c>
      <c r="H693" s="151">
        <f>'14 -BDI-EDIFICAÇÕES - SEM DESON'!$H$23</f>
        <v>0.2222616419077901</v>
      </c>
      <c r="I693" s="149">
        <f>ROUND(G693*(1+H693),2)</f>
        <v>340.82</v>
      </c>
      <c r="J693" s="149">
        <f>ROUND(ROUND(F693,2)*ROUND(I693,2),2)</f>
        <v>2044.92</v>
      </c>
      <c r="L693" s="112"/>
    </row>
    <row r="694" spans="1:12" s="112" customFormat="1" ht="29.25" customHeight="1">
      <c r="A694" s="109" t="s">
        <v>56</v>
      </c>
      <c r="B694" s="145" t="s">
        <v>455</v>
      </c>
      <c r="C694" s="143"/>
      <c r="D694" s="143"/>
      <c r="E694" s="143"/>
      <c r="F694" s="143"/>
      <c r="G694" s="143"/>
      <c r="H694" s="143"/>
      <c r="I694" s="144"/>
      <c r="J694" s="113">
        <f>J695</f>
        <v>285.83999999999997</v>
      </c>
    </row>
    <row r="695" spans="1:12" ht="28.5">
      <c r="A695" s="147" t="s">
        <v>456</v>
      </c>
      <c r="B695" s="148">
        <v>97599</v>
      </c>
      <c r="C695" s="164" t="s">
        <v>2538</v>
      </c>
      <c r="D695" s="148" t="s">
        <v>119</v>
      </c>
      <c r="E695" s="148" t="s">
        <v>144</v>
      </c>
      <c r="F695" s="149">
        <v>12</v>
      </c>
      <c r="G695" s="149">
        <v>19.489999999999998</v>
      </c>
      <c r="H695" s="151">
        <f>'14 -BDI-EDIFICAÇÕES - SEM DESON'!$H$23</f>
        <v>0.2222616419077901</v>
      </c>
      <c r="I695" s="149">
        <f>ROUND(G695*(1+H695),2)</f>
        <v>23.82</v>
      </c>
      <c r="J695" s="149">
        <f>ROUND(ROUND(F695,2)*ROUND(I695,2),2)</f>
        <v>285.83999999999997</v>
      </c>
      <c r="L695" s="112"/>
    </row>
    <row r="696" spans="1:12" s="112" customFormat="1" ht="29.25" customHeight="1">
      <c r="A696" s="109" t="s">
        <v>988</v>
      </c>
      <c r="B696" s="145" t="s">
        <v>29</v>
      </c>
      <c r="C696" s="143"/>
      <c r="D696" s="143"/>
      <c r="E696" s="143"/>
      <c r="F696" s="143"/>
      <c r="G696" s="143"/>
      <c r="H696" s="143"/>
      <c r="I696" s="144"/>
      <c r="J696" s="113">
        <f>J697+J709</f>
        <v>23757.82</v>
      </c>
    </row>
    <row r="697" spans="1:12" s="112" customFormat="1" ht="29.25" customHeight="1">
      <c r="A697" s="109" t="s">
        <v>57</v>
      </c>
      <c r="B697" s="145" t="s">
        <v>458</v>
      </c>
      <c r="C697" s="143"/>
      <c r="D697" s="143"/>
      <c r="E697" s="143"/>
      <c r="F697" s="143"/>
      <c r="G697" s="143"/>
      <c r="H697" s="143"/>
      <c r="I697" s="144"/>
      <c r="J697" s="113">
        <f>SUM(J698:J708)</f>
        <v>7951.6399999999994</v>
      </c>
    </row>
    <row r="698" spans="1:12" ht="28.5">
      <c r="A698" s="147" t="s">
        <v>928</v>
      </c>
      <c r="B698" s="148">
        <v>99818</v>
      </c>
      <c r="C698" s="164" t="s">
        <v>2626</v>
      </c>
      <c r="D698" s="148" t="s">
        <v>119</v>
      </c>
      <c r="E698" s="148" t="s">
        <v>144</v>
      </c>
      <c r="F698" s="149">
        <v>10</v>
      </c>
      <c r="G698" s="149">
        <v>5.71</v>
      </c>
      <c r="H698" s="151">
        <f>'14 -BDI-EDIFICAÇÕES - SEM DESON'!$H$23</f>
        <v>0.2222616419077901</v>
      </c>
      <c r="I698" s="149">
        <f t="shared" ref="I698:I708" si="258">ROUND(G698*(1+H698),2)</f>
        <v>6.98</v>
      </c>
      <c r="J698" s="149">
        <f t="shared" ref="J698:J708" si="259">ROUND(ROUND(F698,2)*ROUND(I698,2),2)</f>
        <v>69.8</v>
      </c>
      <c r="L698" s="112"/>
    </row>
    <row r="699" spans="1:12" ht="14.25">
      <c r="A699" s="147" t="s">
        <v>929</v>
      </c>
      <c r="B699" s="148">
        <v>99826</v>
      </c>
      <c r="C699" s="164" t="s">
        <v>2627</v>
      </c>
      <c r="D699" s="148" t="s">
        <v>119</v>
      </c>
      <c r="E699" s="148" t="s">
        <v>139</v>
      </c>
      <c r="F699" s="149">
        <v>335.16</v>
      </c>
      <c r="G699" s="149">
        <v>1.71</v>
      </c>
      <c r="H699" s="151">
        <f>'14 -BDI-EDIFICAÇÕES - SEM DESON'!$H$23</f>
        <v>0.2222616419077901</v>
      </c>
      <c r="I699" s="149">
        <f t="shared" si="258"/>
        <v>2.09</v>
      </c>
      <c r="J699" s="149">
        <f t="shared" si="259"/>
        <v>700.48</v>
      </c>
      <c r="L699" s="112"/>
    </row>
    <row r="700" spans="1:12" ht="14.25">
      <c r="A700" s="147" t="s">
        <v>2617</v>
      </c>
      <c r="B700" s="148">
        <v>99821</v>
      </c>
      <c r="C700" s="164" t="s">
        <v>2630</v>
      </c>
      <c r="D700" s="148" t="s">
        <v>119</v>
      </c>
      <c r="E700" s="148" t="s">
        <v>139</v>
      </c>
      <c r="F700" s="149">
        <v>96.36</v>
      </c>
      <c r="G700" s="149">
        <v>3.23</v>
      </c>
      <c r="H700" s="151">
        <f>'14 -BDI-EDIFICAÇÕES - SEM DESON'!$H$23</f>
        <v>0.2222616419077901</v>
      </c>
      <c r="I700" s="149">
        <f t="shared" si="258"/>
        <v>3.95</v>
      </c>
      <c r="J700" s="149">
        <f t="shared" si="259"/>
        <v>380.62</v>
      </c>
      <c r="L700" s="112"/>
    </row>
    <row r="701" spans="1:12" ht="28.5">
      <c r="A701" s="147" t="s">
        <v>2618</v>
      </c>
      <c r="B701" s="148">
        <v>99817</v>
      </c>
      <c r="C701" s="164" t="s">
        <v>2628</v>
      </c>
      <c r="D701" s="148" t="s">
        <v>119</v>
      </c>
      <c r="E701" s="148" t="s">
        <v>144</v>
      </c>
      <c r="F701" s="149">
        <v>5</v>
      </c>
      <c r="G701" s="149">
        <v>5.71</v>
      </c>
      <c r="H701" s="151">
        <f>'14 -BDI-EDIFICAÇÕES - SEM DESON'!$H$23</f>
        <v>0.2222616419077901</v>
      </c>
      <c r="I701" s="149">
        <f t="shared" si="258"/>
        <v>6.98</v>
      </c>
      <c r="J701" s="149">
        <f t="shared" si="259"/>
        <v>34.9</v>
      </c>
      <c r="L701" s="112"/>
    </row>
    <row r="702" spans="1:12" ht="14.25">
      <c r="A702" s="147" t="s">
        <v>2619</v>
      </c>
      <c r="B702" s="148">
        <v>99815</v>
      </c>
      <c r="C702" s="164" t="s">
        <v>2629</v>
      </c>
      <c r="D702" s="148" t="s">
        <v>119</v>
      </c>
      <c r="E702" s="148" t="s">
        <v>144</v>
      </c>
      <c r="F702" s="149">
        <v>1</v>
      </c>
      <c r="G702" s="149">
        <v>9.25</v>
      </c>
      <c r="H702" s="151">
        <f>'14 -BDI-EDIFICAÇÕES - SEM DESON'!$H$23</f>
        <v>0.2222616419077901</v>
      </c>
      <c r="I702" s="149">
        <f t="shared" si="258"/>
        <v>11.31</v>
      </c>
      <c r="J702" s="149">
        <f t="shared" si="259"/>
        <v>11.31</v>
      </c>
      <c r="L702" s="112"/>
    </row>
    <row r="703" spans="1:12" ht="14.25">
      <c r="A703" s="147" t="s">
        <v>2620</v>
      </c>
      <c r="B703" s="148">
        <v>99803</v>
      </c>
      <c r="C703" s="164" t="s">
        <v>2631</v>
      </c>
      <c r="D703" s="148" t="s">
        <v>119</v>
      </c>
      <c r="E703" s="148" t="s">
        <v>139</v>
      </c>
      <c r="F703" s="149">
        <v>386.66</v>
      </c>
      <c r="G703" s="149">
        <v>2.2999999999999998</v>
      </c>
      <c r="H703" s="151">
        <f>'14 -BDI-EDIFICAÇÕES - SEM DESON'!$H$23</f>
        <v>0.2222616419077901</v>
      </c>
      <c r="I703" s="149">
        <f t="shared" si="258"/>
        <v>2.81</v>
      </c>
      <c r="J703" s="149">
        <f t="shared" si="259"/>
        <v>1086.51</v>
      </c>
      <c r="L703" s="112"/>
    </row>
    <row r="704" spans="1:12" ht="14.25">
      <c r="A704" s="147" t="s">
        <v>2621</v>
      </c>
      <c r="B704" s="148">
        <v>99822</v>
      </c>
      <c r="C704" s="164" t="s">
        <v>2632</v>
      </c>
      <c r="D704" s="148" t="s">
        <v>119</v>
      </c>
      <c r="E704" s="148" t="s">
        <v>139</v>
      </c>
      <c r="F704" s="149">
        <v>63</v>
      </c>
      <c r="G704" s="149">
        <v>1.1100000000000001</v>
      </c>
      <c r="H704" s="151">
        <f>'14 -BDI-EDIFICAÇÕES - SEM DESON'!$H$23</f>
        <v>0.2222616419077901</v>
      </c>
      <c r="I704" s="149">
        <f t="shared" si="258"/>
        <v>1.36</v>
      </c>
      <c r="J704" s="149">
        <f t="shared" si="259"/>
        <v>85.68</v>
      </c>
      <c r="L704" s="112"/>
    </row>
    <row r="705" spans="1:12" ht="14.25">
      <c r="A705" s="147" t="s">
        <v>2622</v>
      </c>
      <c r="B705" s="148">
        <v>99825</v>
      </c>
      <c r="C705" s="164" t="s">
        <v>2633</v>
      </c>
      <c r="D705" s="148" t="s">
        <v>119</v>
      </c>
      <c r="E705" s="148" t="s">
        <v>139</v>
      </c>
      <c r="F705" s="149">
        <v>88.48</v>
      </c>
      <c r="G705" s="149">
        <v>3.8</v>
      </c>
      <c r="H705" s="151">
        <f>'14 -BDI-EDIFICAÇÕES - SEM DESON'!$H$23</f>
        <v>0.2222616419077901</v>
      </c>
      <c r="I705" s="149">
        <f t="shared" si="258"/>
        <v>4.6399999999999997</v>
      </c>
      <c r="J705" s="149">
        <f t="shared" si="259"/>
        <v>410.55</v>
      </c>
      <c r="L705" s="112"/>
    </row>
    <row r="706" spans="1:12" ht="14.25">
      <c r="A706" s="147" t="s">
        <v>2623</v>
      </c>
      <c r="B706" s="148">
        <v>99806</v>
      </c>
      <c r="C706" s="164" t="s">
        <v>2634</v>
      </c>
      <c r="D706" s="148" t="s">
        <v>119</v>
      </c>
      <c r="E706" s="148" t="s">
        <v>139</v>
      </c>
      <c r="F706" s="149">
        <v>268.01</v>
      </c>
      <c r="G706" s="149">
        <v>0.95</v>
      </c>
      <c r="H706" s="151">
        <f>'14 -BDI-EDIFICAÇÕES - SEM DESON'!$H$23</f>
        <v>0.2222616419077901</v>
      </c>
      <c r="I706" s="149">
        <f t="shared" si="258"/>
        <v>1.1599999999999999</v>
      </c>
      <c r="J706" s="149">
        <f t="shared" si="259"/>
        <v>310.89</v>
      </c>
      <c r="L706" s="112"/>
    </row>
    <row r="707" spans="1:12" ht="28.5">
      <c r="A707" s="147" t="s">
        <v>2624</v>
      </c>
      <c r="B707" s="148">
        <v>99816</v>
      </c>
      <c r="C707" s="164" t="s">
        <v>2635</v>
      </c>
      <c r="D707" s="148" t="s">
        <v>119</v>
      </c>
      <c r="E707" s="148" t="s">
        <v>144</v>
      </c>
      <c r="F707" s="149">
        <v>6</v>
      </c>
      <c r="G707" s="149">
        <v>9.84</v>
      </c>
      <c r="H707" s="151">
        <f>'14 -BDI-EDIFICAÇÕES - SEM DESON'!$H$23</f>
        <v>0.2222616419077901</v>
      </c>
      <c r="I707" s="149">
        <f t="shared" si="258"/>
        <v>12.03</v>
      </c>
      <c r="J707" s="149">
        <f t="shared" si="259"/>
        <v>72.180000000000007</v>
      </c>
      <c r="L707" s="112"/>
    </row>
    <row r="708" spans="1:12" ht="14.25">
      <c r="A708" s="147" t="s">
        <v>2625</v>
      </c>
      <c r="B708" s="148">
        <v>99814</v>
      </c>
      <c r="C708" s="164" t="s">
        <v>2636</v>
      </c>
      <c r="D708" s="148" t="s">
        <v>119</v>
      </c>
      <c r="E708" s="148" t="s">
        <v>139</v>
      </c>
      <c r="F708" s="149">
        <v>1813.91</v>
      </c>
      <c r="G708" s="149">
        <v>2.16</v>
      </c>
      <c r="H708" s="151">
        <f>'14 -BDI-EDIFICAÇÕES - SEM DESON'!$H$23</f>
        <v>0.2222616419077901</v>
      </c>
      <c r="I708" s="149">
        <f t="shared" si="258"/>
        <v>2.64</v>
      </c>
      <c r="J708" s="149">
        <f t="shared" si="259"/>
        <v>4788.72</v>
      </c>
      <c r="L708" s="112"/>
    </row>
    <row r="709" spans="1:12" s="112" customFormat="1" ht="29.25" customHeight="1">
      <c r="A709" s="109" t="s">
        <v>1075</v>
      </c>
      <c r="B709" s="145" t="s">
        <v>1076</v>
      </c>
      <c r="C709" s="143"/>
      <c r="D709" s="143"/>
      <c r="E709" s="143"/>
      <c r="F709" s="143"/>
      <c r="G709" s="143"/>
      <c r="H709" s="143"/>
      <c r="I709" s="144"/>
      <c r="J709" s="113">
        <f>SUM(J710:J717)</f>
        <v>15806.179999999998</v>
      </c>
    </row>
    <row r="710" spans="1:12" ht="14.25">
      <c r="A710" s="147" t="s">
        <v>1077</v>
      </c>
      <c r="B710" s="148" t="s">
        <v>2019</v>
      </c>
      <c r="C710" s="164" t="s">
        <v>4072</v>
      </c>
      <c r="D710" s="148" t="s">
        <v>1881</v>
      </c>
      <c r="E710" s="148" t="s">
        <v>139</v>
      </c>
      <c r="F710" s="149">
        <v>3530.83</v>
      </c>
      <c r="G710" s="149">
        <f>'5 - R. ANALÍTICO - MODIFICAD'!$H$2248</f>
        <v>1</v>
      </c>
      <c r="H710" s="151">
        <f>'14 -BDI-EDIFICAÇÕES - SEM DESON'!$H$23</f>
        <v>0.2222616419077901</v>
      </c>
      <c r="I710" s="149">
        <f>ROUND(G710*(1+H710),2)</f>
        <v>1.22</v>
      </c>
      <c r="J710" s="149">
        <f>ROUND(ROUND(F710,2)*ROUND(I710,2),2)</f>
        <v>4307.6099999999997</v>
      </c>
      <c r="L710" s="112"/>
    </row>
    <row r="711" spans="1:12" ht="14.25">
      <c r="A711" s="147" t="s">
        <v>4058</v>
      </c>
      <c r="B711" s="148" t="s">
        <v>4065</v>
      </c>
      <c r="C711" s="164" t="s">
        <v>4073</v>
      </c>
      <c r="D711" s="148" t="s">
        <v>1881</v>
      </c>
      <c r="E711" s="148" t="s">
        <v>139</v>
      </c>
      <c r="F711" s="149">
        <v>472.68</v>
      </c>
      <c r="G711" s="149">
        <f>'5 - R. ANALÍTICO - MODIFICAD'!$H$2253</f>
        <v>1</v>
      </c>
      <c r="H711" s="151">
        <f>'14 -BDI-EDIFICAÇÕES - SEM DESON'!$H$23</f>
        <v>0.2222616419077901</v>
      </c>
      <c r="I711" s="149">
        <f>ROUND(G711*(1+H711),2)</f>
        <v>1.22</v>
      </c>
      <c r="J711" s="149">
        <f>ROUND(ROUND(F711,2)*ROUND(I711,2),2)</f>
        <v>576.66999999999996</v>
      </c>
      <c r="L711" s="112"/>
    </row>
    <row r="712" spans="1:12" ht="14.25">
      <c r="A712" s="147" t="s">
        <v>4059</v>
      </c>
      <c r="B712" s="148" t="s">
        <v>4066</v>
      </c>
      <c r="C712" s="164" t="s">
        <v>4074</v>
      </c>
      <c r="D712" s="148" t="s">
        <v>1881</v>
      </c>
      <c r="E712" s="148" t="s">
        <v>139</v>
      </c>
      <c r="F712" s="149">
        <v>3530.83</v>
      </c>
      <c r="G712" s="149">
        <f>'5 - R. ANALÍTICO - MODIFICAD'!$H$2258</f>
        <v>1</v>
      </c>
      <c r="H712" s="151">
        <f>'14 -BDI-EDIFICAÇÕES - SEM DESON'!$H$23</f>
        <v>0.2222616419077901</v>
      </c>
      <c r="I712" s="149">
        <f t="shared" ref="I712:I717" si="260">ROUND(G712*(1+H712),2)</f>
        <v>1.22</v>
      </c>
      <c r="J712" s="149">
        <f t="shared" ref="J712:J717" si="261">ROUND(ROUND(F712,2)*ROUND(I712,2),2)</f>
        <v>4307.6099999999997</v>
      </c>
      <c r="L712" s="112"/>
    </row>
    <row r="713" spans="1:12" ht="14.25">
      <c r="A713" s="147" t="s">
        <v>4060</v>
      </c>
      <c r="B713" s="148" t="s">
        <v>4067</v>
      </c>
      <c r="C713" s="164" t="s">
        <v>4075</v>
      </c>
      <c r="D713" s="148" t="s">
        <v>1881</v>
      </c>
      <c r="E713" s="148" t="s">
        <v>139</v>
      </c>
      <c r="F713" s="149">
        <v>472.68</v>
      </c>
      <c r="G713" s="149">
        <f>'5 - R. ANALÍTICO - MODIFICAD'!$H$2263</f>
        <v>1</v>
      </c>
      <c r="H713" s="151">
        <f>'14 -BDI-EDIFICAÇÕES - SEM DESON'!$H$23</f>
        <v>0.2222616419077901</v>
      </c>
      <c r="I713" s="149">
        <f t="shared" si="260"/>
        <v>1.22</v>
      </c>
      <c r="J713" s="149">
        <f t="shared" si="261"/>
        <v>576.66999999999996</v>
      </c>
      <c r="L713" s="112"/>
    </row>
    <row r="714" spans="1:12" ht="14.25">
      <c r="A714" s="147" t="s">
        <v>4061</v>
      </c>
      <c r="B714" s="148" t="s">
        <v>4068</v>
      </c>
      <c r="C714" s="164" t="s">
        <v>4076</v>
      </c>
      <c r="D714" s="148" t="s">
        <v>1881</v>
      </c>
      <c r="E714" s="148" t="s">
        <v>139</v>
      </c>
      <c r="F714" s="149">
        <v>3530.83</v>
      </c>
      <c r="G714" s="149">
        <f>'5 - R. ANALÍTICO - MODIFICAD'!$H$2268</f>
        <v>1</v>
      </c>
      <c r="H714" s="151">
        <f>'14 -BDI-EDIFICAÇÕES - SEM DESON'!$H$23</f>
        <v>0.2222616419077901</v>
      </c>
      <c r="I714" s="149">
        <f t="shared" si="260"/>
        <v>1.22</v>
      </c>
      <c r="J714" s="149">
        <f t="shared" si="261"/>
        <v>4307.6099999999997</v>
      </c>
      <c r="L714" s="112"/>
    </row>
    <row r="715" spans="1:12" ht="14.25">
      <c r="A715" s="147" t="s">
        <v>4062</v>
      </c>
      <c r="B715" s="148" t="s">
        <v>4069</v>
      </c>
      <c r="C715" s="164" t="s">
        <v>4077</v>
      </c>
      <c r="D715" s="148" t="s">
        <v>1881</v>
      </c>
      <c r="E715" s="148" t="s">
        <v>139</v>
      </c>
      <c r="F715" s="149">
        <v>472.68</v>
      </c>
      <c r="G715" s="149">
        <f>'5 - R. ANALÍTICO - MODIFICAD'!$H$2273</f>
        <v>1</v>
      </c>
      <c r="H715" s="151">
        <f>'14 -BDI-EDIFICAÇÕES - SEM DESON'!$H$23</f>
        <v>0.2222616419077901</v>
      </c>
      <c r="I715" s="149">
        <f t="shared" si="260"/>
        <v>1.22</v>
      </c>
      <c r="J715" s="149">
        <f t="shared" si="261"/>
        <v>576.66999999999996</v>
      </c>
      <c r="L715" s="112"/>
    </row>
    <row r="716" spans="1:12" ht="14.25">
      <c r="A716" s="147" t="s">
        <v>4063</v>
      </c>
      <c r="B716" s="148" t="s">
        <v>4070</v>
      </c>
      <c r="C716" s="164" t="s">
        <v>4078</v>
      </c>
      <c r="D716" s="148" t="s">
        <v>1881</v>
      </c>
      <c r="E716" s="148" t="s">
        <v>139</v>
      </c>
      <c r="F716" s="149">
        <v>472.68</v>
      </c>
      <c r="G716" s="149">
        <f>'5 - R. ANALÍTICO - MODIFICAD'!$H$2278</f>
        <v>1</v>
      </c>
      <c r="H716" s="151">
        <f>'14 -BDI-EDIFICAÇÕES - SEM DESON'!$H$23</f>
        <v>0.2222616419077901</v>
      </c>
      <c r="I716" s="149">
        <f t="shared" si="260"/>
        <v>1.22</v>
      </c>
      <c r="J716" s="149">
        <f t="shared" si="261"/>
        <v>576.66999999999996</v>
      </c>
      <c r="L716" s="112"/>
    </row>
    <row r="717" spans="1:12" ht="14.25">
      <c r="A717" s="147" t="s">
        <v>4064</v>
      </c>
      <c r="B717" s="148" t="s">
        <v>4071</v>
      </c>
      <c r="C717" s="164" t="s">
        <v>4079</v>
      </c>
      <c r="D717" s="148" t="s">
        <v>1881</v>
      </c>
      <c r="E717" s="148" t="s">
        <v>139</v>
      </c>
      <c r="F717" s="149">
        <v>472.68</v>
      </c>
      <c r="G717" s="149">
        <f>'5 - R. ANALÍTICO - MODIFICAD'!$H$2283</f>
        <v>1</v>
      </c>
      <c r="H717" s="151">
        <f>'14 -BDI-EDIFICAÇÕES - SEM DESON'!$H$23</f>
        <v>0.2222616419077901</v>
      </c>
      <c r="I717" s="149">
        <f t="shared" si="260"/>
        <v>1.22</v>
      </c>
      <c r="J717" s="149">
        <f t="shared" si="261"/>
        <v>576.66999999999996</v>
      </c>
      <c r="L717" s="112"/>
    </row>
    <row r="718" spans="1:12" s="112" customFormat="1" ht="29.25" customHeight="1">
      <c r="A718" s="109" t="s">
        <v>987</v>
      </c>
      <c r="B718" s="145" t="s">
        <v>460</v>
      </c>
      <c r="C718" s="143"/>
      <c r="D718" s="143"/>
      <c r="E718" s="143"/>
      <c r="F718" s="143"/>
      <c r="G718" s="143"/>
      <c r="H718" s="143"/>
      <c r="I718" s="144"/>
      <c r="J718" s="113">
        <f>J719</f>
        <v>4111.12</v>
      </c>
    </row>
    <row r="719" spans="1:12" s="112" customFormat="1" ht="29.25" customHeight="1">
      <c r="A719" s="109" t="s">
        <v>58</v>
      </c>
      <c r="B719" s="145" t="s">
        <v>461</v>
      </c>
      <c r="C719" s="143"/>
      <c r="D719" s="143"/>
      <c r="E719" s="143"/>
      <c r="F719" s="143"/>
      <c r="G719" s="143"/>
      <c r="H719" s="143"/>
      <c r="I719" s="144"/>
      <c r="J719" s="113">
        <f>SUM(J720:J721)</f>
        <v>4111.12</v>
      </c>
    </row>
    <row r="720" spans="1:12" ht="42.75">
      <c r="A720" s="147" t="s">
        <v>462</v>
      </c>
      <c r="B720" s="148">
        <v>10527</v>
      </c>
      <c r="C720" s="164" t="s">
        <v>2539</v>
      </c>
      <c r="D720" s="148" t="s">
        <v>1881</v>
      </c>
      <c r="E720" s="148" t="s">
        <v>463</v>
      </c>
      <c r="F720" s="149">
        <v>59</v>
      </c>
      <c r="G720" s="149">
        <v>30.13</v>
      </c>
      <c r="H720" s="151">
        <f>'14 -BDI-EDIFICAÇÕES - SEM DESON'!$H$23</f>
        <v>0.2222616419077901</v>
      </c>
      <c r="I720" s="149">
        <f t="shared" ref="I720:I721" si="262">ROUND(G720*(1+H720),2)</f>
        <v>36.83</v>
      </c>
      <c r="J720" s="149">
        <f t="shared" ref="J720:J721" si="263">ROUND(ROUND(F720,2)*ROUND(I720,2),2)</f>
        <v>2172.9699999999998</v>
      </c>
      <c r="L720" s="112"/>
    </row>
    <row r="721" spans="1:12" ht="28.5">
      <c r="A721" s="147" t="s">
        <v>1226</v>
      </c>
      <c r="B721" s="148">
        <v>97064</v>
      </c>
      <c r="C721" s="164" t="s">
        <v>1227</v>
      </c>
      <c r="D721" s="148" t="s">
        <v>119</v>
      </c>
      <c r="E721" s="148" t="s">
        <v>173</v>
      </c>
      <c r="F721" s="149">
        <v>59</v>
      </c>
      <c r="G721" s="149">
        <v>26.88</v>
      </c>
      <c r="H721" s="151">
        <f>'14 -BDI-EDIFICAÇÕES - SEM DESON'!$H$23</f>
        <v>0.2222616419077901</v>
      </c>
      <c r="I721" s="149">
        <f t="shared" si="262"/>
        <v>32.85</v>
      </c>
      <c r="J721" s="149">
        <f t="shared" si="263"/>
        <v>1938.15</v>
      </c>
      <c r="L721" s="112"/>
    </row>
    <row r="722" spans="1:12" ht="15">
      <c r="A722" s="150"/>
      <c r="B722" s="150"/>
      <c r="C722" s="150"/>
      <c r="D722" s="150"/>
      <c r="E722" s="150"/>
      <c r="F722" s="150"/>
      <c r="G722" s="150"/>
      <c r="H722" s="594" t="s">
        <v>465</v>
      </c>
      <c r="I722" s="594"/>
      <c r="J722" s="146">
        <f>J16+J18+J57+J160+J392+J515+J669+J688+J696+J718</f>
        <v>5858270.9299999988</v>
      </c>
    </row>
    <row r="723" spans="1:12" ht="221.25" customHeight="1">
      <c r="A723" s="595" t="s">
        <v>1078</v>
      </c>
      <c r="B723" s="595"/>
      <c r="C723" s="595"/>
      <c r="D723" s="595"/>
      <c r="E723" s="595"/>
      <c r="F723" s="595"/>
      <c r="G723" s="595"/>
      <c r="H723" s="595"/>
      <c r="I723" s="595"/>
      <c r="J723" s="595"/>
    </row>
  </sheetData>
  <mergeCells count="30">
    <mergeCell ref="D10:E10"/>
    <mergeCell ref="B10:C13"/>
    <mergeCell ref="A10:A13"/>
    <mergeCell ref="F10:G10"/>
    <mergeCell ref="A1:J2"/>
    <mergeCell ref="A3:J3"/>
    <mergeCell ref="A4:A6"/>
    <mergeCell ref="B4:C6"/>
    <mergeCell ref="D4:E4"/>
    <mergeCell ref="F4:G4"/>
    <mergeCell ref="D5:E5"/>
    <mergeCell ref="F5:G5"/>
    <mergeCell ref="D6:E6"/>
    <mergeCell ref="F6:G6"/>
    <mergeCell ref="A7:A9"/>
    <mergeCell ref="B7:C9"/>
    <mergeCell ref="D7:E7"/>
    <mergeCell ref="F7:G7"/>
    <mergeCell ref="D8:E8"/>
    <mergeCell ref="F8:G8"/>
    <mergeCell ref="D9:E9"/>
    <mergeCell ref="F9:G9"/>
    <mergeCell ref="H722:I722"/>
    <mergeCell ref="A723:J723"/>
    <mergeCell ref="F13:G13"/>
    <mergeCell ref="D11:E11"/>
    <mergeCell ref="F11:G11"/>
    <mergeCell ref="D12:E12"/>
    <mergeCell ref="F12:G12"/>
    <mergeCell ref="D13:E13"/>
  </mergeCells>
  <phoneticPr fontId="32" type="noConversion"/>
  <printOptions horizontalCentered="1"/>
  <pageMargins left="0.19685039370078741" right="0.19685039370078741" top="0.39370078740157483" bottom="0.78740157480314965" header="0.31496062992125984" footer="0.31496062992125984"/>
  <pageSetup paperSize="9"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405F-DAC4-46EA-8264-2BEFEE0709F1}">
  <sheetPr>
    <tabColor rgb="FF00B0F0"/>
    <pageSetUpPr fitToPage="1"/>
  </sheetPr>
  <dimension ref="A1:I4143"/>
  <sheetViews>
    <sheetView view="pageBreakPreview" zoomScale="55" zoomScaleNormal="70" zoomScaleSheetLayoutView="55" workbookViewId="0">
      <selection activeCell="U874" sqref="U874"/>
    </sheetView>
  </sheetViews>
  <sheetFormatPr defaultColWidth="9.140625" defaultRowHeight="12.75"/>
  <cols>
    <col min="1" max="1" width="14.42578125" style="106" customWidth="1"/>
    <col min="2" max="2" width="14.28515625" style="106" customWidth="1"/>
    <col min="3" max="3" width="98.42578125" style="106" customWidth="1"/>
    <col min="4" max="4" width="12.42578125" style="106" customWidth="1"/>
    <col min="5" max="5" width="7.5703125" style="106" customWidth="1"/>
    <col min="6" max="6" width="20.7109375" style="106" customWidth="1"/>
    <col min="7" max="7" width="21" style="106" customWidth="1"/>
    <col min="8" max="8" width="13.42578125" style="106" customWidth="1"/>
    <col min="9" max="9" width="9.140625" style="106" customWidth="1"/>
    <col min="10" max="16384" width="9.140625" style="106"/>
  </cols>
  <sheetData>
    <row r="1" spans="1:9" ht="15" customHeight="1">
      <c r="A1" s="613" t="s">
        <v>62</v>
      </c>
      <c r="B1" s="613"/>
      <c r="C1" s="613"/>
      <c r="D1" s="613"/>
      <c r="E1" s="613"/>
      <c r="F1" s="613"/>
      <c r="G1" s="613"/>
      <c r="H1" s="613"/>
      <c r="I1" s="613"/>
    </row>
    <row r="2" spans="1:9" ht="18" customHeight="1">
      <c r="A2" s="613"/>
      <c r="B2" s="613"/>
      <c r="C2" s="613"/>
      <c r="D2" s="613"/>
      <c r="E2" s="613"/>
      <c r="F2" s="613"/>
      <c r="G2" s="613"/>
      <c r="H2" s="613"/>
      <c r="I2" s="613"/>
    </row>
    <row r="3" spans="1:9" ht="18" customHeight="1">
      <c r="A3" s="613"/>
      <c r="B3" s="613"/>
      <c r="C3" s="613"/>
      <c r="D3" s="613"/>
      <c r="E3" s="613"/>
      <c r="F3" s="613"/>
      <c r="G3" s="613"/>
      <c r="H3" s="613"/>
      <c r="I3" s="613"/>
    </row>
    <row r="4" spans="1:9">
      <c r="A4" s="613"/>
      <c r="B4" s="613"/>
      <c r="C4" s="613"/>
      <c r="D4" s="613"/>
      <c r="E4" s="613"/>
      <c r="F4" s="613"/>
      <c r="G4" s="613"/>
      <c r="H4" s="613"/>
      <c r="I4" s="613"/>
    </row>
    <row r="5" spans="1:9" ht="15" customHeight="1">
      <c r="A5" s="616" t="s">
        <v>2503</v>
      </c>
      <c r="B5" s="616"/>
      <c r="C5" s="616"/>
      <c r="D5" s="616"/>
      <c r="E5" s="616"/>
      <c r="F5" s="616"/>
      <c r="G5" s="616"/>
      <c r="H5" s="616"/>
      <c r="I5" s="616"/>
    </row>
    <row r="6" spans="1:9" ht="15">
      <c r="A6"/>
      <c r="B6" s="105"/>
      <c r="C6" s="105"/>
      <c r="D6" s="105"/>
      <c r="E6" s="105"/>
      <c r="F6" s="110"/>
      <c r="G6" s="110"/>
      <c r="H6" s="110"/>
    </row>
    <row r="7" spans="1:9" s="220" customFormat="1" ht="27" customHeight="1">
      <c r="A7" s="178" t="str">
        <f>'3 - PLAN. ORÇAMENTÁRIA'!A21</f>
        <v>2.1.1.1</v>
      </c>
      <c r="B7" s="178">
        <f>VLOOKUP(A7,'3 - PLAN. ORÇAMENTÁRIA'!$A$16:$B$721,2,FALSE)</f>
        <v>10775</v>
      </c>
      <c r="C7" s="631" t="str">
        <f>VLOOKUP(A7,'3 - PLAN. ORÇAMENTÁRIA'!$A$16:$C$721,3,FALSE)</f>
        <v>LOCACAO DE CONTAINER 2,30 X 6,00 M, ALT. 2,50 M, COM 1 SANITARIO, PARA ESCRITORIO, COMPLETO, SEM DIVISORIAS INTERNAS (NAO INCLUI MOBILIZACAO/DESMOBILIZACAO)</v>
      </c>
      <c r="D7" s="632"/>
      <c r="E7" s="632"/>
      <c r="F7" s="632"/>
      <c r="G7" s="633"/>
      <c r="H7" s="131" t="str">
        <f>VLOOKUP(A7,'3 - PLAN. ORÇAMENTÁRIA'!$A$17:$E$721,5,FALSE)</f>
        <v>MES</v>
      </c>
    </row>
    <row r="8" spans="1:9">
      <c r="B8" s="628" t="s">
        <v>588</v>
      </c>
      <c r="C8" s="628"/>
      <c r="D8" s="103" t="s">
        <v>579</v>
      </c>
      <c r="E8" s="103" t="s">
        <v>580</v>
      </c>
      <c r="F8" s="103" t="s">
        <v>581</v>
      </c>
      <c r="G8" s="103" t="s">
        <v>582</v>
      </c>
      <c r="H8" s="103" t="s">
        <v>583</v>
      </c>
    </row>
    <row r="9" spans="1:9" ht="25.5">
      <c r="B9" s="130" t="s">
        <v>129</v>
      </c>
      <c r="C9" s="229" t="s">
        <v>130</v>
      </c>
      <c r="D9" s="130" t="s">
        <v>119</v>
      </c>
      <c r="E9" s="130" t="s">
        <v>123</v>
      </c>
      <c r="F9" s="230">
        <v>1</v>
      </c>
      <c r="G9" s="272">
        <v>1500</v>
      </c>
      <c r="H9" s="272">
        <v>1500</v>
      </c>
    </row>
    <row r="10" spans="1:9">
      <c r="B10" s="105"/>
      <c r="C10" s="105"/>
      <c r="D10" s="105"/>
      <c r="E10" s="105"/>
      <c r="F10" s="629" t="s">
        <v>589</v>
      </c>
      <c r="G10" s="629"/>
      <c r="H10" s="271">
        <v>1500</v>
      </c>
    </row>
    <row r="11" spans="1:9" ht="12.75" customHeight="1">
      <c r="B11" s="105"/>
      <c r="C11" s="105"/>
      <c r="D11" s="105"/>
      <c r="E11" s="105"/>
      <c r="F11" s="630" t="s">
        <v>464</v>
      </c>
      <c r="G11" s="630"/>
      <c r="H11" s="102">
        <v>1500</v>
      </c>
    </row>
    <row r="12" spans="1:9">
      <c r="B12" s="105"/>
      <c r="C12" s="105"/>
      <c r="D12" s="105"/>
      <c r="E12" s="105"/>
      <c r="F12" s="634"/>
      <c r="G12" s="634"/>
      <c r="H12" s="634"/>
    </row>
    <row r="13" spans="1:9" s="220" customFormat="1" ht="27" customHeight="1">
      <c r="A13" s="178" t="str">
        <f>'3 - PLAN. ORÇAMENTÁRIA'!A22</f>
        <v>2.1.1.2</v>
      </c>
      <c r="B13" s="178">
        <f>VLOOKUP(A13,'3 - PLAN. ORÇAMENTÁRIA'!$A$16:$B$721,2,FALSE)</f>
        <v>10777</v>
      </c>
      <c r="C13" s="631" t="str">
        <f>VLOOKUP(A13,'3 - PLAN. ORÇAMENTÁRIA'!$A$16:$C$721,3,FALSE)</f>
        <v>LOCACAO DE CONTAINER 2,30 X 4,30 M, ALT. 2,50 M, PARA SANITARIO, COM 3 BACIAS, 4 CHUVEIROS, 1 LAVATORIO E 1 MICTORIO (NAO INCLUI MOBILIZACAO/DESMOBILIZACAO)</v>
      </c>
      <c r="D13" s="632"/>
      <c r="E13" s="632"/>
      <c r="F13" s="632"/>
      <c r="G13" s="633"/>
      <c r="H13" s="131" t="str">
        <f>VLOOKUP(A13,'3 - PLAN. ORÇAMENTÁRIA'!$A$17:$E$721,5,FALSE)</f>
        <v>MES</v>
      </c>
    </row>
    <row r="14" spans="1:9">
      <c r="B14" s="628" t="s">
        <v>588</v>
      </c>
      <c r="C14" s="628"/>
      <c r="D14" s="103" t="s">
        <v>579</v>
      </c>
      <c r="E14" s="103" t="s">
        <v>580</v>
      </c>
      <c r="F14" s="103" t="s">
        <v>581</v>
      </c>
      <c r="G14" s="103" t="s">
        <v>582</v>
      </c>
      <c r="H14" s="103" t="s">
        <v>583</v>
      </c>
    </row>
    <row r="15" spans="1:9" ht="25.5">
      <c r="B15" s="130" t="s">
        <v>132</v>
      </c>
      <c r="C15" s="229" t="s">
        <v>133</v>
      </c>
      <c r="D15" s="130" t="s">
        <v>119</v>
      </c>
      <c r="E15" s="130" t="s">
        <v>123</v>
      </c>
      <c r="F15" s="230">
        <v>1</v>
      </c>
      <c r="G15" s="272">
        <v>1703.12</v>
      </c>
      <c r="H15" s="272">
        <v>1703.12</v>
      </c>
    </row>
    <row r="16" spans="1:9">
      <c r="B16" s="105"/>
      <c r="C16" s="105"/>
      <c r="D16" s="105"/>
      <c r="E16" s="105"/>
      <c r="F16" s="629" t="s">
        <v>589</v>
      </c>
      <c r="G16" s="629"/>
      <c r="H16" s="271">
        <v>1703.12</v>
      </c>
    </row>
    <row r="17" spans="1:8" ht="12.75" customHeight="1">
      <c r="B17" s="105"/>
      <c r="C17" s="105"/>
      <c r="D17" s="105"/>
      <c r="E17" s="105"/>
      <c r="F17" s="630" t="s">
        <v>464</v>
      </c>
      <c r="G17" s="630"/>
      <c r="H17" s="102">
        <v>1703.12</v>
      </c>
    </row>
    <row r="18" spans="1:8">
      <c r="B18" s="105"/>
      <c r="C18" s="105"/>
      <c r="D18" s="105"/>
      <c r="E18" s="105"/>
      <c r="F18" s="634"/>
      <c r="G18" s="634"/>
      <c r="H18" s="634"/>
    </row>
    <row r="19" spans="1:8" s="220" customFormat="1" ht="27" customHeight="1">
      <c r="A19" s="178" t="str">
        <f>'3 - PLAN. ORÇAMENTÁRIA'!A23</f>
        <v>2.1.1.3</v>
      </c>
      <c r="B19" s="178">
        <f>VLOOKUP(A19,'3 - PLAN. ORÇAMENTÁRIA'!$A$16:$B$721,2,FALSE)</f>
        <v>10776</v>
      </c>
      <c r="C19" s="631" t="str">
        <f>VLOOKUP(A19,'3 - PLAN. ORÇAMENTÁRIA'!$A$16:$C$721,3,FALSE)</f>
        <v>LOCACAO DE CONTAINER 2,30 X 6,00 M, ALT. 2,50 M, PARA ALMOXARIFE, SEM DIVISORIAS INTERNAS E SEM SANITARIO (NAO INCLUI MOBILIZACAO/DESMOBILIZACAO)</v>
      </c>
      <c r="D19" s="632"/>
      <c r="E19" s="632"/>
      <c r="F19" s="632"/>
      <c r="G19" s="633"/>
      <c r="H19" s="131" t="str">
        <f>VLOOKUP(A19,'3 - PLAN. ORÇAMENTÁRIA'!$A$17:$E$721,5,FALSE)</f>
        <v>MES</v>
      </c>
    </row>
    <row r="20" spans="1:8">
      <c r="B20" s="628" t="s">
        <v>588</v>
      </c>
      <c r="C20" s="628"/>
      <c r="D20" s="103" t="s">
        <v>579</v>
      </c>
      <c r="E20" s="103" t="s">
        <v>580</v>
      </c>
      <c r="F20" s="103" t="s">
        <v>581</v>
      </c>
      <c r="G20" s="103" t="s">
        <v>582</v>
      </c>
      <c r="H20" s="103" t="s">
        <v>583</v>
      </c>
    </row>
    <row r="21" spans="1:8" ht="25.5">
      <c r="B21" s="130" t="s">
        <v>135</v>
      </c>
      <c r="C21" s="229" t="s">
        <v>1239</v>
      </c>
      <c r="D21" s="130" t="s">
        <v>119</v>
      </c>
      <c r="E21" s="130" t="s">
        <v>123</v>
      </c>
      <c r="F21" s="230">
        <v>1</v>
      </c>
      <c r="G21" s="272">
        <v>1171.8699999999999</v>
      </c>
      <c r="H21" s="272">
        <v>1171.8699999999999</v>
      </c>
    </row>
    <row r="22" spans="1:8">
      <c r="B22" s="105"/>
      <c r="C22" s="105"/>
      <c r="D22" s="105"/>
      <c r="E22" s="105"/>
      <c r="F22" s="629" t="s">
        <v>589</v>
      </c>
      <c r="G22" s="629"/>
      <c r="H22" s="271">
        <v>1171.8699999999999</v>
      </c>
    </row>
    <row r="23" spans="1:8" ht="12.75" customHeight="1">
      <c r="B23" s="105"/>
      <c r="C23" s="105"/>
      <c r="D23" s="105"/>
      <c r="E23" s="105"/>
      <c r="F23" s="630" t="s">
        <v>464</v>
      </c>
      <c r="G23" s="630"/>
      <c r="H23" s="102">
        <v>1171.8699999999999</v>
      </c>
    </row>
    <row r="24" spans="1:8">
      <c r="B24" s="105"/>
      <c r="C24" s="105"/>
      <c r="D24" s="105"/>
      <c r="E24" s="105"/>
      <c r="F24" s="634"/>
      <c r="G24" s="634"/>
      <c r="H24" s="634"/>
    </row>
    <row r="25" spans="1:8" s="220" customFormat="1" ht="27" customHeight="1">
      <c r="A25" s="178" t="str">
        <f>'3 - PLAN. ORÇAMENTÁRIA'!A27</f>
        <v>2.1.2.1</v>
      </c>
      <c r="B25" s="178">
        <f>VLOOKUP(A25,'3 - PLAN. ORÇAMENTÁRIA'!$A$16:$B$721,2,FALSE)</f>
        <v>101509</v>
      </c>
      <c r="C25" s="631" t="str">
        <f>VLOOKUP(A25,'3 - PLAN. ORÇAMENTÁRIA'!$A$16:$C$721,3,FALSE)</f>
        <v>LIGAÇÃO PROVISÓRIA COM ENTRADA DE ENERGIA AÉREA, PADRÃO LOCAL DA CONCESSIONARIA - FORNECIMENTO E INSTALAÇÃO COMPLETA (INCLUSO TAXAS E DEMAIS DESPESAS)</v>
      </c>
      <c r="D25" s="632"/>
      <c r="E25" s="632"/>
      <c r="F25" s="632"/>
      <c r="G25" s="633"/>
      <c r="H25" s="131" t="str">
        <f>VLOOKUP(A25,'3 - PLAN. ORÇAMENTÁRIA'!$A$17:$E$721,5,FALSE)</f>
        <v>UN</v>
      </c>
    </row>
    <row r="26" spans="1:8">
      <c r="B26" s="628" t="s">
        <v>593</v>
      </c>
      <c r="C26" s="628"/>
      <c r="D26" s="103" t="s">
        <v>579</v>
      </c>
      <c r="E26" s="103" t="s">
        <v>580</v>
      </c>
      <c r="F26" s="103" t="s">
        <v>581</v>
      </c>
      <c r="G26" s="103" t="s">
        <v>582</v>
      </c>
      <c r="H26" s="103" t="s">
        <v>583</v>
      </c>
    </row>
    <row r="27" spans="1:8" ht="25.5">
      <c r="B27" s="130" t="s">
        <v>1240</v>
      </c>
      <c r="C27" s="229" t="s">
        <v>1241</v>
      </c>
      <c r="D27" s="130" t="s">
        <v>119</v>
      </c>
      <c r="E27" s="130" t="s">
        <v>144</v>
      </c>
      <c r="F27" s="230">
        <v>1</v>
      </c>
      <c r="G27" s="494">
        <v>36.950000000000003</v>
      </c>
      <c r="H27" s="494">
        <v>36.950000000000003</v>
      </c>
    </row>
    <row r="28" spans="1:8" ht="25.5">
      <c r="B28" s="130" t="s">
        <v>1242</v>
      </c>
      <c r="C28" s="229" t="s">
        <v>1243</v>
      </c>
      <c r="D28" s="130" t="s">
        <v>119</v>
      </c>
      <c r="E28" s="130" t="s">
        <v>144</v>
      </c>
      <c r="F28" s="230">
        <v>2</v>
      </c>
      <c r="G28" s="494">
        <v>1.43</v>
      </c>
      <c r="H28" s="494">
        <v>2.86</v>
      </c>
    </row>
    <row r="29" spans="1:8" ht="25.5">
      <c r="B29" s="130" t="s">
        <v>1244</v>
      </c>
      <c r="C29" s="229" t="s">
        <v>1245</v>
      </c>
      <c r="D29" s="130" t="s">
        <v>119</v>
      </c>
      <c r="E29" s="130" t="s">
        <v>144</v>
      </c>
      <c r="F29" s="230">
        <v>1</v>
      </c>
      <c r="G29" s="494">
        <v>55.42</v>
      </c>
      <c r="H29" s="494">
        <v>55.42</v>
      </c>
    </row>
    <row r="30" spans="1:8" ht="25.5">
      <c r="B30" s="130" t="s">
        <v>1246</v>
      </c>
      <c r="C30" s="229" t="s">
        <v>1247</v>
      </c>
      <c r="D30" s="130" t="s">
        <v>119</v>
      </c>
      <c r="E30" s="130" t="s">
        <v>144</v>
      </c>
      <c r="F30" s="230">
        <v>1</v>
      </c>
      <c r="G30" s="494">
        <v>226.96</v>
      </c>
      <c r="H30" s="494">
        <v>226.96</v>
      </c>
    </row>
    <row r="31" spans="1:8">
      <c r="B31" s="130" t="s">
        <v>1248</v>
      </c>
      <c r="C31" s="229" t="s">
        <v>1249</v>
      </c>
      <c r="D31" s="130" t="s">
        <v>119</v>
      </c>
      <c r="E31" s="130" t="s">
        <v>144</v>
      </c>
      <c r="F31" s="230">
        <v>0.06</v>
      </c>
      <c r="G31" s="494">
        <v>61.6</v>
      </c>
      <c r="H31" s="494">
        <v>3.7</v>
      </c>
    </row>
    <row r="32" spans="1:8" ht="25.5">
      <c r="B32" s="130" t="s">
        <v>605</v>
      </c>
      <c r="C32" s="229" t="s">
        <v>606</v>
      </c>
      <c r="D32" s="130" t="s">
        <v>119</v>
      </c>
      <c r="E32" s="130" t="s">
        <v>144</v>
      </c>
      <c r="F32" s="230">
        <v>1</v>
      </c>
      <c r="G32" s="494">
        <v>4.79</v>
      </c>
      <c r="H32" s="494">
        <v>4.79</v>
      </c>
    </row>
    <row r="33" spans="2:8" ht="25.5">
      <c r="B33" s="130" t="s">
        <v>1250</v>
      </c>
      <c r="C33" s="229" t="s">
        <v>1251</v>
      </c>
      <c r="D33" s="130" t="s">
        <v>119</v>
      </c>
      <c r="E33" s="130" t="s">
        <v>144</v>
      </c>
      <c r="F33" s="230">
        <v>3</v>
      </c>
      <c r="G33" s="494">
        <v>11.71</v>
      </c>
      <c r="H33" s="494">
        <v>35.130000000000003</v>
      </c>
    </row>
    <row r="34" spans="2:8">
      <c r="B34" s="130" t="s">
        <v>1252</v>
      </c>
      <c r="C34" s="229" t="s">
        <v>1253</v>
      </c>
      <c r="D34" s="130" t="s">
        <v>119</v>
      </c>
      <c r="E34" s="130" t="s">
        <v>144</v>
      </c>
      <c r="F34" s="230">
        <v>2</v>
      </c>
      <c r="G34" s="494">
        <v>0.35</v>
      </c>
      <c r="H34" s="494">
        <v>0.7</v>
      </c>
    </row>
    <row r="35" spans="2:8">
      <c r="B35" s="130" t="s">
        <v>1254</v>
      </c>
      <c r="C35" s="229" t="s">
        <v>1255</v>
      </c>
      <c r="D35" s="130" t="s">
        <v>119</v>
      </c>
      <c r="E35" s="130" t="s">
        <v>173</v>
      </c>
      <c r="F35" s="230">
        <v>0.16639999999999999</v>
      </c>
      <c r="G35" s="494">
        <v>2.9</v>
      </c>
      <c r="H35" s="494">
        <v>0.48</v>
      </c>
    </row>
    <row r="36" spans="2:8">
      <c r="B36" s="105"/>
      <c r="C36" s="105"/>
      <c r="D36" s="105"/>
      <c r="E36" s="105"/>
      <c r="F36" s="629" t="s">
        <v>604</v>
      </c>
      <c r="G36" s="629"/>
      <c r="H36" s="495">
        <v>366.99</v>
      </c>
    </row>
    <row r="37" spans="2:8" ht="12.75" customHeight="1">
      <c r="B37" s="628" t="s">
        <v>607</v>
      </c>
      <c r="C37" s="628"/>
      <c r="D37" s="103" t="s">
        <v>579</v>
      </c>
      <c r="E37" s="103" t="s">
        <v>580</v>
      </c>
      <c r="F37" s="103" t="s">
        <v>581</v>
      </c>
      <c r="G37" s="103" t="s">
        <v>582</v>
      </c>
      <c r="H37" s="103" t="s">
        <v>583</v>
      </c>
    </row>
    <row r="38" spans="2:8">
      <c r="B38" s="130" t="s">
        <v>1256</v>
      </c>
      <c r="C38" s="229" t="s">
        <v>608</v>
      </c>
      <c r="D38" s="130" t="s">
        <v>119</v>
      </c>
      <c r="E38" s="130" t="s">
        <v>121</v>
      </c>
      <c r="F38" s="230">
        <v>0.32329999999999998</v>
      </c>
      <c r="G38" s="494">
        <v>25</v>
      </c>
      <c r="H38" s="494">
        <v>8.08</v>
      </c>
    </row>
    <row r="39" spans="2:8">
      <c r="B39" s="130" t="s">
        <v>1257</v>
      </c>
      <c r="C39" s="229" t="s">
        <v>609</v>
      </c>
      <c r="D39" s="130" t="s">
        <v>119</v>
      </c>
      <c r="E39" s="130" t="s">
        <v>121</v>
      </c>
      <c r="F39" s="230">
        <v>2.9102000000000001</v>
      </c>
      <c r="G39" s="494">
        <v>31.72</v>
      </c>
      <c r="H39" s="494">
        <v>92.31</v>
      </c>
    </row>
    <row r="40" spans="2:8" ht="12.75" customHeight="1">
      <c r="B40" s="105"/>
      <c r="C40" s="105"/>
      <c r="D40" s="105"/>
      <c r="E40" s="105"/>
      <c r="F40" s="629" t="s">
        <v>610</v>
      </c>
      <c r="G40" s="629"/>
      <c r="H40" s="495">
        <v>100.39</v>
      </c>
    </row>
    <row r="41" spans="2:8">
      <c r="B41" s="628" t="s">
        <v>586</v>
      </c>
      <c r="C41" s="628"/>
      <c r="D41" s="103" t="s">
        <v>579</v>
      </c>
      <c r="E41" s="103" t="s">
        <v>580</v>
      </c>
      <c r="F41" s="103" t="s">
        <v>581</v>
      </c>
      <c r="G41" s="103" t="s">
        <v>582</v>
      </c>
      <c r="H41" s="103" t="s">
        <v>583</v>
      </c>
    </row>
    <row r="42" spans="2:8" ht="38.25">
      <c r="B42" s="130" t="s">
        <v>1258</v>
      </c>
      <c r="C42" s="229" t="s">
        <v>1259</v>
      </c>
      <c r="D42" s="130" t="s">
        <v>119</v>
      </c>
      <c r="E42" s="130" t="s">
        <v>167</v>
      </c>
      <c r="F42" s="230">
        <v>1.9400000000000001E-2</v>
      </c>
      <c r="G42" s="494">
        <v>730.44</v>
      </c>
      <c r="H42" s="494">
        <v>14.17</v>
      </c>
    </row>
    <row r="43" spans="2:8" ht="38.25">
      <c r="B43" s="130" t="s">
        <v>1260</v>
      </c>
      <c r="C43" s="229" t="s">
        <v>1261</v>
      </c>
      <c r="D43" s="130" t="s">
        <v>119</v>
      </c>
      <c r="E43" s="130" t="s">
        <v>144</v>
      </c>
      <c r="F43" s="230">
        <v>1</v>
      </c>
      <c r="G43" s="494">
        <v>601.22</v>
      </c>
      <c r="H43" s="494">
        <v>601.22</v>
      </c>
    </row>
    <row r="44" spans="2:8" ht="25.5">
      <c r="B44" s="130" t="s">
        <v>1262</v>
      </c>
      <c r="C44" s="229" t="s">
        <v>1263</v>
      </c>
      <c r="D44" s="130" t="s">
        <v>119</v>
      </c>
      <c r="E44" s="130" t="s">
        <v>173</v>
      </c>
      <c r="F44" s="230">
        <v>22.2</v>
      </c>
      <c r="G44" s="494">
        <v>19.649999999999999</v>
      </c>
      <c r="H44" s="494">
        <v>436.23</v>
      </c>
    </row>
    <row r="45" spans="2:8" ht="25.5">
      <c r="B45" s="130" t="s">
        <v>1264</v>
      </c>
      <c r="C45" s="229" t="s">
        <v>1265</v>
      </c>
      <c r="D45" s="130" t="s">
        <v>119</v>
      </c>
      <c r="E45" s="130" t="s">
        <v>144</v>
      </c>
      <c r="F45" s="230">
        <v>1</v>
      </c>
      <c r="G45" s="494">
        <v>19.760000000000002</v>
      </c>
      <c r="H45" s="494">
        <v>19.760000000000002</v>
      </c>
    </row>
    <row r="46" spans="2:8">
      <c r="B46" s="130" t="s">
        <v>1266</v>
      </c>
      <c r="C46" s="229" t="s">
        <v>1267</v>
      </c>
      <c r="D46" s="130" t="s">
        <v>119</v>
      </c>
      <c r="E46" s="130" t="s">
        <v>173</v>
      </c>
      <c r="F46" s="230">
        <v>1.95</v>
      </c>
      <c r="G46" s="494">
        <v>71.98</v>
      </c>
      <c r="H46" s="494">
        <v>140.36000000000001</v>
      </c>
    </row>
    <row r="47" spans="2:8" ht="25.5">
      <c r="B47" s="130" t="s">
        <v>1268</v>
      </c>
      <c r="C47" s="229" t="s">
        <v>1269</v>
      </c>
      <c r="D47" s="130" t="s">
        <v>119</v>
      </c>
      <c r="E47" s="130" t="s">
        <v>144</v>
      </c>
      <c r="F47" s="230">
        <v>1</v>
      </c>
      <c r="G47" s="494">
        <v>25.91</v>
      </c>
      <c r="H47" s="494">
        <v>25.91</v>
      </c>
    </row>
    <row r="48" spans="2:8" ht="25.5">
      <c r="B48" s="130" t="s">
        <v>1270</v>
      </c>
      <c r="C48" s="229" t="s">
        <v>1271</v>
      </c>
      <c r="D48" s="130" t="s">
        <v>119</v>
      </c>
      <c r="E48" s="130" t="s">
        <v>144</v>
      </c>
      <c r="F48" s="230">
        <v>1</v>
      </c>
      <c r="G48" s="494">
        <v>23.54</v>
      </c>
      <c r="H48" s="494">
        <v>23.54</v>
      </c>
    </row>
    <row r="49" spans="1:8" ht="25.5">
      <c r="B49" s="130" t="s">
        <v>1272</v>
      </c>
      <c r="C49" s="229" t="s">
        <v>1273</v>
      </c>
      <c r="D49" s="130" t="s">
        <v>119</v>
      </c>
      <c r="E49" s="130" t="s">
        <v>144</v>
      </c>
      <c r="F49" s="230">
        <v>1</v>
      </c>
      <c r="G49" s="494">
        <v>130.07</v>
      </c>
      <c r="H49" s="494">
        <v>130.07</v>
      </c>
    </row>
    <row r="50" spans="1:8" ht="25.5">
      <c r="B50" s="130" t="s">
        <v>1274</v>
      </c>
      <c r="C50" s="229" t="s">
        <v>1275</v>
      </c>
      <c r="D50" s="130" t="s">
        <v>119</v>
      </c>
      <c r="E50" s="130" t="s">
        <v>173</v>
      </c>
      <c r="F50" s="230">
        <v>6.05</v>
      </c>
      <c r="G50" s="494">
        <v>20.81</v>
      </c>
      <c r="H50" s="494">
        <v>125.9</v>
      </c>
    </row>
    <row r="51" spans="1:8" ht="25.5">
      <c r="B51" s="130" t="s">
        <v>1276</v>
      </c>
      <c r="C51" s="229" t="s">
        <v>1277</v>
      </c>
      <c r="D51" s="130" t="s">
        <v>119</v>
      </c>
      <c r="E51" s="130" t="s">
        <v>144</v>
      </c>
      <c r="F51" s="230">
        <v>1</v>
      </c>
      <c r="G51" s="494">
        <v>111.12</v>
      </c>
      <c r="H51" s="494">
        <v>111.12</v>
      </c>
    </row>
    <row r="52" spans="1:8" ht="25.5">
      <c r="B52" s="130" t="s">
        <v>1278</v>
      </c>
      <c r="C52" s="229" t="s">
        <v>1279</v>
      </c>
      <c r="D52" s="130" t="s">
        <v>119</v>
      </c>
      <c r="E52" s="130" t="s">
        <v>144</v>
      </c>
      <c r="F52" s="230">
        <v>1</v>
      </c>
      <c r="G52" s="494">
        <v>14.38</v>
      </c>
      <c r="H52" s="494">
        <v>14.38</v>
      </c>
    </row>
    <row r="53" spans="1:8">
      <c r="B53" s="105"/>
      <c r="C53" s="105"/>
      <c r="D53" s="105"/>
      <c r="E53" s="105"/>
      <c r="F53" s="629" t="s">
        <v>587</v>
      </c>
      <c r="G53" s="629"/>
      <c r="H53" s="495">
        <v>1642.66</v>
      </c>
    </row>
    <row r="54" spans="1:8" ht="12.75" customHeight="1">
      <c r="B54" s="105"/>
      <c r="C54" s="105"/>
      <c r="D54" s="105"/>
      <c r="E54" s="105"/>
      <c r="F54" s="630" t="s">
        <v>464</v>
      </c>
      <c r="G54" s="630"/>
      <c r="H54" s="102">
        <v>2110.04</v>
      </c>
    </row>
    <row r="55" spans="1:8">
      <c r="B55" s="105"/>
      <c r="C55" s="105"/>
      <c r="D55" s="105"/>
      <c r="E55" s="105"/>
      <c r="F55" s="634"/>
      <c r="G55" s="634"/>
      <c r="H55" s="634"/>
    </row>
    <row r="56" spans="1:8" s="220" customFormat="1" ht="27" customHeight="1">
      <c r="A56" s="178" t="str">
        <f>'3 - PLAN. ORÇAMENTÁRIA'!A28</f>
        <v>2.1.2.2</v>
      </c>
      <c r="B56" s="178">
        <f>VLOOKUP(A56,'3 - PLAN. ORÇAMENTÁRIA'!$A$16:$B$721,2,FALSE)</f>
        <v>95648</v>
      </c>
      <c r="C56" s="631" t="str">
        <f>VLOOKUP(A56,'3 - PLAN. ORÇAMENTÁRIA'!$A$16:$C$721,3,FALSE)</f>
        <v>LIGAÇÃO DE ÁGUA PROVISÓRIA PARA CANTEIRO - FORNECIMENTO E INSTALAÇÃO COMPLETA (INCLUSO TAXAS E DEMAIS DESPESAS)</v>
      </c>
      <c r="D56" s="632"/>
      <c r="E56" s="632"/>
      <c r="F56" s="632"/>
      <c r="G56" s="633"/>
      <c r="H56" s="131" t="str">
        <f>VLOOKUP(A56,'3 - PLAN. ORÇAMENTÁRIA'!$A$17:$E$721,5,FALSE)</f>
        <v>UN</v>
      </c>
    </row>
    <row r="57" spans="1:8">
      <c r="B57" s="628" t="s">
        <v>593</v>
      </c>
      <c r="C57" s="628"/>
      <c r="D57" s="103" t="s">
        <v>579</v>
      </c>
      <c r="E57" s="103" t="s">
        <v>580</v>
      </c>
      <c r="F57" s="103" t="s">
        <v>581</v>
      </c>
      <c r="G57" s="103" t="s">
        <v>582</v>
      </c>
      <c r="H57" s="103" t="s">
        <v>583</v>
      </c>
    </row>
    <row r="58" spans="1:8">
      <c r="B58" s="130" t="s">
        <v>1280</v>
      </c>
      <c r="C58" s="229" t="s">
        <v>1281</v>
      </c>
      <c r="D58" s="130" t="s">
        <v>119</v>
      </c>
      <c r="E58" s="130" t="s">
        <v>144</v>
      </c>
      <c r="F58" s="230">
        <v>0.98</v>
      </c>
      <c r="G58" s="494">
        <v>37.36</v>
      </c>
      <c r="H58" s="494">
        <v>36.61</v>
      </c>
    </row>
    <row r="59" spans="1:8">
      <c r="B59" s="130" t="s">
        <v>1282</v>
      </c>
      <c r="C59" s="229" t="s">
        <v>1283</v>
      </c>
      <c r="D59" s="130" t="s">
        <v>119</v>
      </c>
      <c r="E59" s="130" t="s">
        <v>144</v>
      </c>
      <c r="F59" s="230">
        <v>1</v>
      </c>
      <c r="G59" s="494">
        <v>32.53</v>
      </c>
      <c r="H59" s="494">
        <v>32.53</v>
      </c>
    </row>
    <row r="60" spans="1:8">
      <c r="B60" s="130" t="s">
        <v>1284</v>
      </c>
      <c r="C60" s="229" t="s">
        <v>1285</v>
      </c>
      <c r="D60" s="130" t="s">
        <v>119</v>
      </c>
      <c r="E60" s="130" t="s">
        <v>144</v>
      </c>
      <c r="F60" s="230">
        <v>2</v>
      </c>
      <c r="G60" s="494">
        <v>29.49</v>
      </c>
      <c r="H60" s="494">
        <v>58.98</v>
      </c>
    </row>
    <row r="61" spans="1:8">
      <c r="B61" s="130" t="s">
        <v>1286</v>
      </c>
      <c r="C61" s="229" t="s">
        <v>3793</v>
      </c>
      <c r="D61" s="130" t="s">
        <v>119</v>
      </c>
      <c r="E61" s="130" t="s">
        <v>144</v>
      </c>
      <c r="F61" s="230">
        <v>1.32E-2</v>
      </c>
      <c r="G61" s="494">
        <v>14.38</v>
      </c>
      <c r="H61" s="494">
        <v>0.19</v>
      </c>
    </row>
    <row r="62" spans="1:8">
      <c r="B62" s="130" t="s">
        <v>1287</v>
      </c>
      <c r="C62" s="229" t="s">
        <v>1288</v>
      </c>
      <c r="D62" s="130" t="s">
        <v>119</v>
      </c>
      <c r="E62" s="130" t="s">
        <v>144</v>
      </c>
      <c r="F62" s="230">
        <v>2</v>
      </c>
      <c r="G62" s="494">
        <v>9.48</v>
      </c>
      <c r="H62" s="494">
        <v>18.96</v>
      </c>
    </row>
    <row r="63" spans="1:8">
      <c r="B63" s="130" t="s">
        <v>1289</v>
      </c>
      <c r="C63" s="229" t="s">
        <v>1290</v>
      </c>
      <c r="D63" s="130" t="s">
        <v>119</v>
      </c>
      <c r="E63" s="130" t="s">
        <v>144</v>
      </c>
      <c r="F63" s="230">
        <v>2</v>
      </c>
      <c r="G63" s="494">
        <v>67.44</v>
      </c>
      <c r="H63" s="494">
        <v>134.88</v>
      </c>
    </row>
    <row r="64" spans="1:8">
      <c r="B64" s="130" t="s">
        <v>1291</v>
      </c>
      <c r="C64" s="229" t="s">
        <v>3828</v>
      </c>
      <c r="D64" s="130" t="s">
        <v>119</v>
      </c>
      <c r="E64" s="130" t="s">
        <v>144</v>
      </c>
      <c r="F64" s="230">
        <v>1</v>
      </c>
      <c r="G64" s="494">
        <v>60.69</v>
      </c>
      <c r="H64" s="494">
        <v>60.69</v>
      </c>
    </row>
    <row r="65" spans="1:8">
      <c r="B65" s="130" t="s">
        <v>1292</v>
      </c>
      <c r="C65" s="229" t="s">
        <v>1293</v>
      </c>
      <c r="D65" s="130" t="s">
        <v>119</v>
      </c>
      <c r="E65" s="130" t="s">
        <v>173</v>
      </c>
      <c r="F65" s="230">
        <v>2.9904999999999999</v>
      </c>
      <c r="G65" s="494">
        <v>33.54</v>
      </c>
      <c r="H65" s="494">
        <v>100.3</v>
      </c>
    </row>
    <row r="66" spans="1:8">
      <c r="B66" s="130" t="s">
        <v>1294</v>
      </c>
      <c r="C66" s="229" t="s">
        <v>1295</v>
      </c>
      <c r="D66" s="130" t="s">
        <v>119</v>
      </c>
      <c r="E66" s="130" t="s">
        <v>173</v>
      </c>
      <c r="F66" s="230">
        <v>0.94440000000000002</v>
      </c>
      <c r="G66" s="494">
        <v>85.83</v>
      </c>
      <c r="H66" s="494">
        <v>81.06</v>
      </c>
    </row>
    <row r="67" spans="1:8">
      <c r="B67" s="105"/>
      <c r="C67" s="105"/>
      <c r="D67" s="105"/>
      <c r="E67" s="105"/>
      <c r="F67" s="629" t="s">
        <v>604</v>
      </c>
      <c r="G67" s="629"/>
      <c r="H67" s="495">
        <v>524.20000000000005</v>
      </c>
    </row>
    <row r="68" spans="1:8" ht="12.75" customHeight="1">
      <c r="B68" s="628" t="s">
        <v>607</v>
      </c>
      <c r="C68" s="628"/>
      <c r="D68" s="103" t="s">
        <v>579</v>
      </c>
      <c r="E68" s="103" t="s">
        <v>580</v>
      </c>
      <c r="F68" s="103" t="s">
        <v>581</v>
      </c>
      <c r="G68" s="103" t="s">
        <v>582</v>
      </c>
      <c r="H68" s="103" t="s">
        <v>583</v>
      </c>
    </row>
    <row r="69" spans="1:8">
      <c r="B69" s="130" t="s">
        <v>1296</v>
      </c>
      <c r="C69" s="229" t="s">
        <v>611</v>
      </c>
      <c r="D69" s="130" t="s">
        <v>119</v>
      </c>
      <c r="E69" s="130" t="s">
        <v>121</v>
      </c>
      <c r="F69" s="230">
        <v>1.6420999999999999</v>
      </c>
      <c r="G69" s="494">
        <v>24.02</v>
      </c>
      <c r="H69" s="494">
        <v>39.44</v>
      </c>
    </row>
    <row r="70" spans="1:8">
      <c r="B70" s="130" t="s">
        <v>1297</v>
      </c>
      <c r="C70" s="229" t="s">
        <v>612</v>
      </c>
      <c r="D70" s="130" t="s">
        <v>119</v>
      </c>
      <c r="E70" s="130" t="s">
        <v>121</v>
      </c>
      <c r="F70" s="230">
        <v>1.6420999999999999</v>
      </c>
      <c r="G70" s="494">
        <v>30.62</v>
      </c>
      <c r="H70" s="494">
        <v>50.28</v>
      </c>
    </row>
    <row r="71" spans="1:8" ht="12.75" customHeight="1">
      <c r="B71" s="105"/>
      <c r="C71" s="105"/>
      <c r="D71" s="105"/>
      <c r="E71" s="105"/>
      <c r="F71" s="629" t="s">
        <v>610</v>
      </c>
      <c r="G71" s="629"/>
      <c r="H71" s="495">
        <v>89.72</v>
      </c>
    </row>
    <row r="72" spans="1:8" ht="12.75" customHeight="1">
      <c r="B72" s="105"/>
      <c r="C72" s="105"/>
      <c r="D72" s="105"/>
      <c r="E72" s="105"/>
      <c r="F72" s="630" t="s">
        <v>464</v>
      </c>
      <c r="G72" s="630"/>
      <c r="H72" s="102">
        <v>613.9</v>
      </c>
    </row>
    <row r="73" spans="1:8">
      <c r="B73" s="105"/>
      <c r="C73" s="105"/>
      <c r="D73" s="105"/>
      <c r="E73" s="105"/>
      <c r="F73" s="634"/>
      <c r="G73" s="634"/>
      <c r="H73" s="634"/>
    </row>
    <row r="74" spans="1:8" s="220" customFormat="1" ht="33" customHeight="1">
      <c r="A74" s="178" t="str">
        <f>'3 - PLAN. ORÇAMENTÁRIA'!A29</f>
        <v>2.1.2.3</v>
      </c>
      <c r="B74" s="242" t="str">
        <f>VLOOKUP(A74,'3 - PLAN. ORÇAMENTÁRIA'!$A$16:$B$721,2,FALSE)</f>
        <v>8005508200SI104154</v>
      </c>
      <c r="C74" s="631" t="str">
        <f>VLOOKUP(A74,'3 - PLAN. ORÇAMENTÁRIA'!$A$16:$C$721,3,FALSE)</f>
        <v>LIGAÇÃO PREDIAL PROVISÓRIA DE ESGOTO, REDE DN 150 MM, COLETOR PREDIAL DN 100 MM, L = 6,0 M, LARGURA DA VALA = 0,65 M; COM SELIM E CURVA 90 GRAUS; ESCAVAÇÃO MANUAL, PREPARO DE FUNDO DE VALA E REATERRO COMPACTADO. AF_06/2022</v>
      </c>
      <c r="D74" s="632"/>
      <c r="E74" s="632"/>
      <c r="F74" s="632"/>
      <c r="G74" s="633"/>
      <c r="H74" s="131" t="str">
        <f>VLOOKUP(A74,'3 - PLAN. ORÇAMENTÁRIA'!$A$17:$E$721,5,FALSE)</f>
        <v>UN</v>
      </c>
    </row>
    <row r="75" spans="1:8">
      <c r="B75" s="628" t="s">
        <v>586</v>
      </c>
      <c r="C75" s="628"/>
      <c r="D75" s="103" t="s">
        <v>579</v>
      </c>
      <c r="E75" s="103" t="s">
        <v>580</v>
      </c>
      <c r="F75" s="103" t="s">
        <v>581</v>
      </c>
      <c r="G75" s="103" t="s">
        <v>582</v>
      </c>
      <c r="H75" s="103" t="s">
        <v>583</v>
      </c>
    </row>
    <row r="76" spans="1:8" ht="25.5">
      <c r="B76" s="130" t="s">
        <v>1820</v>
      </c>
      <c r="C76" s="229" t="s">
        <v>1821</v>
      </c>
      <c r="D76" s="130" t="s">
        <v>149</v>
      </c>
      <c r="E76" s="130" t="s">
        <v>144</v>
      </c>
      <c r="F76" s="230">
        <v>1</v>
      </c>
      <c r="G76" s="494">
        <v>62.17</v>
      </c>
      <c r="H76" s="494">
        <v>62.17</v>
      </c>
    </row>
    <row r="77" spans="1:8" ht="25.5">
      <c r="B77" s="130" t="s">
        <v>1822</v>
      </c>
      <c r="C77" s="229" t="s">
        <v>407</v>
      </c>
      <c r="D77" s="130" t="s">
        <v>149</v>
      </c>
      <c r="E77" s="130" t="s">
        <v>167</v>
      </c>
      <c r="F77" s="230">
        <v>4.9863999999999997</v>
      </c>
      <c r="G77" s="494">
        <v>89.76</v>
      </c>
      <c r="H77" s="494">
        <v>447.58</v>
      </c>
    </row>
    <row r="78" spans="1:8" ht="25.5">
      <c r="B78" s="130" t="s">
        <v>1823</v>
      </c>
      <c r="C78" s="229" t="s">
        <v>1298</v>
      </c>
      <c r="D78" s="130" t="s">
        <v>149</v>
      </c>
      <c r="E78" s="130" t="s">
        <v>167</v>
      </c>
      <c r="F78" s="230">
        <v>0.19500000000000001</v>
      </c>
      <c r="G78" s="494">
        <v>349.63</v>
      </c>
      <c r="H78" s="494">
        <v>68.180000000000007</v>
      </c>
    </row>
    <row r="79" spans="1:8" ht="25.5">
      <c r="B79" s="130" t="s">
        <v>1824</v>
      </c>
      <c r="C79" s="229" t="s">
        <v>220</v>
      </c>
      <c r="D79" s="130" t="s">
        <v>149</v>
      </c>
      <c r="E79" s="130" t="s">
        <v>167</v>
      </c>
      <c r="F79" s="230">
        <v>4.7442000000000002</v>
      </c>
      <c r="G79" s="494">
        <v>26.02</v>
      </c>
      <c r="H79" s="494">
        <v>123.44</v>
      </c>
    </row>
    <row r="80" spans="1:8" ht="25.5">
      <c r="B80" s="130" t="s">
        <v>1825</v>
      </c>
      <c r="C80" s="229" t="s">
        <v>1826</v>
      </c>
      <c r="D80" s="130" t="s">
        <v>149</v>
      </c>
      <c r="E80" s="130" t="s">
        <v>144</v>
      </c>
      <c r="F80" s="230">
        <v>1</v>
      </c>
      <c r="G80" s="494">
        <v>40.590000000000003</v>
      </c>
      <c r="H80" s="494">
        <v>40.590000000000003</v>
      </c>
    </row>
    <row r="81" spans="1:8" ht="25.5">
      <c r="B81" s="130" t="s">
        <v>1827</v>
      </c>
      <c r="C81" s="229" t="s">
        <v>1828</v>
      </c>
      <c r="D81" s="130" t="s">
        <v>149</v>
      </c>
      <c r="E81" s="130" t="s">
        <v>173</v>
      </c>
      <c r="F81" s="230">
        <v>6.2</v>
      </c>
      <c r="G81" s="494">
        <v>47.13</v>
      </c>
      <c r="H81" s="494">
        <v>292.20999999999998</v>
      </c>
    </row>
    <row r="82" spans="1:8">
      <c r="B82" s="105"/>
      <c r="C82" s="105"/>
      <c r="D82" s="105"/>
      <c r="E82" s="105"/>
      <c r="F82" s="629" t="s">
        <v>587</v>
      </c>
      <c r="G82" s="629"/>
      <c r="H82" s="495">
        <v>1034.17</v>
      </c>
    </row>
    <row r="83" spans="1:8" ht="12.75" customHeight="1">
      <c r="B83" s="105"/>
      <c r="C83" s="105"/>
      <c r="D83" s="105"/>
      <c r="E83" s="105"/>
      <c r="F83" s="630" t="s">
        <v>464</v>
      </c>
      <c r="G83" s="630"/>
      <c r="H83" s="102">
        <v>1034.1400000000001</v>
      </c>
    </row>
    <row r="84" spans="1:8">
      <c r="B84" s="105"/>
      <c r="C84" s="105"/>
      <c r="D84" s="105"/>
      <c r="E84" s="105"/>
      <c r="F84" s="634"/>
      <c r="G84" s="634"/>
      <c r="H84" s="634"/>
    </row>
    <row r="85" spans="1:8" s="220" customFormat="1" ht="27" customHeight="1">
      <c r="A85" s="178" t="str">
        <f>'3 - PLAN. ORÇAMENTÁRIA'!A30</f>
        <v>2.1.2.4</v>
      </c>
      <c r="B85" s="242">
        <f>VLOOKUP(A85,'3 - PLAN. ORÇAMENTÁRIA'!$A$16:$B$721,2,FALSE)</f>
        <v>102607</v>
      </c>
      <c r="C85" s="631" t="str">
        <f>VLOOKUP(A85,'3 - PLAN. ORÇAMENTÁRIA'!$A$16:$C$721,3,FALSE)</f>
        <v>CAIXA D´ÁGUA EM POLIETILENO, 1000 LITROS - FORNECIMENTO E INSTALAÇÃO. AF_06/2021</v>
      </c>
      <c r="D85" s="632"/>
      <c r="E85" s="632"/>
      <c r="F85" s="632"/>
      <c r="G85" s="633"/>
      <c r="H85" s="131" t="str">
        <f>VLOOKUP(A85,'3 - PLAN. ORÇAMENTÁRIA'!$A$17:$E$721,5,FALSE)</f>
        <v>UN</v>
      </c>
    </row>
    <row r="86" spans="1:8">
      <c r="B86" s="628" t="s">
        <v>593</v>
      </c>
      <c r="C86" s="628"/>
      <c r="D86" s="103" t="s">
        <v>579</v>
      </c>
      <c r="E86" s="103" t="s">
        <v>580</v>
      </c>
      <c r="F86" s="103" t="s">
        <v>581</v>
      </c>
      <c r="G86" s="103" t="s">
        <v>582</v>
      </c>
      <c r="H86" s="103" t="s">
        <v>583</v>
      </c>
    </row>
    <row r="87" spans="1:8">
      <c r="B87" s="130" t="s">
        <v>1299</v>
      </c>
      <c r="C87" s="229" t="s">
        <v>1300</v>
      </c>
      <c r="D87" s="130" t="s">
        <v>119</v>
      </c>
      <c r="E87" s="130" t="s">
        <v>144</v>
      </c>
      <c r="F87" s="230">
        <v>1</v>
      </c>
      <c r="G87" s="494">
        <v>499</v>
      </c>
      <c r="H87" s="494">
        <v>499</v>
      </c>
    </row>
    <row r="88" spans="1:8">
      <c r="B88" s="105"/>
      <c r="C88" s="105"/>
      <c r="D88" s="105"/>
      <c r="E88" s="105"/>
      <c r="F88" s="629" t="s">
        <v>604</v>
      </c>
      <c r="G88" s="629"/>
      <c r="H88" s="495">
        <v>499</v>
      </c>
    </row>
    <row r="89" spans="1:8" ht="12.75" customHeight="1">
      <c r="B89" s="628" t="s">
        <v>607</v>
      </c>
      <c r="C89" s="628"/>
      <c r="D89" s="103" t="s">
        <v>579</v>
      </c>
      <c r="E89" s="103" t="s">
        <v>580</v>
      </c>
      <c r="F89" s="103" t="s">
        <v>581</v>
      </c>
      <c r="G89" s="103" t="s">
        <v>582</v>
      </c>
      <c r="H89" s="103" t="s">
        <v>583</v>
      </c>
    </row>
    <row r="90" spans="1:8">
      <c r="B90" s="130" t="s">
        <v>1296</v>
      </c>
      <c r="C90" s="229" t="s">
        <v>611</v>
      </c>
      <c r="D90" s="130" t="s">
        <v>119</v>
      </c>
      <c r="E90" s="130" t="s">
        <v>121</v>
      </c>
      <c r="F90" s="230">
        <v>0.151</v>
      </c>
      <c r="G90" s="494">
        <v>24.02</v>
      </c>
      <c r="H90" s="494">
        <v>3.63</v>
      </c>
    </row>
    <row r="91" spans="1:8">
      <c r="B91" s="130" t="s">
        <v>1297</v>
      </c>
      <c r="C91" s="229" t="s">
        <v>612</v>
      </c>
      <c r="D91" s="130" t="s">
        <v>119</v>
      </c>
      <c r="E91" s="130" t="s">
        <v>121</v>
      </c>
      <c r="F91" s="230">
        <v>0.151</v>
      </c>
      <c r="G91" s="494">
        <v>30.62</v>
      </c>
      <c r="H91" s="494">
        <v>4.62</v>
      </c>
    </row>
    <row r="92" spans="1:8" ht="12.75" customHeight="1">
      <c r="B92" s="105"/>
      <c r="C92" s="105"/>
      <c r="D92" s="105"/>
      <c r="E92" s="105"/>
      <c r="F92" s="629" t="s">
        <v>610</v>
      </c>
      <c r="G92" s="629"/>
      <c r="H92" s="495">
        <v>8.25</v>
      </c>
    </row>
    <row r="93" spans="1:8" ht="12.75" customHeight="1">
      <c r="B93" s="105"/>
      <c r="C93" s="105"/>
      <c r="D93" s="105"/>
      <c r="E93" s="105"/>
      <c r="F93" s="630" t="s">
        <v>464</v>
      </c>
      <c r="G93" s="630"/>
      <c r="H93" s="102">
        <v>507.24</v>
      </c>
    </row>
    <row r="94" spans="1:8">
      <c r="B94" s="105"/>
      <c r="C94" s="105"/>
      <c r="D94" s="105"/>
      <c r="E94" s="105"/>
      <c r="F94" s="634"/>
      <c r="G94" s="634"/>
      <c r="H94" s="634"/>
    </row>
    <row r="95" spans="1:8" s="220" customFormat="1" ht="27" customHeight="1">
      <c r="A95" s="178" t="str">
        <f>'3 - PLAN. ORÇAMENTÁRIA'!A32</f>
        <v>2.1.3.1</v>
      </c>
      <c r="B95" s="242">
        <f>VLOOKUP(A95,'3 - PLAN. ORÇAMENTÁRIA'!$A$16:$B$721,2,FALSE)</f>
        <v>98459</v>
      </c>
      <c r="C95" s="631" t="str">
        <f>VLOOKUP(A95,'3 - PLAN. ORÇAMENTÁRIA'!$A$16:$C$721,3,FALSE)</f>
        <v>TAPUME COM TELHA METÁLICA. AF_03/2024</v>
      </c>
      <c r="D95" s="632"/>
      <c r="E95" s="632"/>
      <c r="F95" s="632"/>
      <c r="G95" s="633"/>
      <c r="H95" s="131" t="str">
        <f>VLOOKUP(A95,'3 - PLAN. ORÇAMENTÁRIA'!$A$17:$E$721,5,FALSE)</f>
        <v>M2</v>
      </c>
    </row>
    <row r="96" spans="1:8" ht="12.75" customHeight="1">
      <c r="B96" s="628" t="s">
        <v>1301</v>
      </c>
      <c r="C96" s="628"/>
      <c r="D96" s="103" t="s">
        <v>579</v>
      </c>
      <c r="E96" s="103" t="s">
        <v>580</v>
      </c>
      <c r="F96" s="103" t="s">
        <v>581</v>
      </c>
      <c r="G96" s="103" t="s">
        <v>582</v>
      </c>
      <c r="H96" s="103" t="s">
        <v>583</v>
      </c>
    </row>
    <row r="97" spans="2:8" ht="25.5">
      <c r="B97" s="130" t="s">
        <v>1302</v>
      </c>
      <c r="C97" s="229" t="s">
        <v>1303</v>
      </c>
      <c r="D97" s="130" t="s">
        <v>119</v>
      </c>
      <c r="E97" s="130" t="s">
        <v>1304</v>
      </c>
      <c r="F97" s="230">
        <v>2.64E-2</v>
      </c>
      <c r="G97" s="494">
        <v>26.18</v>
      </c>
      <c r="H97" s="494">
        <v>0.69</v>
      </c>
    </row>
    <row r="98" spans="2:8" ht="25.5">
      <c r="B98" s="130" t="s">
        <v>1305</v>
      </c>
      <c r="C98" s="229" t="s">
        <v>1306</v>
      </c>
      <c r="D98" s="130" t="s">
        <v>119</v>
      </c>
      <c r="E98" s="130" t="s">
        <v>1307</v>
      </c>
      <c r="F98" s="230">
        <v>6.6E-3</v>
      </c>
      <c r="G98" s="494">
        <v>27.22</v>
      </c>
      <c r="H98" s="494">
        <v>0.18</v>
      </c>
    </row>
    <row r="99" spans="2:8" ht="12.75" customHeight="1">
      <c r="B99" s="105"/>
      <c r="C99" s="105"/>
      <c r="D99" s="105"/>
      <c r="E99" s="105"/>
      <c r="F99" s="629" t="s">
        <v>1308</v>
      </c>
      <c r="G99" s="629"/>
      <c r="H99" s="495">
        <v>0.87</v>
      </c>
    </row>
    <row r="100" spans="2:8">
      <c r="B100" s="628" t="s">
        <v>593</v>
      </c>
      <c r="C100" s="628"/>
      <c r="D100" s="103" t="s">
        <v>579</v>
      </c>
      <c r="E100" s="103" t="s">
        <v>580</v>
      </c>
      <c r="F100" s="103" t="s">
        <v>581</v>
      </c>
      <c r="G100" s="103" t="s">
        <v>582</v>
      </c>
      <c r="H100" s="103" t="s">
        <v>583</v>
      </c>
    </row>
    <row r="101" spans="2:8">
      <c r="B101" s="130" t="s">
        <v>1309</v>
      </c>
      <c r="C101" s="229" t="s">
        <v>1310</v>
      </c>
      <c r="D101" s="130" t="s">
        <v>119</v>
      </c>
      <c r="E101" s="130" t="s">
        <v>173</v>
      </c>
      <c r="F101" s="230">
        <v>1.2273000000000001</v>
      </c>
      <c r="G101" s="494">
        <v>7.78</v>
      </c>
      <c r="H101" s="494">
        <v>9.5500000000000007</v>
      </c>
    </row>
    <row r="102" spans="2:8">
      <c r="B102" s="130" t="s">
        <v>615</v>
      </c>
      <c r="C102" s="229" t="s">
        <v>616</v>
      </c>
      <c r="D102" s="130" t="s">
        <v>119</v>
      </c>
      <c r="E102" s="130" t="s">
        <v>200</v>
      </c>
      <c r="F102" s="230">
        <v>6.8000000000000005E-2</v>
      </c>
      <c r="G102" s="494">
        <v>18.399999999999999</v>
      </c>
      <c r="H102" s="494">
        <v>1.25</v>
      </c>
    </row>
    <row r="103" spans="2:8">
      <c r="B103" s="130" t="s">
        <v>1311</v>
      </c>
      <c r="C103" s="229" t="s">
        <v>1312</v>
      </c>
      <c r="D103" s="130" t="s">
        <v>119</v>
      </c>
      <c r="E103" s="130" t="s">
        <v>173</v>
      </c>
      <c r="F103" s="230">
        <v>2</v>
      </c>
      <c r="G103" s="494">
        <v>5.55</v>
      </c>
      <c r="H103" s="494">
        <v>11.1</v>
      </c>
    </row>
    <row r="104" spans="2:8" ht="25.5">
      <c r="B104" s="130" t="s">
        <v>1313</v>
      </c>
      <c r="C104" s="229" t="s">
        <v>1314</v>
      </c>
      <c r="D104" s="130" t="s">
        <v>119</v>
      </c>
      <c r="E104" s="130" t="s">
        <v>139</v>
      </c>
      <c r="F104" s="230">
        <v>0.58530000000000004</v>
      </c>
      <c r="G104" s="494">
        <v>50.19</v>
      </c>
      <c r="H104" s="494">
        <v>29.38</v>
      </c>
    </row>
    <row r="105" spans="2:8">
      <c r="B105" s="105"/>
      <c r="C105" s="105"/>
      <c r="D105" s="105"/>
      <c r="E105" s="105"/>
      <c r="F105" s="629" t="s">
        <v>604</v>
      </c>
      <c r="G105" s="629"/>
      <c r="H105" s="495">
        <v>51.28</v>
      </c>
    </row>
    <row r="106" spans="2:8" ht="12.75" customHeight="1">
      <c r="B106" s="628" t="s">
        <v>607</v>
      </c>
      <c r="C106" s="628"/>
      <c r="D106" s="103" t="s">
        <v>579</v>
      </c>
      <c r="E106" s="103" t="s">
        <v>580</v>
      </c>
      <c r="F106" s="103" t="s">
        <v>581</v>
      </c>
      <c r="G106" s="103" t="s">
        <v>582</v>
      </c>
      <c r="H106" s="103" t="s">
        <v>583</v>
      </c>
    </row>
    <row r="107" spans="2:8">
      <c r="B107" s="130" t="s">
        <v>1315</v>
      </c>
      <c r="C107" s="229" t="s">
        <v>617</v>
      </c>
      <c r="D107" s="130" t="s">
        <v>119</v>
      </c>
      <c r="E107" s="130" t="s">
        <v>121</v>
      </c>
      <c r="F107" s="230">
        <v>0.49199999999999999</v>
      </c>
      <c r="G107" s="494">
        <v>24.4</v>
      </c>
      <c r="H107" s="494">
        <v>12</v>
      </c>
    </row>
    <row r="108" spans="2:8">
      <c r="B108" s="130" t="s">
        <v>1316</v>
      </c>
      <c r="C108" s="229" t="s">
        <v>618</v>
      </c>
      <c r="D108" s="130" t="s">
        <v>119</v>
      </c>
      <c r="E108" s="130" t="s">
        <v>121</v>
      </c>
      <c r="F108" s="230">
        <v>0.73499999999999999</v>
      </c>
      <c r="G108" s="494">
        <v>30.91</v>
      </c>
      <c r="H108" s="494">
        <v>22.72</v>
      </c>
    </row>
    <row r="109" spans="2:8" ht="12.75" customHeight="1">
      <c r="B109" s="105"/>
      <c r="C109" s="105"/>
      <c r="D109" s="105"/>
      <c r="E109" s="105"/>
      <c r="F109" s="629" t="s">
        <v>610</v>
      </c>
      <c r="G109" s="629"/>
      <c r="H109" s="495">
        <v>34.72</v>
      </c>
    </row>
    <row r="110" spans="2:8">
      <c r="B110" s="628" t="s">
        <v>586</v>
      </c>
      <c r="C110" s="628"/>
      <c r="D110" s="103" t="s">
        <v>579</v>
      </c>
      <c r="E110" s="103" t="s">
        <v>580</v>
      </c>
      <c r="F110" s="103" t="s">
        <v>581</v>
      </c>
      <c r="G110" s="103" t="s">
        <v>582</v>
      </c>
      <c r="H110" s="103" t="s">
        <v>583</v>
      </c>
    </row>
    <row r="111" spans="2:8" ht="25.5">
      <c r="B111" s="130" t="s">
        <v>1317</v>
      </c>
      <c r="C111" s="229" t="s">
        <v>1318</v>
      </c>
      <c r="D111" s="130" t="s">
        <v>119</v>
      </c>
      <c r="E111" s="130" t="s">
        <v>167</v>
      </c>
      <c r="F111" s="230">
        <v>6.1000000000000004E-3</v>
      </c>
      <c r="G111" s="494">
        <v>496.96</v>
      </c>
      <c r="H111" s="494">
        <v>3.03</v>
      </c>
    </row>
    <row r="112" spans="2:8">
      <c r="B112" s="105"/>
      <c r="C112" s="105"/>
      <c r="D112" s="105"/>
      <c r="E112" s="105"/>
      <c r="F112" s="629" t="s">
        <v>587</v>
      </c>
      <c r="G112" s="629"/>
      <c r="H112" s="495">
        <v>3.03</v>
      </c>
    </row>
    <row r="113" spans="1:8" ht="12.75" customHeight="1">
      <c r="B113" s="105"/>
      <c r="C113" s="105"/>
      <c r="D113" s="105"/>
      <c r="E113" s="105"/>
      <c r="F113" s="630" t="s">
        <v>464</v>
      </c>
      <c r="G113" s="630"/>
      <c r="H113" s="102">
        <v>89.9</v>
      </c>
    </row>
    <row r="114" spans="1:8">
      <c r="B114" s="105"/>
      <c r="C114" s="105"/>
      <c r="D114" s="105"/>
      <c r="E114" s="105"/>
      <c r="F114" s="634"/>
      <c r="G114" s="634"/>
      <c r="H114" s="634"/>
    </row>
    <row r="115" spans="1:8" s="220" customFormat="1" ht="27" customHeight="1">
      <c r="A115" s="178" t="str">
        <f>'3 - PLAN. ORÇAMENTÁRIA'!A33</f>
        <v>2.1.3.2</v>
      </c>
      <c r="B115" s="242">
        <f>VLOOKUP(A115,'3 - PLAN. ORÇAMENTÁRIA'!$A$16:$B$721,2,FALSE)</f>
        <v>103689</v>
      </c>
      <c r="C115" s="631" t="str">
        <f>VLOOKUP(A115,'3 - PLAN. ORÇAMENTÁRIA'!$A$16:$C$721,3,FALSE)</f>
        <v>FORNECIMENTO E INSTALAÇÃO DE PLACA DE OBRA COM CHAPA GALVANIZADA E ESTRUTURA DE MADEIRA. AF_03/2022_PS</v>
      </c>
      <c r="D115" s="632"/>
      <c r="E115" s="632"/>
      <c r="F115" s="632"/>
      <c r="G115" s="633"/>
      <c r="H115" s="131" t="str">
        <f>VLOOKUP(A115,'3 - PLAN. ORÇAMENTÁRIA'!$A$17:$E$721,5,FALSE)</f>
        <v>M2</v>
      </c>
    </row>
    <row r="116" spans="1:8">
      <c r="B116" s="628" t="s">
        <v>593</v>
      </c>
      <c r="C116" s="628"/>
      <c r="D116" s="103" t="s">
        <v>579</v>
      </c>
      <c r="E116" s="103" t="s">
        <v>580</v>
      </c>
      <c r="F116" s="103" t="s">
        <v>581</v>
      </c>
      <c r="G116" s="103" t="s">
        <v>582</v>
      </c>
      <c r="H116" s="103" t="s">
        <v>583</v>
      </c>
    </row>
    <row r="117" spans="1:8" ht="25.5">
      <c r="B117" s="130" t="s">
        <v>1319</v>
      </c>
      <c r="C117" s="229" t="s">
        <v>1320</v>
      </c>
      <c r="D117" s="130" t="s">
        <v>119</v>
      </c>
      <c r="E117" s="130" t="s">
        <v>139</v>
      </c>
      <c r="F117" s="230">
        <v>1</v>
      </c>
      <c r="G117" s="494">
        <v>400</v>
      </c>
      <c r="H117" s="494">
        <v>400</v>
      </c>
    </row>
    <row r="118" spans="1:8">
      <c r="B118" s="130" t="s">
        <v>1321</v>
      </c>
      <c r="C118" s="229" t="s">
        <v>1322</v>
      </c>
      <c r="D118" s="130" t="s">
        <v>119</v>
      </c>
      <c r="E118" s="130" t="s">
        <v>200</v>
      </c>
      <c r="F118" s="230">
        <v>1.1299999999999999E-2</v>
      </c>
      <c r="G118" s="494">
        <v>35.6</v>
      </c>
      <c r="H118" s="494">
        <v>0.4</v>
      </c>
    </row>
    <row r="119" spans="1:8">
      <c r="B119" s="130" t="s">
        <v>1323</v>
      </c>
      <c r="C119" s="229" t="s">
        <v>1324</v>
      </c>
      <c r="D119" s="130" t="s">
        <v>119</v>
      </c>
      <c r="E119" s="130" t="s">
        <v>200</v>
      </c>
      <c r="F119" s="230">
        <v>1.32E-2</v>
      </c>
      <c r="G119" s="494">
        <v>19.079999999999998</v>
      </c>
      <c r="H119" s="494">
        <v>0.25</v>
      </c>
    </row>
    <row r="120" spans="1:8">
      <c r="B120" s="130" t="s">
        <v>1325</v>
      </c>
      <c r="C120" s="229" t="s">
        <v>1326</v>
      </c>
      <c r="D120" s="130" t="s">
        <v>119</v>
      </c>
      <c r="E120" s="130" t="s">
        <v>173</v>
      </c>
      <c r="F120" s="230">
        <v>3.2082999999999999</v>
      </c>
      <c r="G120" s="494">
        <v>3.94</v>
      </c>
      <c r="H120" s="494">
        <v>12.64</v>
      </c>
    </row>
    <row r="121" spans="1:8">
      <c r="B121" s="105"/>
      <c r="C121" s="105"/>
      <c r="D121" s="105"/>
      <c r="E121" s="105"/>
      <c r="F121" s="629" t="s">
        <v>604</v>
      </c>
      <c r="G121" s="629"/>
      <c r="H121" s="495">
        <v>413.29</v>
      </c>
    </row>
    <row r="122" spans="1:8" ht="12.75" customHeight="1">
      <c r="B122" s="628" t="s">
        <v>607</v>
      </c>
      <c r="C122" s="628"/>
      <c r="D122" s="103" t="s">
        <v>579</v>
      </c>
      <c r="E122" s="103" t="s">
        <v>580</v>
      </c>
      <c r="F122" s="103" t="s">
        <v>581</v>
      </c>
      <c r="G122" s="103" t="s">
        <v>582</v>
      </c>
      <c r="H122" s="103" t="s">
        <v>583</v>
      </c>
    </row>
    <row r="123" spans="1:8">
      <c r="B123" s="130" t="s">
        <v>1316</v>
      </c>
      <c r="C123" s="229" t="s">
        <v>618</v>
      </c>
      <c r="D123" s="130" t="s">
        <v>119</v>
      </c>
      <c r="E123" s="130" t="s">
        <v>121</v>
      </c>
      <c r="F123" s="230">
        <v>0.37290000000000001</v>
      </c>
      <c r="G123" s="494">
        <v>30.91</v>
      </c>
      <c r="H123" s="494">
        <v>11.53</v>
      </c>
    </row>
    <row r="124" spans="1:8">
      <c r="B124" s="130" t="s">
        <v>625</v>
      </c>
      <c r="C124" s="229" t="s">
        <v>626</v>
      </c>
      <c r="D124" s="130" t="s">
        <v>119</v>
      </c>
      <c r="E124" s="130" t="s">
        <v>121</v>
      </c>
      <c r="F124" s="230">
        <v>1.1186</v>
      </c>
      <c r="G124" s="494">
        <v>23.75</v>
      </c>
      <c r="H124" s="494">
        <v>26.57</v>
      </c>
    </row>
    <row r="125" spans="1:8" ht="12.75" customHeight="1">
      <c r="B125" s="105"/>
      <c r="C125" s="105"/>
      <c r="D125" s="105"/>
      <c r="E125" s="105"/>
      <c r="F125" s="629" t="s">
        <v>610</v>
      </c>
      <c r="G125" s="629"/>
      <c r="H125" s="495">
        <v>38.1</v>
      </c>
    </row>
    <row r="126" spans="1:8">
      <c r="B126" s="628" t="s">
        <v>586</v>
      </c>
      <c r="C126" s="628"/>
      <c r="D126" s="103" t="s">
        <v>579</v>
      </c>
      <c r="E126" s="103" t="s">
        <v>580</v>
      </c>
      <c r="F126" s="103" t="s">
        <v>581</v>
      </c>
      <c r="G126" s="103" t="s">
        <v>582</v>
      </c>
      <c r="H126" s="103" t="s">
        <v>583</v>
      </c>
    </row>
    <row r="127" spans="1:8">
      <c r="B127" s="130" t="s">
        <v>1327</v>
      </c>
      <c r="C127" s="229" t="s">
        <v>1328</v>
      </c>
      <c r="D127" s="130" t="s">
        <v>119</v>
      </c>
      <c r="E127" s="130" t="s">
        <v>139</v>
      </c>
      <c r="F127" s="230">
        <v>0.5</v>
      </c>
      <c r="G127" s="494">
        <v>24.05</v>
      </c>
      <c r="H127" s="494">
        <v>12.03</v>
      </c>
    </row>
    <row r="128" spans="1:8">
      <c r="B128" s="105"/>
      <c r="C128" s="105"/>
      <c r="D128" s="105"/>
      <c r="E128" s="105"/>
      <c r="F128" s="629" t="s">
        <v>587</v>
      </c>
      <c r="G128" s="629"/>
      <c r="H128" s="495">
        <v>12.03</v>
      </c>
    </row>
    <row r="129" spans="1:8" ht="12.75" customHeight="1">
      <c r="B129" s="105"/>
      <c r="C129" s="105"/>
      <c r="D129" s="105"/>
      <c r="E129" s="105"/>
      <c r="F129" s="630" t="s">
        <v>464</v>
      </c>
      <c r="G129" s="630"/>
      <c r="H129" s="102">
        <v>463.39</v>
      </c>
    </row>
    <row r="130" spans="1:8">
      <c r="B130" s="105"/>
      <c r="C130" s="105"/>
      <c r="D130" s="105"/>
      <c r="E130" s="105"/>
      <c r="F130" s="634"/>
      <c r="G130" s="634"/>
      <c r="H130" s="634"/>
    </row>
    <row r="131" spans="1:8" s="220" customFormat="1" ht="27" customHeight="1">
      <c r="A131" s="178" t="str">
        <f>'3 - PLAN. ORÇAMENTÁRIA'!A37</f>
        <v>2.2.1.1</v>
      </c>
      <c r="B131" s="242">
        <f>VLOOKUP(A131,'3 - PLAN. ORÇAMENTÁRIA'!$A$16:$B$721,2,FALSE)</f>
        <v>97637</v>
      </c>
      <c r="C131" s="631" t="str">
        <f>VLOOKUP(A131,'3 - PLAN. ORÇAMENTÁRIA'!$A$16:$C$721,3,FALSE)</f>
        <v>REMOÇÃO DE TAPUME/ CHAPAS METÁLICAS E DE MADEIRA, DE FORMA MANUAL, SEM REAPROVEITAMENTO. AF_09/2023</v>
      </c>
      <c r="D131" s="632"/>
      <c r="E131" s="632"/>
      <c r="F131" s="632"/>
      <c r="G131" s="633"/>
      <c r="H131" s="131" t="str">
        <f>VLOOKUP(A131,'3 - PLAN. ORÇAMENTÁRIA'!$A$17:$E$721,5,FALSE)</f>
        <v>M2</v>
      </c>
    </row>
    <row r="132" spans="1:8" ht="12.75" customHeight="1">
      <c r="B132" s="628" t="s">
        <v>607</v>
      </c>
      <c r="C132" s="628"/>
      <c r="D132" s="103" t="s">
        <v>579</v>
      </c>
      <c r="E132" s="103" t="s">
        <v>580</v>
      </c>
      <c r="F132" s="103" t="s">
        <v>581</v>
      </c>
      <c r="G132" s="103" t="s">
        <v>582</v>
      </c>
      <c r="H132" s="103" t="s">
        <v>583</v>
      </c>
    </row>
    <row r="133" spans="1:8">
      <c r="B133" s="130" t="s">
        <v>1329</v>
      </c>
      <c r="C133" s="229" t="s">
        <v>1330</v>
      </c>
      <c r="D133" s="130" t="s">
        <v>119</v>
      </c>
      <c r="E133" s="130" t="s">
        <v>121</v>
      </c>
      <c r="F133" s="230">
        <v>3.3700000000000001E-2</v>
      </c>
      <c r="G133" s="494">
        <v>25.64</v>
      </c>
      <c r="H133" s="494">
        <v>0.86</v>
      </c>
    </row>
    <row r="134" spans="1:8">
      <c r="B134" s="130" t="s">
        <v>625</v>
      </c>
      <c r="C134" s="229" t="s">
        <v>626</v>
      </c>
      <c r="D134" s="130" t="s">
        <v>119</v>
      </c>
      <c r="E134" s="130" t="s">
        <v>121</v>
      </c>
      <c r="F134" s="230">
        <v>9.5200000000000007E-2</v>
      </c>
      <c r="G134" s="494">
        <v>23.75</v>
      </c>
      <c r="H134" s="494">
        <v>2.2599999999999998</v>
      </c>
    </row>
    <row r="135" spans="1:8" ht="12.75" customHeight="1">
      <c r="B135" s="105"/>
      <c r="C135" s="105"/>
      <c r="D135" s="105"/>
      <c r="E135" s="105"/>
      <c r="F135" s="629" t="s">
        <v>610</v>
      </c>
      <c r="G135" s="629"/>
      <c r="H135" s="495">
        <v>3.12</v>
      </c>
    </row>
    <row r="136" spans="1:8" ht="12.75" customHeight="1">
      <c r="B136" s="105"/>
      <c r="C136" s="105"/>
      <c r="D136" s="105"/>
      <c r="E136" s="105"/>
      <c r="F136" s="630" t="s">
        <v>464</v>
      </c>
      <c r="G136" s="630"/>
      <c r="H136" s="102">
        <v>3.12</v>
      </c>
    </row>
    <row r="137" spans="1:8">
      <c r="B137" s="105"/>
      <c r="C137" s="105"/>
      <c r="D137" s="105"/>
      <c r="E137" s="105"/>
      <c r="F137" s="634"/>
      <c r="G137" s="634"/>
      <c r="H137" s="634"/>
    </row>
    <row r="138" spans="1:8" s="220" customFormat="1" ht="27" customHeight="1">
      <c r="A138" s="178" t="str">
        <f>'3 - PLAN. ORÇAMENTÁRIA'!A43</f>
        <v>2.3.1.1</v>
      </c>
      <c r="B138" s="242">
        <f>VLOOKUP(A138,'3 - PLAN. ORÇAMENTÁRIA'!$A$16:$B$721,2,FALSE)</f>
        <v>105009</v>
      </c>
      <c r="C138" s="631" t="str">
        <f>VLOOKUP(A138,'3 - PLAN. ORÇAMENTÁRIA'!$A$16:$C$721,3,FALSE)</f>
        <v>LOCAÇÃO CONVENCIONAL DE OBRA, UTILIZANDO GABARITO DE TÁBUAS CORRIDAS PONTALETADAS A CADA 1,50M - 2 UTILIZAÇÕES. AF_03/2024</v>
      </c>
      <c r="D138" s="632"/>
      <c r="E138" s="632"/>
      <c r="F138" s="632"/>
      <c r="G138" s="633"/>
      <c r="H138" s="131" t="str">
        <f>VLOOKUP(A138,'3 - PLAN. ORÇAMENTÁRIA'!$A$17:$E$721,5,FALSE)</f>
        <v>M</v>
      </c>
    </row>
    <row r="139" spans="1:8" ht="12.75" customHeight="1">
      <c r="B139" s="628" t="s">
        <v>1301</v>
      </c>
      <c r="C139" s="628"/>
      <c r="D139" s="103" t="s">
        <v>579</v>
      </c>
      <c r="E139" s="103" t="s">
        <v>580</v>
      </c>
      <c r="F139" s="103" t="s">
        <v>581</v>
      </c>
      <c r="G139" s="103" t="s">
        <v>582</v>
      </c>
      <c r="H139" s="103" t="s">
        <v>583</v>
      </c>
    </row>
    <row r="140" spans="1:8" ht="25.5">
      <c r="B140" s="130" t="s">
        <v>1302</v>
      </c>
      <c r="C140" s="229" t="s">
        <v>1303</v>
      </c>
      <c r="D140" s="130" t="s">
        <v>119</v>
      </c>
      <c r="E140" s="130" t="s">
        <v>1304</v>
      </c>
      <c r="F140" s="230">
        <v>3.7400000000000003E-2</v>
      </c>
      <c r="G140" s="494">
        <v>26.18</v>
      </c>
      <c r="H140" s="494">
        <v>0.98</v>
      </c>
    </row>
    <row r="141" spans="1:8" ht="25.5">
      <c r="B141" s="130" t="s">
        <v>1305</v>
      </c>
      <c r="C141" s="229" t="s">
        <v>1306</v>
      </c>
      <c r="D141" s="130" t="s">
        <v>119</v>
      </c>
      <c r="E141" s="130" t="s">
        <v>1307</v>
      </c>
      <c r="F141" s="230">
        <v>9.2999999999999992E-3</v>
      </c>
      <c r="G141" s="494">
        <v>27.22</v>
      </c>
      <c r="H141" s="494">
        <v>0.25</v>
      </c>
    </row>
    <row r="142" spans="1:8" ht="12.75" customHeight="1">
      <c r="B142" s="105"/>
      <c r="C142" s="105"/>
      <c r="D142" s="105"/>
      <c r="E142" s="105"/>
      <c r="F142" s="629" t="s">
        <v>1308</v>
      </c>
      <c r="G142" s="629"/>
      <c r="H142" s="495">
        <v>1.23</v>
      </c>
    </row>
    <row r="143" spans="1:8">
      <c r="B143" s="628" t="s">
        <v>593</v>
      </c>
      <c r="C143" s="628"/>
      <c r="D143" s="103" t="s">
        <v>579</v>
      </c>
      <c r="E143" s="103" t="s">
        <v>580</v>
      </c>
      <c r="F143" s="103" t="s">
        <v>581</v>
      </c>
      <c r="G143" s="103" t="s">
        <v>582</v>
      </c>
      <c r="H143" s="103" t="s">
        <v>583</v>
      </c>
    </row>
    <row r="144" spans="1:8" ht="25.5">
      <c r="B144" s="130" t="s">
        <v>1331</v>
      </c>
      <c r="C144" s="229" t="s">
        <v>1332</v>
      </c>
      <c r="D144" s="130" t="s">
        <v>119</v>
      </c>
      <c r="E144" s="130" t="s">
        <v>173</v>
      </c>
      <c r="F144" s="230">
        <v>0.55000000000000004</v>
      </c>
      <c r="G144" s="494">
        <v>25.42</v>
      </c>
      <c r="H144" s="494">
        <v>13.98</v>
      </c>
    </row>
    <row r="145" spans="1:8">
      <c r="B145" s="130" t="s">
        <v>1333</v>
      </c>
      <c r="C145" s="229" t="s">
        <v>1334</v>
      </c>
      <c r="D145" s="130" t="s">
        <v>119</v>
      </c>
      <c r="E145" s="130" t="s">
        <v>200</v>
      </c>
      <c r="F145" s="230">
        <v>0.1012</v>
      </c>
      <c r="G145" s="494">
        <v>18.72</v>
      </c>
      <c r="H145" s="494">
        <v>1.89</v>
      </c>
    </row>
    <row r="146" spans="1:8" ht="25.5">
      <c r="B146" s="130" t="s">
        <v>1335</v>
      </c>
      <c r="C146" s="229" t="s">
        <v>1336</v>
      </c>
      <c r="D146" s="130" t="s">
        <v>119</v>
      </c>
      <c r="E146" s="130" t="s">
        <v>173</v>
      </c>
      <c r="F146" s="230">
        <v>0.80930000000000002</v>
      </c>
      <c r="G146" s="494">
        <v>7.07</v>
      </c>
      <c r="H146" s="494">
        <v>5.72</v>
      </c>
    </row>
    <row r="147" spans="1:8">
      <c r="B147" s="130" t="s">
        <v>630</v>
      </c>
      <c r="C147" s="229" t="s">
        <v>631</v>
      </c>
      <c r="D147" s="130" t="s">
        <v>119</v>
      </c>
      <c r="E147" s="130" t="s">
        <v>173</v>
      </c>
      <c r="F147" s="230">
        <v>0.55000000000000004</v>
      </c>
      <c r="G147" s="494">
        <v>8.7899999999999991</v>
      </c>
      <c r="H147" s="494">
        <v>4.83</v>
      </c>
    </row>
    <row r="148" spans="1:8">
      <c r="B148" s="130" t="s">
        <v>632</v>
      </c>
      <c r="C148" s="229" t="s">
        <v>633</v>
      </c>
      <c r="D148" s="130" t="s">
        <v>119</v>
      </c>
      <c r="E148" s="130" t="s">
        <v>107</v>
      </c>
      <c r="F148" s="230">
        <v>2.5600000000000001E-2</v>
      </c>
      <c r="G148" s="494">
        <v>31.4</v>
      </c>
      <c r="H148" s="494">
        <v>0.8</v>
      </c>
    </row>
    <row r="149" spans="1:8">
      <c r="B149" s="105"/>
      <c r="C149" s="105"/>
      <c r="D149" s="105"/>
      <c r="E149" s="105"/>
      <c r="F149" s="629" t="s">
        <v>604</v>
      </c>
      <c r="G149" s="629"/>
      <c r="H149" s="495">
        <v>27.22</v>
      </c>
    </row>
    <row r="150" spans="1:8" ht="12.75" customHeight="1">
      <c r="B150" s="628" t="s">
        <v>607</v>
      </c>
      <c r="C150" s="628"/>
      <c r="D150" s="103" t="s">
        <v>579</v>
      </c>
      <c r="E150" s="103" t="s">
        <v>580</v>
      </c>
      <c r="F150" s="103" t="s">
        <v>581</v>
      </c>
      <c r="G150" s="103" t="s">
        <v>582</v>
      </c>
      <c r="H150" s="103" t="s">
        <v>583</v>
      </c>
    </row>
    <row r="151" spans="1:8">
      <c r="B151" s="130" t="s">
        <v>1315</v>
      </c>
      <c r="C151" s="229" t="s">
        <v>617</v>
      </c>
      <c r="D151" s="130" t="s">
        <v>119</v>
      </c>
      <c r="E151" s="130" t="s">
        <v>121</v>
      </c>
      <c r="F151" s="230">
        <v>0.9103</v>
      </c>
      <c r="G151" s="494">
        <v>24.4</v>
      </c>
      <c r="H151" s="494">
        <v>22.21</v>
      </c>
    </row>
    <row r="152" spans="1:8">
      <c r="B152" s="130" t="s">
        <v>1316</v>
      </c>
      <c r="C152" s="229" t="s">
        <v>618</v>
      </c>
      <c r="D152" s="130" t="s">
        <v>119</v>
      </c>
      <c r="E152" s="130" t="s">
        <v>121</v>
      </c>
      <c r="F152" s="230">
        <v>0.9103</v>
      </c>
      <c r="G152" s="494">
        <v>30.91</v>
      </c>
      <c r="H152" s="494">
        <v>28.14</v>
      </c>
    </row>
    <row r="153" spans="1:8" ht="12.75" customHeight="1">
      <c r="B153" s="105"/>
      <c r="C153" s="105"/>
      <c r="D153" s="105"/>
      <c r="E153" s="105"/>
      <c r="F153" s="629" t="s">
        <v>610</v>
      </c>
      <c r="G153" s="629"/>
      <c r="H153" s="495">
        <v>50.35</v>
      </c>
    </row>
    <row r="154" spans="1:8">
      <c r="B154" s="628" t="s">
        <v>586</v>
      </c>
      <c r="C154" s="628"/>
      <c r="D154" s="103" t="s">
        <v>579</v>
      </c>
      <c r="E154" s="103" t="s">
        <v>580</v>
      </c>
      <c r="F154" s="103" t="s">
        <v>581</v>
      </c>
      <c r="G154" s="103" t="s">
        <v>582</v>
      </c>
      <c r="H154" s="103" t="s">
        <v>583</v>
      </c>
    </row>
    <row r="155" spans="1:8" ht="25.5">
      <c r="B155" s="130" t="s">
        <v>1317</v>
      </c>
      <c r="C155" s="229" t="s">
        <v>1318</v>
      </c>
      <c r="D155" s="130" t="s">
        <v>119</v>
      </c>
      <c r="E155" s="130" t="s">
        <v>167</v>
      </c>
      <c r="F155" s="230">
        <v>5.4000000000000003E-3</v>
      </c>
      <c r="G155" s="494">
        <v>496.96</v>
      </c>
      <c r="H155" s="494">
        <v>2.68</v>
      </c>
    </row>
    <row r="156" spans="1:8">
      <c r="B156" s="105"/>
      <c r="C156" s="105"/>
      <c r="D156" s="105"/>
      <c r="E156" s="105"/>
      <c r="F156" s="629" t="s">
        <v>587</v>
      </c>
      <c r="G156" s="629"/>
      <c r="H156" s="495">
        <v>2.68</v>
      </c>
    </row>
    <row r="157" spans="1:8" ht="12.75" customHeight="1">
      <c r="B157" s="105"/>
      <c r="C157" s="105"/>
      <c r="D157" s="105"/>
      <c r="E157" s="105"/>
      <c r="F157" s="630" t="s">
        <v>464</v>
      </c>
      <c r="G157" s="630"/>
      <c r="H157" s="102">
        <v>81.48</v>
      </c>
    </row>
    <row r="158" spans="1:8">
      <c r="B158" s="105"/>
      <c r="C158" s="105"/>
      <c r="D158" s="105"/>
      <c r="E158" s="105"/>
      <c r="F158" s="634"/>
      <c r="G158" s="634"/>
      <c r="H158" s="634"/>
    </row>
    <row r="159" spans="1:8" s="220" customFormat="1" ht="27" customHeight="1">
      <c r="A159" s="178" t="str">
        <f>'3 - PLAN. ORÇAMENTÁRIA'!A44</f>
        <v>2.3.1.2</v>
      </c>
      <c r="B159" s="242">
        <f>VLOOKUP(A159,'3 - PLAN. ORÇAMENTÁRIA'!$A$16:$B$721,2,FALSE)</f>
        <v>99062</v>
      </c>
      <c r="C159" s="631" t="str">
        <f>VLOOKUP(A159,'3 - PLAN. ORÇAMENTÁRIA'!$A$16:$C$721,3,FALSE)</f>
        <v>MARCAÇÃO DE PONTOS EM GABARITO OU CAVALETE. AF_03/2024</v>
      </c>
      <c r="D159" s="632"/>
      <c r="E159" s="632"/>
      <c r="F159" s="632"/>
      <c r="G159" s="633"/>
      <c r="H159" s="131" t="str">
        <f>VLOOKUP(A159,'3 - PLAN. ORÇAMENTÁRIA'!$A$17:$E$721,5,FALSE)</f>
        <v>UN</v>
      </c>
    </row>
    <row r="160" spans="1:8">
      <c r="B160" s="628" t="s">
        <v>593</v>
      </c>
      <c r="C160" s="628"/>
      <c r="D160" s="103" t="s">
        <v>579</v>
      </c>
      <c r="E160" s="103" t="s">
        <v>580</v>
      </c>
      <c r="F160" s="103" t="s">
        <v>581</v>
      </c>
      <c r="G160" s="103" t="s">
        <v>582</v>
      </c>
      <c r="H160" s="103" t="s">
        <v>583</v>
      </c>
    </row>
    <row r="161" spans="1:8">
      <c r="B161" s="130" t="s">
        <v>1333</v>
      </c>
      <c r="C161" s="229" t="s">
        <v>1334</v>
      </c>
      <c r="D161" s="130" t="s">
        <v>119</v>
      </c>
      <c r="E161" s="130" t="s">
        <v>200</v>
      </c>
      <c r="F161" s="230">
        <v>3.3999999999999998E-3</v>
      </c>
      <c r="G161" s="494">
        <v>18.72</v>
      </c>
      <c r="H161" s="494">
        <v>0.06</v>
      </c>
    </row>
    <row r="162" spans="1:8">
      <c r="B162" s="105"/>
      <c r="C162" s="105"/>
      <c r="D162" s="105"/>
      <c r="E162" s="105"/>
      <c r="F162" s="629" t="s">
        <v>604</v>
      </c>
      <c r="G162" s="629"/>
      <c r="H162" s="495">
        <v>0.06</v>
      </c>
    </row>
    <row r="163" spans="1:8" ht="12.75" customHeight="1">
      <c r="B163" s="628" t="s">
        <v>607</v>
      </c>
      <c r="C163" s="628"/>
      <c r="D163" s="103" t="s">
        <v>579</v>
      </c>
      <c r="E163" s="103" t="s">
        <v>580</v>
      </c>
      <c r="F163" s="103" t="s">
        <v>581</v>
      </c>
      <c r="G163" s="103" t="s">
        <v>582</v>
      </c>
      <c r="H163" s="103" t="s">
        <v>583</v>
      </c>
    </row>
    <row r="164" spans="1:8">
      <c r="B164" s="130" t="s">
        <v>1315</v>
      </c>
      <c r="C164" s="229" t="s">
        <v>617</v>
      </c>
      <c r="D164" s="130" t="s">
        <v>119</v>
      </c>
      <c r="E164" s="130" t="s">
        <v>121</v>
      </c>
      <c r="F164" s="230">
        <v>3.9300000000000002E-2</v>
      </c>
      <c r="G164" s="494">
        <v>24.4</v>
      </c>
      <c r="H164" s="494">
        <v>0.96</v>
      </c>
    </row>
    <row r="165" spans="1:8">
      <c r="B165" s="130" t="s">
        <v>1316</v>
      </c>
      <c r="C165" s="229" t="s">
        <v>618</v>
      </c>
      <c r="D165" s="130" t="s">
        <v>119</v>
      </c>
      <c r="E165" s="130" t="s">
        <v>121</v>
      </c>
      <c r="F165" s="230">
        <v>3.9300000000000002E-2</v>
      </c>
      <c r="G165" s="494">
        <v>30.91</v>
      </c>
      <c r="H165" s="494">
        <v>1.21</v>
      </c>
    </row>
    <row r="166" spans="1:8" ht="12.75" customHeight="1">
      <c r="B166" s="105"/>
      <c r="C166" s="105"/>
      <c r="D166" s="105"/>
      <c r="E166" s="105"/>
      <c r="F166" s="629" t="s">
        <v>610</v>
      </c>
      <c r="G166" s="629"/>
      <c r="H166" s="495">
        <v>2.17</v>
      </c>
    </row>
    <row r="167" spans="1:8" ht="12.75" customHeight="1">
      <c r="B167" s="105"/>
      <c r="C167" s="105"/>
      <c r="D167" s="105"/>
      <c r="E167" s="105"/>
      <c r="F167" s="630" t="s">
        <v>464</v>
      </c>
      <c r="G167" s="630"/>
      <c r="H167" s="102">
        <v>2.2200000000000002</v>
      </c>
    </row>
    <row r="168" spans="1:8">
      <c r="B168" s="105"/>
      <c r="C168" s="105"/>
      <c r="D168" s="105"/>
      <c r="E168" s="105"/>
      <c r="F168" s="634"/>
      <c r="G168" s="634"/>
      <c r="H168" s="634"/>
    </row>
    <row r="169" spans="1:8" s="220" customFormat="1" ht="27" customHeight="1">
      <c r="A169" s="178" t="str">
        <f>'3 - PLAN. ORÇAMENTÁRIA'!A49</f>
        <v>2.4.1.1</v>
      </c>
      <c r="B169" s="242">
        <f>VLOOKUP(A169,'3 - PLAN. ORÇAMENTÁRIA'!$A$16:$B$721,2,FALSE)</f>
        <v>98525</v>
      </c>
      <c r="C169" s="631" t="str">
        <f>VLOOKUP(A169,'3 - PLAN. ORÇAMENTÁRIA'!$A$16:$C$721,3,FALSE)</f>
        <v>LIMPEZA MECANIZADA DE CAMADA VEGETAL, VEGETAÇÃO E PEQUENAS ÁRVORES (DIÂMETRO DE TRONCO MENOR QUE 0,20 M), COM TRATOR DE ESTEIRAS. AF_03/2024</v>
      </c>
      <c r="D169" s="632"/>
      <c r="E169" s="632"/>
      <c r="F169" s="632"/>
      <c r="G169" s="633"/>
      <c r="H169" s="131" t="str">
        <f>VLOOKUP(A169,'3 - PLAN. ORÇAMENTÁRIA'!$A$17:$E$721,5,FALSE)</f>
        <v>M2</v>
      </c>
    </row>
    <row r="170" spans="1:8" ht="12.75" customHeight="1">
      <c r="B170" s="628" t="s">
        <v>1301</v>
      </c>
      <c r="C170" s="628"/>
      <c r="D170" s="103" t="s">
        <v>579</v>
      </c>
      <c r="E170" s="103" t="s">
        <v>580</v>
      </c>
      <c r="F170" s="103" t="s">
        <v>581</v>
      </c>
      <c r="G170" s="103" t="s">
        <v>582</v>
      </c>
      <c r="H170" s="103" t="s">
        <v>583</v>
      </c>
    </row>
    <row r="171" spans="1:8" ht="25.5">
      <c r="B171" s="130" t="s">
        <v>1337</v>
      </c>
      <c r="C171" s="229" t="s">
        <v>1338</v>
      </c>
      <c r="D171" s="130" t="s">
        <v>119</v>
      </c>
      <c r="E171" s="130" t="s">
        <v>1304</v>
      </c>
      <c r="F171" s="230">
        <v>2.8999999999999998E-3</v>
      </c>
      <c r="G171" s="494">
        <v>74.430000000000007</v>
      </c>
      <c r="H171" s="494">
        <v>0.22</v>
      </c>
    </row>
    <row r="172" spans="1:8" ht="25.5">
      <c r="B172" s="130" t="s">
        <v>1339</v>
      </c>
      <c r="C172" s="229" t="s">
        <v>1340</v>
      </c>
      <c r="D172" s="130" t="s">
        <v>119</v>
      </c>
      <c r="E172" s="130" t="s">
        <v>1307</v>
      </c>
      <c r="F172" s="230">
        <v>1.6999999999999999E-3</v>
      </c>
      <c r="G172" s="494">
        <v>196.37</v>
      </c>
      <c r="H172" s="494">
        <v>0.33</v>
      </c>
    </row>
    <row r="173" spans="1:8" ht="12.75" customHeight="1">
      <c r="B173" s="105"/>
      <c r="C173" s="105"/>
      <c r="D173" s="105"/>
      <c r="E173" s="105"/>
      <c r="F173" s="629" t="s">
        <v>1308</v>
      </c>
      <c r="G173" s="629"/>
      <c r="H173" s="495">
        <v>0.55000000000000004</v>
      </c>
    </row>
    <row r="174" spans="1:8" ht="12.75" customHeight="1">
      <c r="B174" s="628" t="s">
        <v>607</v>
      </c>
      <c r="C174" s="628"/>
      <c r="D174" s="103" t="s">
        <v>579</v>
      </c>
      <c r="E174" s="103" t="s">
        <v>580</v>
      </c>
      <c r="F174" s="103" t="s">
        <v>581</v>
      </c>
      <c r="G174" s="103" t="s">
        <v>582</v>
      </c>
      <c r="H174" s="103" t="s">
        <v>583</v>
      </c>
    </row>
    <row r="175" spans="1:8">
      <c r="B175" s="130" t="s">
        <v>1341</v>
      </c>
      <c r="C175" s="229" t="s">
        <v>634</v>
      </c>
      <c r="D175" s="130" t="s">
        <v>119</v>
      </c>
      <c r="E175" s="130" t="s">
        <v>121</v>
      </c>
      <c r="F175" s="230">
        <v>4.5999999999999999E-3</v>
      </c>
      <c r="G175" s="494">
        <v>28</v>
      </c>
      <c r="H175" s="494">
        <v>0.13</v>
      </c>
    </row>
    <row r="176" spans="1:8" ht="12.75" customHeight="1">
      <c r="B176" s="105"/>
      <c r="C176" s="105"/>
      <c r="D176" s="105"/>
      <c r="E176" s="105"/>
      <c r="F176" s="629" t="s">
        <v>610</v>
      </c>
      <c r="G176" s="629"/>
      <c r="H176" s="495">
        <v>0.13</v>
      </c>
    </row>
    <row r="177" spans="1:8" ht="12.75" customHeight="1">
      <c r="B177" s="105"/>
      <c r="C177" s="105"/>
      <c r="D177" s="105"/>
      <c r="E177" s="105"/>
      <c r="F177" s="630" t="s">
        <v>464</v>
      </c>
      <c r="G177" s="630"/>
      <c r="H177" s="102">
        <v>0.66</v>
      </c>
    </row>
    <row r="178" spans="1:8">
      <c r="B178" s="105"/>
      <c r="C178" s="105"/>
      <c r="D178" s="105"/>
      <c r="E178" s="105"/>
      <c r="F178" s="634"/>
      <c r="G178" s="634"/>
      <c r="H178" s="634"/>
    </row>
    <row r="179" spans="1:8" s="220" customFormat="1" ht="27" customHeight="1">
      <c r="A179" s="178" t="str">
        <f>'3 - PLAN. ORÇAMENTÁRIA'!A50</f>
        <v>2.4.1.2</v>
      </c>
      <c r="B179" s="242">
        <f>VLOOKUP(A179,'3 - PLAN. ORÇAMENTÁRIA'!$A$16:$B$721,2,FALSE)</f>
        <v>100983</v>
      </c>
      <c r="C179" s="631" t="str">
        <f>VLOOKUP(A179,'3 - PLAN. ORÇAMENTÁRIA'!$A$16:$C$721,3,FALSE)</f>
        <v>CARGA, MANOBRA E DESCARGA DE ENTULHO EM CAMINHÃO BASCULANTE 14 M³ - CARGA COM ESCAVADEIRA HIDRÁULICA (CAÇAMBA DE 0,80 M³ / 111 HP) E DESCARGA LIVRE (UNIDADE: M3). AF_07/2020</v>
      </c>
      <c r="D179" s="632"/>
      <c r="E179" s="632"/>
      <c r="F179" s="632"/>
      <c r="G179" s="633"/>
      <c r="H179" s="493" t="str">
        <f>VLOOKUP(A179,'3 - PLAN. ORÇAMENTÁRIA'!$A$17:$E$721,5,FALSE)</f>
        <v>M3</v>
      </c>
    </row>
    <row r="180" spans="1:8" ht="12.75" customHeight="1">
      <c r="B180" s="628" t="s">
        <v>1301</v>
      </c>
      <c r="C180" s="628"/>
      <c r="D180" s="103" t="s">
        <v>579</v>
      </c>
      <c r="E180" s="103" t="s">
        <v>580</v>
      </c>
      <c r="F180" s="103" t="s">
        <v>581</v>
      </c>
      <c r="G180" s="103" t="s">
        <v>582</v>
      </c>
      <c r="H180" s="103" t="s">
        <v>583</v>
      </c>
    </row>
    <row r="181" spans="1:8" ht="38.25">
      <c r="B181" s="130" t="s">
        <v>1342</v>
      </c>
      <c r="C181" s="229" t="s">
        <v>1343</v>
      </c>
      <c r="D181" s="130" t="s">
        <v>119</v>
      </c>
      <c r="E181" s="130" t="s">
        <v>1304</v>
      </c>
      <c r="F181" s="230">
        <v>1.0999999999999999E-2</v>
      </c>
      <c r="G181" s="494">
        <v>90.65</v>
      </c>
      <c r="H181" s="494">
        <v>1</v>
      </c>
    </row>
    <row r="182" spans="1:8" ht="38.25">
      <c r="B182" s="130" t="s">
        <v>1344</v>
      </c>
      <c r="C182" s="229" t="s">
        <v>1345</v>
      </c>
      <c r="D182" s="130" t="s">
        <v>119</v>
      </c>
      <c r="E182" s="130" t="s">
        <v>1307</v>
      </c>
      <c r="F182" s="230">
        <v>1.6899999999999998E-2</v>
      </c>
      <c r="G182" s="494">
        <v>334.12</v>
      </c>
      <c r="H182" s="494">
        <v>5.65</v>
      </c>
    </row>
    <row r="183" spans="1:8" ht="25.5">
      <c r="B183" s="130" t="s">
        <v>1346</v>
      </c>
      <c r="C183" s="229" t="s">
        <v>1347</v>
      </c>
      <c r="D183" s="130" t="s">
        <v>119</v>
      </c>
      <c r="E183" s="130" t="s">
        <v>1304</v>
      </c>
      <c r="F183" s="230">
        <v>8.5000000000000006E-3</v>
      </c>
      <c r="G183" s="494">
        <v>90.12</v>
      </c>
      <c r="H183" s="494">
        <v>0.77</v>
      </c>
    </row>
    <row r="184" spans="1:8" ht="25.5">
      <c r="B184" s="130" t="s">
        <v>1348</v>
      </c>
      <c r="C184" s="229" t="s">
        <v>1349</v>
      </c>
      <c r="D184" s="130" t="s">
        <v>119</v>
      </c>
      <c r="E184" s="130" t="s">
        <v>1307</v>
      </c>
      <c r="F184" s="230">
        <v>8.3000000000000001E-3</v>
      </c>
      <c r="G184" s="494">
        <v>213.48</v>
      </c>
      <c r="H184" s="494">
        <v>1.77</v>
      </c>
    </row>
    <row r="185" spans="1:8" ht="12.75" customHeight="1">
      <c r="B185" s="105"/>
      <c r="C185" s="105"/>
      <c r="D185" s="105"/>
      <c r="E185" s="105"/>
      <c r="F185" s="629" t="s">
        <v>1308</v>
      </c>
      <c r="G185" s="629"/>
      <c r="H185" s="495">
        <v>9.19</v>
      </c>
    </row>
    <row r="186" spans="1:8" ht="12.75" customHeight="1">
      <c r="B186" s="105"/>
      <c r="C186" s="105"/>
      <c r="D186" s="105"/>
      <c r="E186" s="105"/>
      <c r="F186" s="630" t="s">
        <v>464</v>
      </c>
      <c r="G186" s="630"/>
      <c r="H186" s="102">
        <v>9.16</v>
      </c>
    </row>
    <row r="187" spans="1:8">
      <c r="B187" s="105"/>
      <c r="C187" s="105"/>
      <c r="D187" s="105"/>
      <c r="E187" s="105"/>
      <c r="F187" s="634"/>
      <c r="G187" s="634"/>
      <c r="H187" s="634"/>
    </row>
    <row r="188" spans="1:8" s="220" customFormat="1" ht="27" customHeight="1">
      <c r="A188" s="178" t="str">
        <f>'3 - PLAN. ORÇAMENTÁRIA'!A51</f>
        <v>2.4.1.3</v>
      </c>
      <c r="B188" s="242">
        <f>VLOOKUP(A188,'3 - PLAN. ORÇAMENTÁRIA'!$A$16:$B$721,2,FALSE)</f>
        <v>93591</v>
      </c>
      <c r="C188" s="631" t="str">
        <f>VLOOKUP(A188,'3 - PLAN. ORÇAMENTÁRIA'!$A$16:$C$721,3,FALSE)</f>
        <v>TRANSPORTE COM CAMINHÃO BASCULANTE, EM VIA URBANA - DESCARTE NA DISTÂNCIA DE 19,2 KM NO URE (UNIDADE DE RECEBIMENTO DE ENTULHOS). AF_07/2020</v>
      </c>
      <c r="D188" s="632"/>
      <c r="E188" s="632"/>
      <c r="F188" s="632"/>
      <c r="G188" s="633"/>
      <c r="H188" s="493" t="str">
        <f>VLOOKUP(A188,'3 - PLAN. ORÇAMENTÁRIA'!$A$17:$E$721,5,FALSE)</f>
        <v>M3XKM</v>
      </c>
    </row>
    <row r="189" spans="1:8" ht="12.75" customHeight="1">
      <c r="B189" s="628" t="s">
        <v>1301</v>
      </c>
      <c r="C189" s="628"/>
      <c r="D189" s="103" t="s">
        <v>579</v>
      </c>
      <c r="E189" s="103" t="s">
        <v>580</v>
      </c>
      <c r="F189" s="103" t="s">
        <v>581</v>
      </c>
      <c r="G189" s="103" t="s">
        <v>582</v>
      </c>
      <c r="H189" s="103" t="s">
        <v>583</v>
      </c>
    </row>
    <row r="190" spans="1:8" ht="38.25">
      <c r="B190" s="130" t="s">
        <v>1342</v>
      </c>
      <c r="C190" s="229" t="s">
        <v>1343</v>
      </c>
      <c r="D190" s="130" t="s">
        <v>119</v>
      </c>
      <c r="E190" s="130" t="s">
        <v>1304</v>
      </c>
      <c r="F190" s="230">
        <v>3.2000000000000002E-3</v>
      </c>
      <c r="G190" s="494">
        <v>90.65</v>
      </c>
      <c r="H190" s="494">
        <v>0.28999999999999998</v>
      </c>
    </row>
    <row r="191" spans="1:8" ht="38.25">
      <c r="B191" s="130" t="s">
        <v>1344</v>
      </c>
      <c r="C191" s="229" t="s">
        <v>1345</v>
      </c>
      <c r="D191" s="130" t="s">
        <v>119</v>
      </c>
      <c r="E191" s="130" t="s">
        <v>1307</v>
      </c>
      <c r="F191" s="230">
        <v>7.4999999999999997E-3</v>
      </c>
      <c r="G191" s="494">
        <v>334.12</v>
      </c>
      <c r="H191" s="494">
        <v>2.5099999999999998</v>
      </c>
    </row>
    <row r="192" spans="1:8" ht="12.75" customHeight="1">
      <c r="B192" s="105"/>
      <c r="C192" s="105"/>
      <c r="D192" s="105"/>
      <c r="E192" s="105"/>
      <c r="F192" s="629" t="s">
        <v>1308</v>
      </c>
      <c r="G192" s="629"/>
      <c r="H192" s="495">
        <v>2.8</v>
      </c>
    </row>
    <row r="193" spans="1:8" ht="12.75" customHeight="1">
      <c r="B193" s="105"/>
      <c r="C193" s="105"/>
      <c r="D193" s="105"/>
      <c r="E193" s="105"/>
      <c r="F193" s="630" t="s">
        <v>464</v>
      </c>
      <c r="G193" s="630"/>
      <c r="H193" s="102">
        <v>2.79</v>
      </c>
    </row>
    <row r="194" spans="1:8">
      <c r="B194" s="105"/>
      <c r="C194" s="105"/>
      <c r="D194" s="105"/>
      <c r="E194" s="105"/>
      <c r="F194" s="634"/>
      <c r="G194" s="634"/>
      <c r="H194" s="634"/>
    </row>
    <row r="195" spans="1:8" s="220" customFormat="1" ht="27" customHeight="1">
      <c r="A195" s="178" t="str">
        <f>'3 - PLAN. ORÇAMENTÁRIA'!A54</f>
        <v>2.4.2.1</v>
      </c>
      <c r="B195" s="242">
        <f>VLOOKUP(A195,'3 - PLAN. ORÇAMENTÁRIA'!$A$16:$B$721,2,FALSE)</f>
        <v>101135</v>
      </c>
      <c r="C195" s="631" t="str">
        <f>VLOOKUP(A195,'3 - PLAN. ORÇAMENTÁRIA'!$A$16:$C$721,3,FALSE)</f>
        <v>ESCAVAÇÃO HORIZONTAL, INCLUINDO CARGA, DESCARGA, TRANSPORTE E ESPALHAMENTO DE SOLO DE 1A CATEGORIA COM TRATOR DE ESTEIRAS (150HP/LÂMINA: 3,18M3) E CAMINHÃO BASCULANTE DE 10M3, DMT ATÉ 200M AF_07/2020</v>
      </c>
      <c r="D195" s="632"/>
      <c r="E195" s="632"/>
      <c r="F195" s="632"/>
      <c r="G195" s="633"/>
      <c r="H195" s="131" t="str">
        <f>VLOOKUP(A195,'3 - PLAN. ORÇAMENTÁRIA'!$A$17:$E$721,5,FALSE)</f>
        <v>M3</v>
      </c>
    </row>
    <row r="196" spans="1:8" ht="12.75" customHeight="1">
      <c r="B196" s="628" t="s">
        <v>1301</v>
      </c>
      <c r="C196" s="628"/>
      <c r="D196" s="103" t="s">
        <v>579</v>
      </c>
      <c r="E196" s="103" t="s">
        <v>580</v>
      </c>
      <c r="F196" s="103" t="s">
        <v>581</v>
      </c>
      <c r="G196" s="103" t="s">
        <v>582</v>
      </c>
      <c r="H196" s="103" t="s">
        <v>583</v>
      </c>
    </row>
    <row r="197" spans="1:8" ht="25.5">
      <c r="B197" s="130">
        <v>5853</v>
      </c>
      <c r="C197" s="229" t="s">
        <v>1363</v>
      </c>
      <c r="D197" s="130" t="s">
        <v>119</v>
      </c>
      <c r="E197" s="130" t="s">
        <v>1304</v>
      </c>
      <c r="F197" s="230">
        <v>1.34E-2</v>
      </c>
      <c r="G197" s="494">
        <v>88.78</v>
      </c>
      <c r="H197" s="494">
        <v>1.19</v>
      </c>
    </row>
    <row r="198" spans="1:8" ht="25.5">
      <c r="B198" s="130">
        <v>5851</v>
      </c>
      <c r="C198" s="229" t="s">
        <v>1365</v>
      </c>
      <c r="D198" s="130" t="s">
        <v>119</v>
      </c>
      <c r="E198" s="130" t="s">
        <v>1307</v>
      </c>
      <c r="F198" s="230">
        <v>7.9000000000000008E-3</v>
      </c>
      <c r="G198" s="494">
        <v>259.54000000000002</v>
      </c>
      <c r="H198" s="494">
        <v>2.0499999999999998</v>
      </c>
    </row>
    <row r="199" spans="1:8" ht="12.75" customHeight="1">
      <c r="B199" s="105"/>
      <c r="C199" s="105"/>
      <c r="D199" s="105"/>
      <c r="E199" s="105"/>
      <c r="F199" s="629" t="s">
        <v>1308</v>
      </c>
      <c r="G199" s="629"/>
      <c r="H199" s="495">
        <v>3.24</v>
      </c>
    </row>
    <row r="200" spans="1:8" ht="12.75" customHeight="1">
      <c r="B200" s="628" t="s">
        <v>607</v>
      </c>
      <c r="C200" s="628"/>
      <c r="D200" s="103" t="s">
        <v>579</v>
      </c>
      <c r="E200" s="103" t="s">
        <v>580</v>
      </c>
      <c r="F200" s="103" t="s">
        <v>581</v>
      </c>
      <c r="G200" s="103" t="s">
        <v>582</v>
      </c>
      <c r="H200" s="103" t="s">
        <v>583</v>
      </c>
    </row>
    <row r="201" spans="1:8">
      <c r="B201" s="130" t="s">
        <v>625</v>
      </c>
      <c r="C201" s="229" t="s">
        <v>626</v>
      </c>
      <c r="D201" s="130" t="s">
        <v>119</v>
      </c>
      <c r="E201" s="130" t="s">
        <v>121</v>
      </c>
      <c r="F201" s="230">
        <v>2.1299999999999999E-2</v>
      </c>
      <c r="G201" s="494">
        <v>23.75</v>
      </c>
      <c r="H201" s="494">
        <v>0.51</v>
      </c>
    </row>
    <row r="202" spans="1:8" ht="12.75" customHeight="1">
      <c r="B202" s="105"/>
      <c r="C202" s="105"/>
      <c r="D202" s="105"/>
      <c r="E202" s="105"/>
      <c r="F202" s="629" t="s">
        <v>610</v>
      </c>
      <c r="G202" s="629"/>
      <c r="H202" s="495">
        <v>0.51</v>
      </c>
    </row>
    <row r="203" spans="1:8" ht="12.75" customHeight="1">
      <c r="B203" s="628" t="s">
        <v>586</v>
      </c>
      <c r="C203" s="628"/>
      <c r="D203" s="103" t="s">
        <v>579</v>
      </c>
      <c r="E203" s="103" t="s">
        <v>580</v>
      </c>
      <c r="F203" s="103" t="s">
        <v>581</v>
      </c>
      <c r="G203" s="103" t="s">
        <v>582</v>
      </c>
      <c r="H203" s="103" t="s">
        <v>583</v>
      </c>
    </row>
    <row r="204" spans="1:8" ht="38.25">
      <c r="B204" s="130" t="s">
        <v>3808</v>
      </c>
      <c r="C204" s="229" t="s">
        <v>3382</v>
      </c>
      <c r="D204" s="130" t="s">
        <v>119</v>
      </c>
      <c r="E204" s="130" t="s">
        <v>167</v>
      </c>
      <c r="F204" s="230">
        <v>1.25</v>
      </c>
      <c r="G204" s="494">
        <v>8.49</v>
      </c>
      <c r="H204" s="494">
        <v>10.61</v>
      </c>
    </row>
    <row r="205" spans="1:8" ht="25.5">
      <c r="B205" s="130" t="s">
        <v>3809</v>
      </c>
      <c r="C205" s="229" t="s">
        <v>3383</v>
      </c>
      <c r="D205" s="130" t="s">
        <v>119</v>
      </c>
      <c r="E205" s="130" t="s">
        <v>185</v>
      </c>
      <c r="F205" s="230">
        <v>0.25</v>
      </c>
      <c r="G205" s="494">
        <v>2.71</v>
      </c>
      <c r="H205" s="494">
        <v>0.68</v>
      </c>
    </row>
    <row r="206" spans="1:8" ht="12.75" customHeight="1">
      <c r="B206" s="105"/>
      <c r="C206" s="105"/>
      <c r="D206" s="105"/>
      <c r="E206" s="105"/>
      <c r="F206" s="629" t="s">
        <v>587</v>
      </c>
      <c r="G206" s="629"/>
      <c r="H206" s="495">
        <v>11.29</v>
      </c>
    </row>
    <row r="207" spans="1:8" ht="12.75" customHeight="1">
      <c r="B207" s="105"/>
      <c r="C207" s="105"/>
      <c r="D207" s="105"/>
      <c r="E207" s="105"/>
      <c r="F207" s="630" t="s">
        <v>464</v>
      </c>
      <c r="G207" s="630"/>
      <c r="H207" s="102">
        <v>15.01</v>
      </c>
    </row>
    <row r="208" spans="1:8">
      <c r="B208" s="105"/>
      <c r="C208" s="105"/>
      <c r="D208" s="105"/>
      <c r="E208" s="105"/>
      <c r="F208" s="640"/>
      <c r="G208" s="640"/>
      <c r="H208" s="640"/>
    </row>
    <row r="209" spans="1:8" s="220" customFormat="1" ht="27" customHeight="1">
      <c r="A209" s="178" t="str">
        <f>'3 - PLAN. ORÇAMENTÁRIA'!A56</f>
        <v>2.4.2.3</v>
      </c>
      <c r="B209" s="242">
        <f>VLOOKUP(A209,'3 - PLAN. ORÇAMENTÁRIA'!$A$16:$B$721,2,FALSE)</f>
        <v>96385</v>
      </c>
      <c r="C209" s="631" t="str">
        <f>VLOOKUP(A209,'3 - PLAN. ORÇAMENTÁRIA'!$A$16:$C$721,3,FALSE)</f>
        <v>EXECUÇÃO E COMPACTAÇÃO DE ATERRO COM SOLO PREDOMINANTEMENTE ARGILOSO - EXCLUSIVE SOLO, ESCAVAÇÃO, CARGA E TRANSPORTE. AF_11/2019</v>
      </c>
      <c r="D209" s="632"/>
      <c r="E209" s="632"/>
      <c r="F209" s="632"/>
      <c r="G209" s="633"/>
      <c r="H209" s="131" t="str">
        <f>VLOOKUP(A209,'3 - PLAN. ORÇAMENTÁRIA'!$A$17:$E$721,5,FALSE)</f>
        <v>M3</v>
      </c>
    </row>
    <row r="210" spans="1:8" ht="12.75" customHeight="1">
      <c r="B210" s="628" t="s">
        <v>1301</v>
      </c>
      <c r="C210" s="628"/>
      <c r="D210" s="103" t="s">
        <v>579</v>
      </c>
      <c r="E210" s="103" t="s">
        <v>580</v>
      </c>
      <c r="F210" s="103" t="s">
        <v>581</v>
      </c>
      <c r="G210" s="103" t="s">
        <v>582</v>
      </c>
      <c r="H210" s="103" t="s">
        <v>583</v>
      </c>
    </row>
    <row r="211" spans="1:8" ht="38.25">
      <c r="B211" s="130" t="s">
        <v>1350</v>
      </c>
      <c r="C211" s="229" t="s">
        <v>1351</v>
      </c>
      <c r="D211" s="130" t="s">
        <v>119</v>
      </c>
      <c r="E211" s="130" t="s">
        <v>1304</v>
      </c>
      <c r="F211" s="230">
        <v>3.14119E-2</v>
      </c>
      <c r="G211" s="494">
        <v>75.08</v>
      </c>
      <c r="H211" s="494">
        <v>2.36</v>
      </c>
    </row>
    <row r="212" spans="1:8" ht="38.25">
      <c r="B212" s="130" t="s">
        <v>1352</v>
      </c>
      <c r="C212" s="229" t="s">
        <v>1353</v>
      </c>
      <c r="D212" s="130" t="s">
        <v>119</v>
      </c>
      <c r="E212" s="130" t="s">
        <v>1307</v>
      </c>
      <c r="F212" s="230">
        <v>4.2570000000000004E-3</v>
      </c>
      <c r="G212" s="494">
        <v>317.85000000000002</v>
      </c>
      <c r="H212" s="494">
        <v>1.35</v>
      </c>
    </row>
    <row r="213" spans="1:8" ht="25.5">
      <c r="B213" s="130" t="s">
        <v>1354</v>
      </c>
      <c r="C213" s="229" t="s">
        <v>1355</v>
      </c>
      <c r="D213" s="130" t="s">
        <v>119</v>
      </c>
      <c r="E213" s="130" t="s">
        <v>1304</v>
      </c>
      <c r="F213" s="230">
        <v>3.11577E-2</v>
      </c>
      <c r="G213" s="494">
        <v>102.39</v>
      </c>
      <c r="H213" s="494">
        <v>3.19</v>
      </c>
    </row>
    <row r="214" spans="1:8" ht="25.5">
      <c r="B214" s="130" t="s">
        <v>1356</v>
      </c>
      <c r="C214" s="229" t="s">
        <v>1357</v>
      </c>
      <c r="D214" s="130" t="s">
        <v>119</v>
      </c>
      <c r="E214" s="130" t="s">
        <v>1307</v>
      </c>
      <c r="F214" s="230">
        <v>4.5111999999999999E-3</v>
      </c>
      <c r="G214" s="494">
        <v>259.29000000000002</v>
      </c>
      <c r="H214" s="494">
        <v>1.17</v>
      </c>
    </row>
    <row r="215" spans="1:8" ht="25.5">
      <c r="B215" s="130" t="s">
        <v>1358</v>
      </c>
      <c r="C215" s="229" t="s">
        <v>1359</v>
      </c>
      <c r="D215" s="130" t="s">
        <v>119</v>
      </c>
      <c r="E215" s="130" t="s">
        <v>1304</v>
      </c>
      <c r="F215" s="230">
        <v>2.5237800000000001E-2</v>
      </c>
      <c r="G215" s="494">
        <v>70.62</v>
      </c>
      <c r="H215" s="494">
        <v>1.78</v>
      </c>
    </row>
    <row r="216" spans="1:8" ht="38.25">
      <c r="B216" s="130" t="s">
        <v>1360</v>
      </c>
      <c r="C216" s="229" t="s">
        <v>1361</v>
      </c>
      <c r="D216" s="130" t="s">
        <v>119</v>
      </c>
      <c r="E216" s="130" t="s">
        <v>1307</v>
      </c>
      <c r="F216" s="230">
        <v>1.04312E-2</v>
      </c>
      <c r="G216" s="494">
        <v>171.22</v>
      </c>
      <c r="H216" s="494">
        <v>1.79</v>
      </c>
    </row>
    <row r="217" spans="1:8" ht="12.75" customHeight="1">
      <c r="B217" s="105"/>
      <c r="C217" s="105"/>
      <c r="D217" s="105"/>
      <c r="E217" s="105"/>
      <c r="F217" s="629" t="s">
        <v>1308</v>
      </c>
      <c r="G217" s="629"/>
      <c r="H217" s="495">
        <v>11.64</v>
      </c>
    </row>
    <row r="218" spans="1:8" ht="12.75" customHeight="1">
      <c r="B218" s="628" t="s">
        <v>607</v>
      </c>
      <c r="C218" s="628"/>
      <c r="D218" s="103" t="s">
        <v>579</v>
      </c>
      <c r="E218" s="103" t="s">
        <v>580</v>
      </c>
      <c r="F218" s="103" t="s">
        <v>581</v>
      </c>
      <c r="G218" s="103" t="s">
        <v>582</v>
      </c>
      <c r="H218" s="103" t="s">
        <v>583</v>
      </c>
    </row>
    <row r="219" spans="1:8">
      <c r="B219" s="130" t="s">
        <v>625</v>
      </c>
      <c r="C219" s="229" t="s">
        <v>626</v>
      </c>
      <c r="D219" s="130" t="s">
        <v>119</v>
      </c>
      <c r="E219" s="130" t="s">
        <v>121</v>
      </c>
      <c r="F219" s="230">
        <v>3.5668900000000003E-2</v>
      </c>
      <c r="G219" s="494">
        <v>23.75</v>
      </c>
      <c r="H219" s="494">
        <v>0.85</v>
      </c>
    </row>
    <row r="220" spans="1:8" ht="12.75" customHeight="1">
      <c r="B220" s="105"/>
      <c r="C220" s="105"/>
      <c r="D220" s="105"/>
      <c r="E220" s="105"/>
      <c r="F220" s="629" t="s">
        <v>610</v>
      </c>
      <c r="G220" s="629"/>
      <c r="H220" s="495">
        <v>0.85</v>
      </c>
    </row>
    <row r="221" spans="1:8" ht="12.75" customHeight="1">
      <c r="B221" s="105"/>
      <c r="C221" s="105"/>
      <c r="D221" s="105"/>
      <c r="E221" s="105"/>
      <c r="F221" s="630" t="s">
        <v>464</v>
      </c>
      <c r="G221" s="630"/>
      <c r="H221" s="102">
        <v>12.45</v>
      </c>
    </row>
    <row r="222" spans="1:8">
      <c r="B222" s="105"/>
      <c r="C222" s="105"/>
      <c r="D222" s="105"/>
      <c r="E222" s="105"/>
      <c r="F222" s="634"/>
      <c r="G222" s="634"/>
      <c r="H222" s="634"/>
    </row>
    <row r="223" spans="1:8" s="220" customFormat="1" ht="27" customHeight="1">
      <c r="A223" s="178" t="str">
        <f>'3 - PLAN. ORÇAMENTÁRIA'!A62</f>
        <v>3.1.1.3</v>
      </c>
      <c r="B223" s="178">
        <f>VLOOKUP(A223,'3 - PLAN. ORÇAMENTÁRIA'!$A$16:$B$721,2,FALSE)</f>
        <v>95592</v>
      </c>
      <c r="C223" s="631" t="str">
        <f>VLOOKUP(A223,'3 - PLAN. ORÇAMENTÁRIA'!$A$16:$C$721,3,FALSE)</f>
        <v>MONTAGEM DE ARMADURA TRANVERSAL DE ESTACAS DE SEÇÃO RETANGULAR, DIÂMETRO = 5,0 MM. AF_09/2021_PS</v>
      </c>
      <c r="D223" s="632"/>
      <c r="E223" s="632"/>
      <c r="F223" s="632"/>
      <c r="G223" s="633"/>
      <c r="H223" s="433" t="str">
        <f>VLOOKUP(A223,'3 - PLAN. ORÇAMENTÁRIA'!$A$17:$E$721,5,FALSE)</f>
        <v>KG</v>
      </c>
    </row>
    <row r="224" spans="1:8">
      <c r="B224" s="628" t="s">
        <v>593</v>
      </c>
      <c r="C224" s="628"/>
      <c r="D224" s="103" t="s">
        <v>579</v>
      </c>
      <c r="E224" s="103" t="s">
        <v>580</v>
      </c>
      <c r="F224" s="103" t="s">
        <v>581</v>
      </c>
      <c r="G224" s="103" t="s">
        <v>582</v>
      </c>
      <c r="H224" s="103" t="s">
        <v>583</v>
      </c>
    </row>
    <row r="225" spans="1:8">
      <c r="B225" s="130" t="s">
        <v>635</v>
      </c>
      <c r="C225" s="229" t="s">
        <v>636</v>
      </c>
      <c r="D225" s="130" t="s">
        <v>119</v>
      </c>
      <c r="E225" s="130" t="s">
        <v>200</v>
      </c>
      <c r="F225" s="230">
        <v>0.02</v>
      </c>
      <c r="G225" s="494">
        <v>19.38</v>
      </c>
      <c r="H225" s="494">
        <v>0.39</v>
      </c>
    </row>
    <row r="226" spans="1:8" ht="25.5">
      <c r="B226" s="130" t="s">
        <v>1373</v>
      </c>
      <c r="C226" s="229" t="s">
        <v>1374</v>
      </c>
      <c r="D226" s="130" t="s">
        <v>119</v>
      </c>
      <c r="E226" s="130" t="s">
        <v>144</v>
      </c>
      <c r="F226" s="230">
        <v>1.19</v>
      </c>
      <c r="G226" s="494">
        <v>0.22</v>
      </c>
      <c r="H226" s="494">
        <v>0.26</v>
      </c>
    </row>
    <row r="227" spans="1:8">
      <c r="B227" s="105"/>
      <c r="C227" s="105"/>
      <c r="D227" s="105"/>
      <c r="E227" s="105"/>
      <c r="F227" s="629" t="s">
        <v>604</v>
      </c>
      <c r="G227" s="629"/>
      <c r="H227" s="495">
        <v>0.65</v>
      </c>
    </row>
    <row r="228" spans="1:8" ht="12.75" customHeight="1">
      <c r="B228" s="628" t="s">
        <v>607</v>
      </c>
      <c r="C228" s="628"/>
      <c r="D228" s="103" t="s">
        <v>579</v>
      </c>
      <c r="E228" s="103" t="s">
        <v>580</v>
      </c>
      <c r="F228" s="103" t="s">
        <v>581</v>
      </c>
      <c r="G228" s="103" t="s">
        <v>582</v>
      </c>
      <c r="H228" s="103" t="s">
        <v>583</v>
      </c>
    </row>
    <row r="229" spans="1:8">
      <c r="B229" s="130" t="s">
        <v>1375</v>
      </c>
      <c r="C229" s="229" t="s">
        <v>637</v>
      </c>
      <c r="D229" s="130" t="s">
        <v>119</v>
      </c>
      <c r="E229" s="130" t="s">
        <v>121</v>
      </c>
      <c r="F229" s="230">
        <v>3.3000000000000002E-2</v>
      </c>
      <c r="G229" s="494">
        <v>24.57</v>
      </c>
      <c r="H229" s="494">
        <v>0.81</v>
      </c>
    </row>
    <row r="230" spans="1:8">
      <c r="B230" s="130" t="s">
        <v>1376</v>
      </c>
      <c r="C230" s="229" t="s">
        <v>638</v>
      </c>
      <c r="D230" s="130" t="s">
        <v>119</v>
      </c>
      <c r="E230" s="130" t="s">
        <v>121</v>
      </c>
      <c r="F230" s="230">
        <v>0.16520000000000001</v>
      </c>
      <c r="G230" s="494">
        <v>31.13</v>
      </c>
      <c r="H230" s="494">
        <v>5.14</v>
      </c>
    </row>
    <row r="231" spans="1:8" ht="12.75" customHeight="1">
      <c r="B231" s="105"/>
      <c r="C231" s="105"/>
      <c r="D231" s="105"/>
      <c r="E231" s="105"/>
      <c r="F231" s="629" t="s">
        <v>610</v>
      </c>
      <c r="G231" s="629"/>
      <c r="H231" s="495">
        <v>5.95</v>
      </c>
    </row>
    <row r="232" spans="1:8">
      <c r="B232" s="628" t="s">
        <v>586</v>
      </c>
      <c r="C232" s="628"/>
      <c r="D232" s="103" t="s">
        <v>579</v>
      </c>
      <c r="E232" s="103" t="s">
        <v>580</v>
      </c>
      <c r="F232" s="103" t="s">
        <v>581</v>
      </c>
      <c r="G232" s="103" t="s">
        <v>582</v>
      </c>
      <c r="H232" s="103" t="s">
        <v>583</v>
      </c>
    </row>
    <row r="233" spans="1:8">
      <c r="B233" s="130" t="s">
        <v>1414</v>
      </c>
      <c r="C233" s="229" t="s">
        <v>1415</v>
      </c>
      <c r="D233" s="130" t="s">
        <v>119</v>
      </c>
      <c r="E233" s="130" t="s">
        <v>200</v>
      </c>
      <c r="F233" s="230">
        <v>1</v>
      </c>
      <c r="G233" s="494">
        <v>10.85</v>
      </c>
      <c r="H233" s="494">
        <v>10.85</v>
      </c>
    </row>
    <row r="234" spans="1:8">
      <c r="B234" s="105"/>
      <c r="C234" s="105"/>
      <c r="D234" s="105"/>
      <c r="E234" s="105"/>
      <c r="F234" s="629" t="s">
        <v>587</v>
      </c>
      <c r="G234" s="629"/>
      <c r="H234" s="495">
        <v>10.85</v>
      </c>
    </row>
    <row r="235" spans="1:8" ht="12.75" customHeight="1">
      <c r="B235" s="105"/>
      <c r="C235" s="105"/>
      <c r="D235" s="105"/>
      <c r="E235" s="105"/>
      <c r="F235" s="630" t="s">
        <v>464</v>
      </c>
      <c r="G235" s="630"/>
      <c r="H235" s="102">
        <v>17.440000000000001</v>
      </c>
    </row>
    <row r="236" spans="1:8">
      <c r="B236" s="105"/>
      <c r="C236" s="105"/>
      <c r="D236" s="105"/>
      <c r="E236" s="105"/>
      <c r="F236" s="634"/>
      <c r="G236" s="634"/>
      <c r="H236" s="634"/>
    </row>
    <row r="237" spans="1:8" s="220" customFormat="1" ht="27" customHeight="1">
      <c r="A237" s="178" t="str">
        <f>'3 - PLAN. ORÇAMENTÁRIA'!A63</f>
        <v>3.1.1.4</v>
      </c>
      <c r="B237" s="178">
        <f>VLOOKUP(A237,'3 - PLAN. ORÇAMENTÁRIA'!$A$16:$B$721,2,FALSE)</f>
        <v>95584</v>
      </c>
      <c r="C237" s="631" t="str">
        <f>VLOOKUP(A237,'3 - PLAN. ORÇAMENTÁRIA'!$A$16:$C$721,3,FALSE)</f>
        <v>MONTAGEM DE ARMADURA TRANSVERSAL DE ESTACAS DE SEÇÃO CIRCULAR, DIÂMETRO = 6,30 MM. AF_09/2021_PS</v>
      </c>
      <c r="D237" s="632"/>
      <c r="E237" s="632"/>
      <c r="F237" s="632"/>
      <c r="G237" s="633"/>
      <c r="H237" s="493" t="str">
        <f>VLOOKUP(A237,'3 - PLAN. ORÇAMENTÁRIA'!$A$17:$E$721,5,FALSE)</f>
        <v>KG</v>
      </c>
    </row>
    <row r="238" spans="1:8">
      <c r="B238" s="628" t="s">
        <v>593</v>
      </c>
      <c r="C238" s="628"/>
      <c r="D238" s="103" t="s">
        <v>579</v>
      </c>
      <c r="E238" s="103" t="s">
        <v>580</v>
      </c>
      <c r="F238" s="103" t="s">
        <v>581</v>
      </c>
      <c r="G238" s="103" t="s">
        <v>582</v>
      </c>
      <c r="H238" s="103" t="s">
        <v>583</v>
      </c>
    </row>
    <row r="239" spans="1:8">
      <c r="B239" s="130" t="s">
        <v>635</v>
      </c>
      <c r="C239" s="229" t="s">
        <v>636</v>
      </c>
      <c r="D239" s="130" t="s">
        <v>119</v>
      </c>
      <c r="E239" s="130" t="s">
        <v>200</v>
      </c>
      <c r="F239" s="230">
        <v>0.02</v>
      </c>
      <c r="G239" s="494">
        <v>19.38</v>
      </c>
      <c r="H239" s="494">
        <v>0.39</v>
      </c>
    </row>
    <row r="240" spans="1:8" ht="25.5">
      <c r="B240" s="130" t="s">
        <v>1373</v>
      </c>
      <c r="C240" s="229" t="s">
        <v>1374</v>
      </c>
      <c r="D240" s="130" t="s">
        <v>119</v>
      </c>
      <c r="E240" s="130" t="s">
        <v>144</v>
      </c>
      <c r="F240" s="230">
        <v>0.97</v>
      </c>
      <c r="G240" s="494">
        <v>0.22</v>
      </c>
      <c r="H240" s="494">
        <v>0.21</v>
      </c>
    </row>
    <row r="241" spans="1:8">
      <c r="B241" s="105"/>
      <c r="C241" s="105"/>
      <c r="D241" s="105"/>
      <c r="E241" s="105"/>
      <c r="F241" s="629" t="s">
        <v>604</v>
      </c>
      <c r="G241" s="629"/>
      <c r="H241" s="495">
        <v>0.6</v>
      </c>
    </row>
    <row r="242" spans="1:8" ht="12.75" customHeight="1">
      <c r="B242" s="628" t="s">
        <v>607</v>
      </c>
      <c r="C242" s="628"/>
      <c r="D242" s="103" t="s">
        <v>579</v>
      </c>
      <c r="E242" s="103" t="s">
        <v>580</v>
      </c>
      <c r="F242" s="103" t="s">
        <v>581</v>
      </c>
      <c r="G242" s="103" t="s">
        <v>582</v>
      </c>
      <c r="H242" s="103" t="s">
        <v>583</v>
      </c>
    </row>
    <row r="243" spans="1:8">
      <c r="B243" s="130" t="s">
        <v>1375</v>
      </c>
      <c r="C243" s="229" t="s">
        <v>637</v>
      </c>
      <c r="D243" s="130" t="s">
        <v>119</v>
      </c>
      <c r="E243" s="130" t="s">
        <v>121</v>
      </c>
      <c r="F243" s="230">
        <v>2.0799999999999999E-2</v>
      </c>
      <c r="G243" s="494">
        <v>24.57</v>
      </c>
      <c r="H243" s="494">
        <v>0.51</v>
      </c>
    </row>
    <row r="244" spans="1:8">
      <c r="B244" s="130" t="s">
        <v>1376</v>
      </c>
      <c r="C244" s="229" t="s">
        <v>638</v>
      </c>
      <c r="D244" s="130" t="s">
        <v>119</v>
      </c>
      <c r="E244" s="130" t="s">
        <v>121</v>
      </c>
      <c r="F244" s="230">
        <v>0.104</v>
      </c>
      <c r="G244" s="494">
        <v>31.13</v>
      </c>
      <c r="H244" s="494">
        <v>3.24</v>
      </c>
    </row>
    <row r="245" spans="1:8" ht="12.75" customHeight="1">
      <c r="B245" s="105"/>
      <c r="C245" s="105"/>
      <c r="D245" s="105"/>
      <c r="E245" s="105"/>
      <c r="F245" s="629" t="s">
        <v>610</v>
      </c>
      <c r="G245" s="629"/>
      <c r="H245" s="495">
        <v>3.75</v>
      </c>
    </row>
    <row r="246" spans="1:8">
      <c r="B246" s="628" t="s">
        <v>586</v>
      </c>
      <c r="C246" s="628"/>
      <c r="D246" s="103" t="s">
        <v>579</v>
      </c>
      <c r="E246" s="103" t="s">
        <v>580</v>
      </c>
      <c r="F246" s="103" t="s">
        <v>581</v>
      </c>
      <c r="G246" s="103" t="s">
        <v>582</v>
      </c>
      <c r="H246" s="103" t="s">
        <v>583</v>
      </c>
    </row>
    <row r="247" spans="1:8">
      <c r="B247" s="130" t="s">
        <v>1377</v>
      </c>
      <c r="C247" s="229" t="s">
        <v>1378</v>
      </c>
      <c r="D247" s="130" t="s">
        <v>119</v>
      </c>
      <c r="E247" s="130" t="s">
        <v>200</v>
      </c>
      <c r="F247" s="230">
        <v>1</v>
      </c>
      <c r="G247" s="494">
        <v>10.91</v>
      </c>
      <c r="H247" s="494">
        <v>10.91</v>
      </c>
    </row>
    <row r="248" spans="1:8">
      <c r="B248" s="105"/>
      <c r="C248" s="105"/>
      <c r="D248" s="105"/>
      <c r="E248" s="105"/>
      <c r="F248" s="629" t="s">
        <v>587</v>
      </c>
      <c r="G248" s="629"/>
      <c r="H248" s="495">
        <v>10.91</v>
      </c>
    </row>
    <row r="249" spans="1:8" ht="12.75" customHeight="1">
      <c r="B249" s="105"/>
      <c r="C249" s="105"/>
      <c r="D249" s="105"/>
      <c r="E249" s="105"/>
      <c r="F249" s="630" t="s">
        <v>464</v>
      </c>
      <c r="G249" s="630"/>
      <c r="H249" s="102">
        <v>15.24</v>
      </c>
    </row>
    <row r="250" spans="1:8">
      <c r="B250" s="105"/>
      <c r="C250" s="105"/>
      <c r="D250" s="105"/>
      <c r="E250" s="105"/>
      <c r="F250" s="634"/>
      <c r="G250" s="634"/>
      <c r="H250" s="634"/>
    </row>
    <row r="251" spans="1:8" s="220" customFormat="1" ht="27" customHeight="1">
      <c r="A251" s="178" t="str">
        <f>'3 - PLAN. ORÇAMENTÁRIA'!A64</f>
        <v>3.1.1.5</v>
      </c>
      <c r="B251" s="178">
        <f>VLOOKUP(A251,'3 - PLAN. ORÇAMENTÁRIA'!$A$16:$B$721,2,FALSE)</f>
        <v>95577</v>
      </c>
      <c r="C251" s="631" t="str">
        <f>VLOOKUP(A251,'3 - PLAN. ORÇAMENTÁRIA'!$A$16:$C$721,3,FALSE)</f>
        <v>MONTAGEM DE ARMADURA DE ESTACAS, DIÂMETRO = 10,0 MM. AF_09/2021_PS</v>
      </c>
      <c r="D251" s="632"/>
      <c r="E251" s="632"/>
      <c r="F251" s="632"/>
      <c r="G251" s="633"/>
      <c r="H251" s="493" t="str">
        <f>VLOOKUP(A251,'3 - PLAN. ORÇAMENTÁRIA'!$A$17:$E$721,5,FALSE)</f>
        <v>KG</v>
      </c>
    </row>
    <row r="252" spans="1:8">
      <c r="B252" s="628" t="s">
        <v>593</v>
      </c>
      <c r="C252" s="628"/>
      <c r="D252" s="103" t="s">
        <v>579</v>
      </c>
      <c r="E252" s="103" t="s">
        <v>580</v>
      </c>
      <c r="F252" s="103" t="s">
        <v>581</v>
      </c>
      <c r="G252" s="103" t="s">
        <v>582</v>
      </c>
      <c r="H252" s="103" t="s">
        <v>583</v>
      </c>
    </row>
    <row r="253" spans="1:8">
      <c r="B253" s="130" t="s">
        <v>635</v>
      </c>
      <c r="C253" s="229" t="s">
        <v>636</v>
      </c>
      <c r="D253" s="130" t="s">
        <v>119</v>
      </c>
      <c r="E253" s="130" t="s">
        <v>200</v>
      </c>
      <c r="F253" s="230">
        <v>0.02</v>
      </c>
      <c r="G253" s="494">
        <v>19.38</v>
      </c>
      <c r="H253" s="494">
        <v>0.39</v>
      </c>
    </row>
    <row r="254" spans="1:8" ht="25.5">
      <c r="B254" s="130" t="s">
        <v>1373</v>
      </c>
      <c r="C254" s="229" t="s">
        <v>1374</v>
      </c>
      <c r="D254" s="130" t="s">
        <v>119</v>
      </c>
      <c r="E254" s="130" t="s">
        <v>144</v>
      </c>
      <c r="F254" s="230">
        <v>0.54300000000000004</v>
      </c>
      <c r="G254" s="494">
        <v>0.22</v>
      </c>
      <c r="H254" s="494">
        <v>0.12</v>
      </c>
    </row>
    <row r="255" spans="1:8">
      <c r="B255" s="105"/>
      <c r="C255" s="105"/>
      <c r="D255" s="105"/>
      <c r="E255" s="105"/>
      <c r="F255" s="629" t="s">
        <v>604</v>
      </c>
      <c r="G255" s="629"/>
      <c r="H255" s="495">
        <v>0.51</v>
      </c>
    </row>
    <row r="256" spans="1:8" ht="12.75" customHeight="1">
      <c r="B256" s="628" t="s">
        <v>607</v>
      </c>
      <c r="C256" s="628"/>
      <c r="D256" s="103" t="s">
        <v>579</v>
      </c>
      <c r="E256" s="103" t="s">
        <v>580</v>
      </c>
      <c r="F256" s="103" t="s">
        <v>581</v>
      </c>
      <c r="G256" s="103" t="s">
        <v>582</v>
      </c>
      <c r="H256" s="103" t="s">
        <v>583</v>
      </c>
    </row>
    <row r="257" spans="1:8">
      <c r="B257" s="130" t="s">
        <v>1375</v>
      </c>
      <c r="C257" s="229" t="s">
        <v>637</v>
      </c>
      <c r="D257" s="130" t="s">
        <v>119</v>
      </c>
      <c r="E257" s="130" t="s">
        <v>121</v>
      </c>
      <c r="F257" s="230">
        <v>6.1000000000000004E-3</v>
      </c>
      <c r="G257" s="494">
        <v>24.57</v>
      </c>
      <c r="H257" s="494">
        <v>0.15</v>
      </c>
    </row>
    <row r="258" spans="1:8">
      <c r="B258" s="130" t="s">
        <v>1376</v>
      </c>
      <c r="C258" s="229" t="s">
        <v>638</v>
      </c>
      <c r="D258" s="130" t="s">
        <v>119</v>
      </c>
      <c r="E258" s="130" t="s">
        <v>121</v>
      </c>
      <c r="F258" s="230">
        <v>3.0599999999999999E-2</v>
      </c>
      <c r="G258" s="494">
        <v>31.13</v>
      </c>
      <c r="H258" s="494">
        <v>0.95</v>
      </c>
    </row>
    <row r="259" spans="1:8" ht="12.75" customHeight="1">
      <c r="B259" s="105"/>
      <c r="C259" s="105"/>
      <c r="D259" s="105"/>
      <c r="E259" s="105"/>
      <c r="F259" s="629" t="s">
        <v>610</v>
      </c>
      <c r="G259" s="629"/>
      <c r="H259" s="495">
        <v>1.1000000000000001</v>
      </c>
    </row>
    <row r="260" spans="1:8">
      <c r="B260" s="628" t="s">
        <v>586</v>
      </c>
      <c r="C260" s="628"/>
      <c r="D260" s="103" t="s">
        <v>579</v>
      </c>
      <c r="E260" s="103" t="s">
        <v>580</v>
      </c>
      <c r="F260" s="103" t="s">
        <v>581</v>
      </c>
      <c r="G260" s="103" t="s">
        <v>582</v>
      </c>
      <c r="H260" s="103" t="s">
        <v>583</v>
      </c>
    </row>
    <row r="261" spans="1:8">
      <c r="B261" s="130" t="s">
        <v>1418</v>
      </c>
      <c r="C261" s="229" t="s">
        <v>1419</v>
      </c>
      <c r="D261" s="130" t="s">
        <v>119</v>
      </c>
      <c r="E261" s="130" t="s">
        <v>200</v>
      </c>
      <c r="F261" s="230">
        <v>1</v>
      </c>
      <c r="G261" s="494">
        <v>9.9600000000000009</v>
      </c>
      <c r="H261" s="494">
        <v>9.9600000000000009</v>
      </c>
    </row>
    <row r="262" spans="1:8">
      <c r="B262" s="105"/>
      <c r="C262" s="105"/>
      <c r="D262" s="105"/>
      <c r="E262" s="105"/>
      <c r="F262" s="629" t="s">
        <v>587</v>
      </c>
      <c r="G262" s="629"/>
      <c r="H262" s="495">
        <v>9.9600000000000009</v>
      </c>
    </row>
    <row r="263" spans="1:8" ht="12.75" customHeight="1">
      <c r="B263" s="105"/>
      <c r="C263" s="105"/>
      <c r="D263" s="105"/>
      <c r="E263" s="105"/>
      <c r="F263" s="630" t="s">
        <v>464</v>
      </c>
      <c r="G263" s="630"/>
      <c r="H263" s="102">
        <v>11.54</v>
      </c>
    </row>
    <row r="264" spans="1:8">
      <c r="B264" s="105"/>
      <c r="C264" s="105"/>
      <c r="D264" s="105"/>
      <c r="E264" s="105"/>
      <c r="F264" s="634"/>
      <c r="G264" s="634"/>
      <c r="H264" s="634"/>
    </row>
    <row r="265" spans="1:8" s="220" customFormat="1" ht="27" customHeight="1">
      <c r="A265" s="178" t="str">
        <f>'3 - PLAN. ORÇAMENTÁRIA'!A65</f>
        <v>3.1.1.6</v>
      </c>
      <c r="B265" s="178">
        <f>VLOOKUP(A265,'3 - PLAN. ORÇAMENTÁRIA'!$A$16:$B$721,2,FALSE)</f>
        <v>95578</v>
      </c>
      <c r="C265" s="631" t="str">
        <f>VLOOKUP(A265,'3 - PLAN. ORÇAMENTÁRIA'!$A$16:$C$721,3,FALSE)</f>
        <v>MONTAGEM DE ARMADURA DE ESTACAS, DIÂMETRO = 12,5 MM. AF_09/2021_PS</v>
      </c>
      <c r="D265" s="632"/>
      <c r="E265" s="632"/>
      <c r="F265" s="632"/>
      <c r="G265" s="633"/>
      <c r="H265" s="493" t="str">
        <f>VLOOKUP(A265,'3 - PLAN. ORÇAMENTÁRIA'!$A$17:$E$721,5,FALSE)</f>
        <v>KG</v>
      </c>
    </row>
    <row r="266" spans="1:8">
      <c r="B266" s="628" t="s">
        <v>593</v>
      </c>
      <c r="C266" s="628"/>
      <c r="D266" s="103" t="s">
        <v>579</v>
      </c>
      <c r="E266" s="103" t="s">
        <v>580</v>
      </c>
      <c r="F266" s="103" t="s">
        <v>581</v>
      </c>
      <c r="G266" s="103" t="s">
        <v>582</v>
      </c>
      <c r="H266" s="103" t="s">
        <v>583</v>
      </c>
    </row>
    <row r="267" spans="1:8">
      <c r="B267" s="130" t="s">
        <v>635</v>
      </c>
      <c r="C267" s="229" t="s">
        <v>636</v>
      </c>
      <c r="D267" s="130" t="s">
        <v>119</v>
      </c>
      <c r="E267" s="130" t="s">
        <v>200</v>
      </c>
      <c r="F267" s="230">
        <v>0.02</v>
      </c>
      <c r="G267" s="494">
        <v>19.38</v>
      </c>
      <c r="H267" s="494">
        <v>0.39</v>
      </c>
    </row>
    <row r="268" spans="1:8" ht="25.5">
      <c r="B268" s="130" t="s">
        <v>1373</v>
      </c>
      <c r="C268" s="229" t="s">
        <v>1374</v>
      </c>
      <c r="D268" s="130" t="s">
        <v>119</v>
      </c>
      <c r="E268" s="130" t="s">
        <v>144</v>
      </c>
      <c r="F268" s="230">
        <v>0.36699999999999999</v>
      </c>
      <c r="G268" s="494">
        <v>0.22</v>
      </c>
      <c r="H268" s="494">
        <v>0.08</v>
      </c>
    </row>
    <row r="269" spans="1:8">
      <c r="B269" s="105"/>
      <c r="C269" s="105"/>
      <c r="D269" s="105"/>
      <c r="E269" s="105"/>
      <c r="F269" s="629" t="s">
        <v>604</v>
      </c>
      <c r="G269" s="629"/>
      <c r="H269" s="495">
        <v>0.47</v>
      </c>
    </row>
    <row r="270" spans="1:8" ht="12.75" customHeight="1">
      <c r="B270" s="628" t="s">
        <v>607</v>
      </c>
      <c r="C270" s="628"/>
      <c r="D270" s="103" t="s">
        <v>579</v>
      </c>
      <c r="E270" s="103" t="s">
        <v>580</v>
      </c>
      <c r="F270" s="103" t="s">
        <v>581</v>
      </c>
      <c r="G270" s="103" t="s">
        <v>582</v>
      </c>
      <c r="H270" s="103" t="s">
        <v>583</v>
      </c>
    </row>
    <row r="271" spans="1:8">
      <c r="B271" s="130" t="s">
        <v>1375</v>
      </c>
      <c r="C271" s="229" t="s">
        <v>637</v>
      </c>
      <c r="D271" s="130" t="s">
        <v>119</v>
      </c>
      <c r="E271" s="130" t="s">
        <v>121</v>
      </c>
      <c r="F271" s="230">
        <v>3.3E-3</v>
      </c>
      <c r="G271" s="494">
        <v>24.57</v>
      </c>
      <c r="H271" s="494">
        <v>0.08</v>
      </c>
    </row>
    <row r="272" spans="1:8">
      <c r="B272" s="130" t="s">
        <v>1376</v>
      </c>
      <c r="C272" s="229" t="s">
        <v>638</v>
      </c>
      <c r="D272" s="130" t="s">
        <v>119</v>
      </c>
      <c r="E272" s="130" t="s">
        <v>121</v>
      </c>
      <c r="F272" s="230">
        <v>1.67E-2</v>
      </c>
      <c r="G272" s="494">
        <v>31.13</v>
      </c>
      <c r="H272" s="494">
        <v>0.52</v>
      </c>
    </row>
    <row r="273" spans="1:8" ht="12.75" customHeight="1">
      <c r="B273" s="105"/>
      <c r="C273" s="105"/>
      <c r="D273" s="105"/>
      <c r="E273" s="105"/>
      <c r="F273" s="629" t="s">
        <v>610</v>
      </c>
      <c r="G273" s="629"/>
      <c r="H273" s="495">
        <v>0.6</v>
      </c>
    </row>
    <row r="274" spans="1:8">
      <c r="B274" s="628" t="s">
        <v>586</v>
      </c>
      <c r="C274" s="628"/>
      <c r="D274" s="103" t="s">
        <v>579</v>
      </c>
      <c r="E274" s="103" t="s">
        <v>580</v>
      </c>
      <c r="F274" s="103" t="s">
        <v>581</v>
      </c>
      <c r="G274" s="103" t="s">
        <v>582</v>
      </c>
      <c r="H274" s="103" t="s">
        <v>583</v>
      </c>
    </row>
    <row r="275" spans="1:8">
      <c r="B275" s="130" t="s">
        <v>1379</v>
      </c>
      <c r="C275" s="229" t="s">
        <v>1380</v>
      </c>
      <c r="D275" s="130" t="s">
        <v>119</v>
      </c>
      <c r="E275" s="130" t="s">
        <v>200</v>
      </c>
      <c r="F275" s="230">
        <v>1</v>
      </c>
      <c r="G275" s="494">
        <v>8.5299999999999994</v>
      </c>
      <c r="H275" s="494">
        <v>8.5299999999999994</v>
      </c>
    </row>
    <row r="276" spans="1:8">
      <c r="B276" s="105"/>
      <c r="C276" s="105"/>
      <c r="D276" s="105"/>
      <c r="E276" s="105"/>
      <c r="F276" s="629" t="s">
        <v>587</v>
      </c>
      <c r="G276" s="629"/>
      <c r="H276" s="495">
        <v>8.5299999999999994</v>
      </c>
    </row>
    <row r="277" spans="1:8" ht="12.75" customHeight="1">
      <c r="B277" s="105"/>
      <c r="C277" s="105"/>
      <c r="D277" s="105"/>
      <c r="E277" s="105"/>
      <c r="F277" s="630" t="s">
        <v>464</v>
      </c>
      <c r="G277" s="630"/>
      <c r="H277" s="102">
        <v>9.58</v>
      </c>
    </row>
    <row r="278" spans="1:8">
      <c r="B278" s="105"/>
      <c r="C278" s="105"/>
      <c r="D278" s="105"/>
      <c r="E278" s="105"/>
      <c r="F278" s="634"/>
      <c r="G278" s="634"/>
      <c r="H278" s="634"/>
    </row>
    <row r="279" spans="1:8" s="220" customFormat="1" ht="27" customHeight="1">
      <c r="A279" s="178" t="str">
        <f>'3 - PLAN. ORÇAMENTÁRIA'!A66</f>
        <v>3.1.1.7</v>
      </c>
      <c r="B279" s="178">
        <f>VLOOKUP(A279,'3 - PLAN. ORÇAMENTÁRIA'!$A$16:$B$721,2,FALSE)</f>
        <v>95601</v>
      </c>
      <c r="C279" s="631" t="str">
        <f>VLOOKUP(A279,'3 - PLAN. ORÇAMENTÁRIA'!$A$16:$C$721,3,FALSE)</f>
        <v>ARRASAMENTO MECANICO DE ESTACA DE CONCRETO ARMADO, DIAMETROS DE ATÉ 40 CM. AF_05/2021</v>
      </c>
      <c r="D279" s="632"/>
      <c r="E279" s="632"/>
      <c r="F279" s="632"/>
      <c r="G279" s="633"/>
      <c r="H279" s="493" t="str">
        <f>VLOOKUP(A279,'3 - PLAN. ORÇAMENTÁRIA'!$A$17:$E$721,5,FALSE)</f>
        <v>UN</v>
      </c>
    </row>
    <row r="280" spans="1:8" ht="12.75" customHeight="1">
      <c r="B280" s="628" t="s">
        <v>1301</v>
      </c>
      <c r="C280" s="628"/>
      <c r="D280" s="103" t="s">
        <v>579</v>
      </c>
      <c r="E280" s="103" t="s">
        <v>580</v>
      </c>
      <c r="F280" s="103" t="s">
        <v>581</v>
      </c>
      <c r="G280" s="103" t="s">
        <v>582</v>
      </c>
      <c r="H280" s="103" t="s">
        <v>583</v>
      </c>
    </row>
    <row r="281" spans="1:8" ht="25.5">
      <c r="B281" s="130" t="s">
        <v>1381</v>
      </c>
      <c r="C281" s="229" t="s">
        <v>1382</v>
      </c>
      <c r="D281" s="130" t="s">
        <v>119</v>
      </c>
      <c r="E281" s="130" t="s">
        <v>1304</v>
      </c>
      <c r="F281" s="230">
        <v>0.20030000000000001</v>
      </c>
      <c r="G281" s="494">
        <v>26.85</v>
      </c>
      <c r="H281" s="494">
        <v>5.38</v>
      </c>
    </row>
    <row r="282" spans="1:8" ht="25.5">
      <c r="B282" s="130" t="s">
        <v>1383</v>
      </c>
      <c r="C282" s="229" t="s">
        <v>1384</v>
      </c>
      <c r="D282" s="130" t="s">
        <v>119</v>
      </c>
      <c r="E282" s="130" t="s">
        <v>1307</v>
      </c>
      <c r="F282" s="230">
        <v>0.16270000000000001</v>
      </c>
      <c r="G282" s="494">
        <v>28.94</v>
      </c>
      <c r="H282" s="494">
        <v>4.71</v>
      </c>
    </row>
    <row r="283" spans="1:8" ht="12.75" customHeight="1">
      <c r="B283" s="105"/>
      <c r="C283" s="105"/>
      <c r="D283" s="105"/>
      <c r="E283" s="105"/>
      <c r="F283" s="629" t="s">
        <v>1308</v>
      </c>
      <c r="G283" s="629"/>
      <c r="H283" s="495">
        <v>10.09</v>
      </c>
    </row>
    <row r="284" spans="1:8" ht="12.75" customHeight="1">
      <c r="B284" s="628" t="s">
        <v>607</v>
      </c>
      <c r="C284" s="628"/>
      <c r="D284" s="103" t="s">
        <v>579</v>
      </c>
      <c r="E284" s="103" t="s">
        <v>580</v>
      </c>
      <c r="F284" s="103" t="s">
        <v>581</v>
      </c>
      <c r="G284" s="103" t="s">
        <v>582</v>
      </c>
      <c r="H284" s="103" t="s">
        <v>583</v>
      </c>
    </row>
    <row r="285" spans="1:8">
      <c r="B285" s="130" t="s">
        <v>625</v>
      </c>
      <c r="C285" s="229" t="s">
        <v>626</v>
      </c>
      <c r="D285" s="130" t="s">
        <v>119</v>
      </c>
      <c r="E285" s="130" t="s">
        <v>121</v>
      </c>
      <c r="F285" s="230">
        <v>0.36299999999999999</v>
      </c>
      <c r="G285" s="494">
        <v>23.75</v>
      </c>
      <c r="H285" s="494">
        <v>8.6199999999999992</v>
      </c>
    </row>
    <row r="286" spans="1:8" ht="12.75" customHeight="1">
      <c r="B286" s="105"/>
      <c r="C286" s="105"/>
      <c r="D286" s="105"/>
      <c r="E286" s="105"/>
      <c r="F286" s="629" t="s">
        <v>610</v>
      </c>
      <c r="G286" s="629"/>
      <c r="H286" s="495">
        <v>8.6199999999999992</v>
      </c>
    </row>
    <row r="287" spans="1:8" ht="12.75" customHeight="1">
      <c r="B287" s="105"/>
      <c r="C287" s="105"/>
      <c r="D287" s="105"/>
      <c r="E287" s="105"/>
      <c r="F287" s="630" t="s">
        <v>464</v>
      </c>
      <c r="G287" s="630"/>
      <c r="H287" s="102">
        <v>18.690000000000001</v>
      </c>
    </row>
    <row r="288" spans="1:8">
      <c r="B288" s="105"/>
      <c r="C288" s="105"/>
      <c r="D288" s="105"/>
      <c r="E288" s="105"/>
      <c r="F288" s="634"/>
      <c r="G288" s="634"/>
      <c r="H288" s="634"/>
    </row>
    <row r="289" spans="1:8" s="220" customFormat="1" ht="27" customHeight="1">
      <c r="A289" s="178" t="str">
        <f>'3 - PLAN. ORÇAMENTÁRIA'!A68</f>
        <v>3.1.2.1</v>
      </c>
      <c r="B289" s="242">
        <f>VLOOKUP(A289,'3 - PLAN. ORÇAMENTÁRIA'!$A$16:$B$721,2,FALSE)</f>
        <v>96523</v>
      </c>
      <c r="C289" s="631" t="str">
        <f>VLOOKUP(A289,'3 - PLAN. ORÇAMENTÁRIA'!$A$16:$C$721,3,FALSE)</f>
        <v>ESCAVAÇÃO MANUAL PARA BLOCO DE COROAMENTO OU SAPATA (INCLUINDO ESCAVAÇÃO PARA COLOCAÇÃO DE FÔRMAS). AF_01/2024</v>
      </c>
      <c r="D289" s="632"/>
      <c r="E289" s="632"/>
      <c r="F289" s="632"/>
      <c r="G289" s="633"/>
      <c r="H289" s="131" t="str">
        <f>VLOOKUP(A289,'3 - PLAN. ORÇAMENTÁRIA'!$A$17:$E$721,5,FALSE)</f>
        <v>M3</v>
      </c>
    </row>
    <row r="290" spans="1:8" ht="12.75" customHeight="1">
      <c r="B290" s="628" t="s">
        <v>607</v>
      </c>
      <c r="C290" s="628"/>
      <c r="D290" s="103" t="s">
        <v>579</v>
      </c>
      <c r="E290" s="103" t="s">
        <v>580</v>
      </c>
      <c r="F290" s="103" t="s">
        <v>581</v>
      </c>
      <c r="G290" s="103" t="s">
        <v>582</v>
      </c>
      <c r="H290" s="103" t="s">
        <v>583</v>
      </c>
    </row>
    <row r="291" spans="1:8">
      <c r="B291" s="130" t="s">
        <v>639</v>
      </c>
      <c r="C291" s="229" t="s">
        <v>640</v>
      </c>
      <c r="D291" s="130" t="s">
        <v>119</v>
      </c>
      <c r="E291" s="130" t="s">
        <v>121</v>
      </c>
      <c r="F291" s="230">
        <v>0.96599999999999997</v>
      </c>
      <c r="G291" s="494">
        <v>31.34</v>
      </c>
      <c r="H291" s="494">
        <v>30.27</v>
      </c>
    </row>
    <row r="292" spans="1:8">
      <c r="B292" s="130" t="s">
        <v>625</v>
      </c>
      <c r="C292" s="229" t="s">
        <v>626</v>
      </c>
      <c r="D292" s="130" t="s">
        <v>119</v>
      </c>
      <c r="E292" s="130" t="s">
        <v>121</v>
      </c>
      <c r="F292" s="230">
        <v>3.1259999999999999</v>
      </c>
      <c r="G292" s="494">
        <v>23.75</v>
      </c>
      <c r="H292" s="494">
        <v>74.239999999999995</v>
      </c>
    </row>
    <row r="293" spans="1:8" ht="12.75" customHeight="1">
      <c r="B293" s="105"/>
      <c r="C293" s="105"/>
      <c r="D293" s="105"/>
      <c r="E293" s="105"/>
      <c r="F293" s="629" t="s">
        <v>610</v>
      </c>
      <c r="G293" s="629"/>
      <c r="H293" s="495">
        <v>104.51</v>
      </c>
    </row>
    <row r="294" spans="1:8" ht="12.75" customHeight="1">
      <c r="B294" s="105"/>
      <c r="C294" s="105"/>
      <c r="D294" s="105"/>
      <c r="E294" s="105"/>
      <c r="F294" s="630" t="s">
        <v>464</v>
      </c>
      <c r="G294" s="630"/>
      <c r="H294" s="102">
        <v>104.51</v>
      </c>
    </row>
    <row r="295" spans="1:8">
      <c r="B295" s="105"/>
      <c r="C295" s="105"/>
      <c r="D295" s="105"/>
      <c r="E295" s="105"/>
      <c r="F295" s="634"/>
      <c r="G295" s="634"/>
      <c r="H295" s="634"/>
    </row>
    <row r="296" spans="1:8" s="220" customFormat="1" ht="27" customHeight="1">
      <c r="A296" s="178" t="str">
        <f>'3 - PLAN. ORÇAMENTÁRIA'!A69</f>
        <v>3.1.2.2</v>
      </c>
      <c r="B296" s="242">
        <f>VLOOKUP(A296,'3 - PLAN. ORÇAMENTÁRIA'!$A$16:$B$721,2,FALSE)</f>
        <v>101616</v>
      </c>
      <c r="C296" s="631" t="str">
        <f>VLOOKUP(A296,'3 - PLAN. ORÇAMENTÁRIA'!$A$16:$C$721,3,FALSE)</f>
        <v>PREPARO DE FUNDO DE VALA COM LARGURA MENOR QUE 1,5 M (ACERTO DO SOLO NATURAL). AF_08/2020</v>
      </c>
      <c r="D296" s="632"/>
      <c r="E296" s="632"/>
      <c r="F296" s="632"/>
      <c r="G296" s="633"/>
      <c r="H296" s="493" t="str">
        <f>VLOOKUP(A296,'3 - PLAN. ORÇAMENTÁRIA'!$A$17:$E$721,5,FALSE)</f>
        <v>M2</v>
      </c>
    </row>
    <row r="297" spans="1:8" ht="12.75" customHeight="1">
      <c r="B297" s="628" t="s">
        <v>1301</v>
      </c>
      <c r="C297" s="628"/>
      <c r="D297" s="103" t="s">
        <v>579</v>
      </c>
      <c r="E297" s="103" t="s">
        <v>580</v>
      </c>
      <c r="F297" s="103" t="s">
        <v>581</v>
      </c>
      <c r="G297" s="103" t="s">
        <v>582</v>
      </c>
      <c r="H297" s="103" t="s">
        <v>583</v>
      </c>
    </row>
    <row r="298" spans="1:8" ht="25.5">
      <c r="B298" s="130" t="s">
        <v>1385</v>
      </c>
      <c r="C298" s="229" t="s">
        <v>1386</v>
      </c>
      <c r="D298" s="130" t="s">
        <v>119</v>
      </c>
      <c r="E298" s="130" t="s">
        <v>1304</v>
      </c>
      <c r="F298" s="230">
        <v>3.5999999999999999E-3</v>
      </c>
      <c r="G298" s="494">
        <v>27.12</v>
      </c>
      <c r="H298" s="494">
        <v>0.1</v>
      </c>
    </row>
    <row r="299" spans="1:8" ht="25.5">
      <c r="B299" s="130" t="s">
        <v>1387</v>
      </c>
      <c r="C299" s="229" t="s">
        <v>1388</v>
      </c>
      <c r="D299" s="130" t="s">
        <v>119</v>
      </c>
      <c r="E299" s="130" t="s">
        <v>1307</v>
      </c>
      <c r="F299" s="230">
        <v>3.5999999999999999E-3</v>
      </c>
      <c r="G299" s="494">
        <v>34.299999999999997</v>
      </c>
      <c r="H299" s="494">
        <v>0.12</v>
      </c>
    </row>
    <row r="300" spans="1:8" ht="12.75" customHeight="1">
      <c r="B300" s="105"/>
      <c r="C300" s="105"/>
      <c r="D300" s="105"/>
      <c r="E300" s="105"/>
      <c r="F300" s="629" t="s">
        <v>1308</v>
      </c>
      <c r="G300" s="629"/>
      <c r="H300" s="495">
        <v>0.22</v>
      </c>
    </row>
    <row r="301" spans="1:8" ht="12.75" customHeight="1">
      <c r="B301" s="628" t="s">
        <v>607</v>
      </c>
      <c r="C301" s="628"/>
      <c r="D301" s="103" t="s">
        <v>579</v>
      </c>
      <c r="E301" s="103" t="s">
        <v>580</v>
      </c>
      <c r="F301" s="103" t="s">
        <v>581</v>
      </c>
      <c r="G301" s="103" t="s">
        <v>582</v>
      </c>
      <c r="H301" s="103" t="s">
        <v>583</v>
      </c>
    </row>
    <row r="302" spans="1:8">
      <c r="B302" s="130" t="s">
        <v>639</v>
      </c>
      <c r="C302" s="229" t="s">
        <v>640</v>
      </c>
      <c r="D302" s="130" t="s">
        <v>119</v>
      </c>
      <c r="E302" s="130" t="s">
        <v>121</v>
      </c>
      <c r="F302" s="230">
        <v>0.10199999999999999</v>
      </c>
      <c r="G302" s="494">
        <v>31.34</v>
      </c>
      <c r="H302" s="494">
        <v>3.2</v>
      </c>
    </row>
    <row r="303" spans="1:8">
      <c r="B303" s="130" t="s">
        <v>625</v>
      </c>
      <c r="C303" s="229" t="s">
        <v>626</v>
      </c>
      <c r="D303" s="130" t="s">
        <v>119</v>
      </c>
      <c r="E303" s="130" t="s">
        <v>121</v>
      </c>
      <c r="F303" s="230">
        <v>0.15310000000000001</v>
      </c>
      <c r="G303" s="494">
        <v>23.75</v>
      </c>
      <c r="H303" s="494">
        <v>3.64</v>
      </c>
    </row>
    <row r="304" spans="1:8" ht="12.75" customHeight="1">
      <c r="B304" s="105"/>
      <c r="C304" s="105"/>
      <c r="D304" s="105"/>
      <c r="E304" s="105"/>
      <c r="F304" s="629" t="s">
        <v>610</v>
      </c>
      <c r="G304" s="629"/>
      <c r="H304" s="495">
        <v>6.84</v>
      </c>
    </row>
    <row r="305" spans="1:8" ht="12.75" customHeight="1">
      <c r="B305" s="105"/>
      <c r="C305" s="105"/>
      <c r="D305" s="105"/>
      <c r="E305" s="105"/>
      <c r="F305" s="630" t="s">
        <v>464</v>
      </c>
      <c r="G305" s="630"/>
      <c r="H305" s="102">
        <v>7.03</v>
      </c>
    </row>
    <row r="306" spans="1:8">
      <c r="B306" s="105"/>
      <c r="C306" s="105"/>
      <c r="D306" s="105"/>
      <c r="E306" s="105"/>
      <c r="F306" s="634"/>
      <c r="G306" s="634"/>
      <c r="H306" s="634"/>
    </row>
    <row r="307" spans="1:8" s="220" customFormat="1" ht="27" customHeight="1">
      <c r="A307" s="178" t="str">
        <f>'3 - PLAN. ORÇAMENTÁRIA'!A70</f>
        <v>3.1.2.3</v>
      </c>
      <c r="B307" s="242">
        <f>VLOOKUP(A307,'3 - PLAN. ORÇAMENTÁRIA'!$A$16:$B$721,2,FALSE)</f>
        <v>96616</v>
      </c>
      <c r="C307" s="631" t="str">
        <f>VLOOKUP(A307,'3 - PLAN. ORÇAMENTÁRIA'!$A$16:$C$721,3,FALSE)</f>
        <v>LASTRO DE CONCRETO MAGRO, APLICADO EM BLOCOS DE COROAMENTO OU SAPATAS. AF_01/2024</v>
      </c>
      <c r="D307" s="632"/>
      <c r="E307" s="632"/>
      <c r="F307" s="632"/>
      <c r="G307" s="633"/>
      <c r="H307" s="493" t="str">
        <f>VLOOKUP(A307,'3 - PLAN. ORÇAMENTÁRIA'!$A$17:$E$721,5,FALSE)</f>
        <v>M3</v>
      </c>
    </row>
    <row r="308" spans="1:8" ht="12.75" customHeight="1">
      <c r="B308" s="628" t="s">
        <v>607</v>
      </c>
      <c r="C308" s="628"/>
      <c r="D308" s="103" t="s">
        <v>579</v>
      </c>
      <c r="E308" s="103" t="s">
        <v>580</v>
      </c>
      <c r="F308" s="103" t="s">
        <v>581</v>
      </c>
      <c r="G308" s="103" t="s">
        <v>582</v>
      </c>
      <c r="H308" s="103" t="s">
        <v>583</v>
      </c>
    </row>
    <row r="309" spans="1:8">
      <c r="B309" s="130" t="s">
        <v>639</v>
      </c>
      <c r="C309" s="229" t="s">
        <v>640</v>
      </c>
      <c r="D309" s="130" t="s">
        <v>119</v>
      </c>
      <c r="E309" s="130" t="s">
        <v>121</v>
      </c>
      <c r="F309" s="230">
        <v>6.7809999999999997</v>
      </c>
      <c r="G309" s="494">
        <v>31.34</v>
      </c>
      <c r="H309" s="494">
        <v>212.52</v>
      </c>
    </row>
    <row r="310" spans="1:8">
      <c r="B310" s="130" t="s">
        <v>625</v>
      </c>
      <c r="C310" s="229" t="s">
        <v>626</v>
      </c>
      <c r="D310" s="130" t="s">
        <v>119</v>
      </c>
      <c r="E310" s="130" t="s">
        <v>121</v>
      </c>
      <c r="F310" s="230">
        <v>2.4529999999999998</v>
      </c>
      <c r="G310" s="494">
        <v>23.75</v>
      </c>
      <c r="H310" s="494">
        <v>58.26</v>
      </c>
    </row>
    <row r="311" spans="1:8" ht="12.75" customHeight="1">
      <c r="B311" s="105"/>
      <c r="C311" s="105"/>
      <c r="D311" s="105"/>
      <c r="E311" s="105"/>
      <c r="F311" s="629" t="s">
        <v>610</v>
      </c>
      <c r="G311" s="629"/>
      <c r="H311" s="495">
        <v>270.77999999999997</v>
      </c>
    </row>
    <row r="312" spans="1:8">
      <c r="B312" s="628" t="s">
        <v>586</v>
      </c>
      <c r="C312" s="628"/>
      <c r="D312" s="103" t="s">
        <v>579</v>
      </c>
      <c r="E312" s="103" t="s">
        <v>580</v>
      </c>
      <c r="F312" s="103" t="s">
        <v>581</v>
      </c>
      <c r="G312" s="103" t="s">
        <v>582</v>
      </c>
      <c r="H312" s="103" t="s">
        <v>583</v>
      </c>
    </row>
    <row r="313" spans="1:8" ht="25.5">
      <c r="B313" s="130" t="s">
        <v>1389</v>
      </c>
      <c r="C313" s="229" t="s">
        <v>1390</v>
      </c>
      <c r="D313" s="130" t="s">
        <v>119</v>
      </c>
      <c r="E313" s="130" t="s">
        <v>167</v>
      </c>
      <c r="F313" s="230">
        <v>1.38</v>
      </c>
      <c r="G313" s="494">
        <v>427.93</v>
      </c>
      <c r="H313" s="494">
        <v>590.54</v>
      </c>
    </row>
    <row r="314" spans="1:8">
      <c r="B314" s="105"/>
      <c r="C314" s="105"/>
      <c r="D314" s="105"/>
      <c r="E314" s="105"/>
      <c r="F314" s="629" t="s">
        <v>587</v>
      </c>
      <c r="G314" s="629"/>
      <c r="H314" s="495">
        <v>590.54</v>
      </c>
    </row>
    <row r="315" spans="1:8" ht="12.75" customHeight="1">
      <c r="B315" s="105"/>
      <c r="C315" s="105"/>
      <c r="D315" s="105"/>
      <c r="E315" s="105"/>
      <c r="F315" s="630" t="s">
        <v>464</v>
      </c>
      <c r="G315" s="630"/>
      <c r="H315" s="102">
        <v>861.32</v>
      </c>
    </row>
    <row r="316" spans="1:8">
      <c r="B316" s="105"/>
      <c r="C316" s="105"/>
      <c r="D316" s="105"/>
      <c r="E316" s="105"/>
      <c r="F316" s="634"/>
      <c r="G316" s="634"/>
      <c r="H316" s="634"/>
    </row>
    <row r="317" spans="1:8" s="220" customFormat="1" ht="27" customHeight="1">
      <c r="A317" s="178" t="str">
        <f>'3 - PLAN. ORÇAMENTÁRIA'!A71</f>
        <v>3.1.2.4</v>
      </c>
      <c r="B317" s="242">
        <f>VLOOKUP(A317,'3 - PLAN. ORÇAMENTÁRIA'!$A$16:$B$721,2,FALSE)</f>
        <v>95640</v>
      </c>
      <c r="C317" s="631" t="str">
        <f>VLOOKUP(A317,'3 - PLAN. ORÇAMENTÁRIA'!$A$16:$C$721,3,FALSE)</f>
        <v>FABRICAÇÃO, MONTAGEM E DESMONTAGEM DE FÔRMA PARA BLOCO DE COROAMENTO, EM CHAPA DE MADEIRA COMPENSADA RESINADA, E=17 MM, 4 UTILIZAÇÕES. AF_01/2024</v>
      </c>
      <c r="D317" s="632"/>
      <c r="E317" s="632"/>
      <c r="F317" s="632"/>
      <c r="G317" s="633"/>
      <c r="H317" s="493" t="str">
        <f>VLOOKUP(A317,'3 - PLAN. ORÇAMENTÁRIA'!$A$17:$E$721,5,FALSE)</f>
        <v>M2</v>
      </c>
    </row>
    <row r="318" spans="1:8" ht="12.75" customHeight="1">
      <c r="B318" s="628" t="s">
        <v>1301</v>
      </c>
      <c r="C318" s="628"/>
      <c r="D318" s="103" t="s">
        <v>579</v>
      </c>
      <c r="E318" s="103" t="s">
        <v>580</v>
      </c>
      <c r="F318" s="103" t="s">
        <v>581</v>
      </c>
      <c r="G318" s="103" t="s">
        <v>582</v>
      </c>
      <c r="H318" s="103" t="s">
        <v>583</v>
      </c>
    </row>
    <row r="319" spans="1:8" ht="25.5">
      <c r="B319" s="130" t="s">
        <v>1302</v>
      </c>
      <c r="C319" s="229" t="s">
        <v>1303</v>
      </c>
      <c r="D319" s="130" t="s">
        <v>119</v>
      </c>
      <c r="E319" s="130" t="s">
        <v>1304</v>
      </c>
      <c r="F319" s="230">
        <v>9.8000000000000004E-2</v>
      </c>
      <c r="G319" s="494">
        <v>26.18</v>
      </c>
      <c r="H319" s="494">
        <v>2.57</v>
      </c>
    </row>
    <row r="320" spans="1:8" ht="25.5">
      <c r="B320" s="130" t="s">
        <v>1305</v>
      </c>
      <c r="C320" s="229" t="s">
        <v>1306</v>
      </c>
      <c r="D320" s="130" t="s">
        <v>119</v>
      </c>
      <c r="E320" s="130" t="s">
        <v>1307</v>
      </c>
      <c r="F320" s="230">
        <v>2.4E-2</v>
      </c>
      <c r="G320" s="494">
        <v>27.22</v>
      </c>
      <c r="H320" s="494">
        <v>0.65</v>
      </c>
    </row>
    <row r="321" spans="2:8" ht="12.75" customHeight="1">
      <c r="B321" s="105"/>
      <c r="C321" s="105"/>
      <c r="D321" s="105"/>
      <c r="E321" s="105"/>
      <c r="F321" s="629" t="s">
        <v>1308</v>
      </c>
      <c r="G321" s="629"/>
      <c r="H321" s="495">
        <v>3.22</v>
      </c>
    </row>
    <row r="322" spans="2:8">
      <c r="B322" s="628" t="s">
        <v>593</v>
      </c>
      <c r="C322" s="628"/>
      <c r="D322" s="103" t="s">
        <v>579</v>
      </c>
      <c r="E322" s="103" t="s">
        <v>580</v>
      </c>
      <c r="F322" s="103" t="s">
        <v>581</v>
      </c>
      <c r="G322" s="103" t="s">
        <v>582</v>
      </c>
      <c r="H322" s="103" t="s">
        <v>583</v>
      </c>
    </row>
    <row r="323" spans="2:8" ht="25.5">
      <c r="B323" s="130" t="s">
        <v>641</v>
      </c>
      <c r="C323" s="229" t="s">
        <v>642</v>
      </c>
      <c r="D323" s="130" t="s">
        <v>119</v>
      </c>
      <c r="E323" s="130" t="s">
        <v>139</v>
      </c>
      <c r="F323" s="230">
        <v>0.33400000000000002</v>
      </c>
      <c r="G323" s="494">
        <v>38.04</v>
      </c>
      <c r="H323" s="494">
        <v>12.71</v>
      </c>
    </row>
    <row r="324" spans="2:8">
      <c r="B324" s="130" t="s">
        <v>643</v>
      </c>
      <c r="C324" s="229" t="s">
        <v>644</v>
      </c>
      <c r="D324" s="130" t="s">
        <v>119</v>
      </c>
      <c r="E324" s="130" t="s">
        <v>107</v>
      </c>
      <c r="F324" s="230">
        <v>9.5499999999999995E-3</v>
      </c>
      <c r="G324" s="494">
        <v>7.16</v>
      </c>
      <c r="H324" s="494">
        <v>7.0000000000000007E-2</v>
      </c>
    </row>
    <row r="325" spans="2:8">
      <c r="B325" s="130" t="s">
        <v>1309</v>
      </c>
      <c r="C325" s="229" t="s">
        <v>1310</v>
      </c>
      <c r="D325" s="130" t="s">
        <v>119</v>
      </c>
      <c r="E325" s="130" t="s">
        <v>173</v>
      </c>
      <c r="F325" s="230">
        <v>1.5549999999999999</v>
      </c>
      <c r="G325" s="494">
        <v>7.78</v>
      </c>
      <c r="H325" s="494">
        <v>12.1</v>
      </c>
    </row>
    <row r="326" spans="2:8">
      <c r="B326" s="130" t="s">
        <v>1391</v>
      </c>
      <c r="C326" s="229" t="s">
        <v>1392</v>
      </c>
      <c r="D326" s="130" t="s">
        <v>119</v>
      </c>
      <c r="E326" s="130" t="s">
        <v>200</v>
      </c>
      <c r="F326" s="230">
        <v>1.2999999999999999E-2</v>
      </c>
      <c r="G326" s="494">
        <v>20.72</v>
      </c>
      <c r="H326" s="494">
        <v>0.27</v>
      </c>
    </row>
    <row r="327" spans="2:8">
      <c r="B327" s="130" t="s">
        <v>1393</v>
      </c>
      <c r="C327" s="229" t="s">
        <v>1394</v>
      </c>
      <c r="D327" s="130" t="s">
        <v>119</v>
      </c>
      <c r="E327" s="130" t="s">
        <v>200</v>
      </c>
      <c r="F327" s="230">
        <v>3.4000000000000002E-2</v>
      </c>
      <c r="G327" s="494">
        <v>19.079999999999998</v>
      </c>
      <c r="H327" s="494">
        <v>0.65</v>
      </c>
    </row>
    <row r="328" spans="2:8">
      <c r="B328" s="130" t="s">
        <v>1395</v>
      </c>
      <c r="C328" s="229" t="s">
        <v>1396</v>
      </c>
      <c r="D328" s="130" t="s">
        <v>119</v>
      </c>
      <c r="E328" s="130" t="s">
        <v>200</v>
      </c>
      <c r="F328" s="230">
        <v>3.2000000000000001E-2</v>
      </c>
      <c r="G328" s="494">
        <v>23.1</v>
      </c>
      <c r="H328" s="494">
        <v>0.74</v>
      </c>
    </row>
    <row r="329" spans="2:8">
      <c r="B329" s="130" t="s">
        <v>1397</v>
      </c>
      <c r="C329" s="229" t="s">
        <v>1398</v>
      </c>
      <c r="D329" s="130" t="s">
        <v>119</v>
      </c>
      <c r="E329" s="130" t="s">
        <v>173</v>
      </c>
      <c r="F329" s="230">
        <v>1.796</v>
      </c>
      <c r="G329" s="494">
        <v>2.72</v>
      </c>
      <c r="H329" s="494">
        <v>4.8899999999999997</v>
      </c>
    </row>
    <row r="330" spans="2:8">
      <c r="B330" s="130" t="s">
        <v>1399</v>
      </c>
      <c r="C330" s="229" t="s">
        <v>1400</v>
      </c>
      <c r="D330" s="130" t="s">
        <v>119</v>
      </c>
      <c r="E330" s="130" t="s">
        <v>173</v>
      </c>
      <c r="F330" s="230">
        <v>0.6</v>
      </c>
      <c r="G330" s="494">
        <v>12.9</v>
      </c>
      <c r="H330" s="494">
        <v>7.74</v>
      </c>
    </row>
    <row r="331" spans="2:8">
      <c r="B331" s="105"/>
      <c r="C331" s="105"/>
      <c r="D331" s="105"/>
      <c r="E331" s="105"/>
      <c r="F331" s="629" t="s">
        <v>604</v>
      </c>
      <c r="G331" s="629"/>
      <c r="H331" s="495">
        <v>39.17</v>
      </c>
    </row>
    <row r="332" spans="2:8" ht="12.75" customHeight="1">
      <c r="B332" s="628" t="s">
        <v>607</v>
      </c>
      <c r="C332" s="628"/>
      <c r="D332" s="103" t="s">
        <v>579</v>
      </c>
      <c r="E332" s="103" t="s">
        <v>580</v>
      </c>
      <c r="F332" s="103" t="s">
        <v>581</v>
      </c>
      <c r="G332" s="103" t="s">
        <v>582</v>
      </c>
      <c r="H332" s="103" t="s">
        <v>583</v>
      </c>
    </row>
    <row r="333" spans="2:8">
      <c r="B333" s="130" t="s">
        <v>1315</v>
      </c>
      <c r="C333" s="229" t="s">
        <v>617</v>
      </c>
      <c r="D333" s="130" t="s">
        <v>119</v>
      </c>
      <c r="E333" s="130" t="s">
        <v>121</v>
      </c>
      <c r="F333" s="230">
        <v>0.88200000000000001</v>
      </c>
      <c r="G333" s="494">
        <v>24.4</v>
      </c>
      <c r="H333" s="494">
        <v>21.52</v>
      </c>
    </row>
    <row r="334" spans="2:8">
      <c r="B334" s="130" t="s">
        <v>1316</v>
      </c>
      <c r="C334" s="229" t="s">
        <v>618</v>
      </c>
      <c r="D334" s="130" t="s">
        <v>119</v>
      </c>
      <c r="E334" s="130" t="s">
        <v>121</v>
      </c>
      <c r="F334" s="230">
        <v>2.1419999999999999</v>
      </c>
      <c r="G334" s="494">
        <v>30.91</v>
      </c>
      <c r="H334" s="494">
        <v>66.209999999999994</v>
      </c>
    </row>
    <row r="335" spans="2:8" ht="12.75" customHeight="1">
      <c r="B335" s="105"/>
      <c r="C335" s="105"/>
      <c r="D335" s="105"/>
      <c r="E335" s="105"/>
      <c r="F335" s="629" t="s">
        <v>610</v>
      </c>
      <c r="G335" s="629"/>
      <c r="H335" s="495">
        <v>87.73</v>
      </c>
    </row>
    <row r="336" spans="2:8" ht="12.75" customHeight="1">
      <c r="B336" s="105"/>
      <c r="C336" s="105"/>
      <c r="D336" s="105"/>
      <c r="E336" s="105"/>
      <c r="F336" s="630" t="s">
        <v>464</v>
      </c>
      <c r="G336" s="630"/>
      <c r="H336" s="102">
        <v>130.03</v>
      </c>
    </row>
    <row r="337" spans="1:8">
      <c r="B337" s="105"/>
      <c r="C337" s="105"/>
      <c r="D337" s="105"/>
      <c r="E337" s="105"/>
      <c r="F337" s="634"/>
      <c r="G337" s="634"/>
      <c r="H337" s="634"/>
    </row>
    <row r="338" spans="1:8" s="220" customFormat="1" ht="27" customHeight="1">
      <c r="A338" s="178" t="str">
        <f>'3 - PLAN. ORÇAMENTÁRIA'!A72</f>
        <v>3.1.2.5</v>
      </c>
      <c r="B338" s="242">
        <f>VLOOKUP(A338,'3 - PLAN. ORÇAMENTÁRIA'!$A$16:$B$721,2,FALSE)</f>
        <v>96557</v>
      </c>
      <c r="C338" s="631" t="str">
        <f>VLOOKUP(A338,'3 - PLAN. ORÇAMENTÁRIA'!$A$16:$C$721,3,FALSE)</f>
        <v>CONCRETAGEM DE BLOCO DE COROAMENTO OU VIGA BALDRAME, FCK 30 MPA, COM USO DE BOMBA - LANÇAMENTO, ADENSAMENTO E ACABAMENTO. AF_01/2024</v>
      </c>
      <c r="D338" s="632"/>
      <c r="E338" s="632"/>
      <c r="F338" s="632"/>
      <c r="G338" s="633"/>
      <c r="H338" s="493" t="str">
        <f>VLOOKUP(A338,'3 - PLAN. ORÇAMENTÁRIA'!$A$17:$E$721,5,FALSE)</f>
        <v>M3</v>
      </c>
    </row>
    <row r="339" spans="1:8" ht="12.75" customHeight="1">
      <c r="B339" s="628" t="s">
        <v>1301</v>
      </c>
      <c r="C339" s="628"/>
      <c r="D339" s="103" t="s">
        <v>579</v>
      </c>
      <c r="E339" s="103" t="s">
        <v>580</v>
      </c>
      <c r="F339" s="103" t="s">
        <v>581</v>
      </c>
      <c r="G339" s="103" t="s">
        <v>582</v>
      </c>
      <c r="H339" s="103" t="s">
        <v>583</v>
      </c>
    </row>
    <row r="340" spans="1:8" ht="25.5">
      <c r="B340" s="130" t="s">
        <v>1401</v>
      </c>
      <c r="C340" s="229" t="s">
        <v>1402</v>
      </c>
      <c r="D340" s="130" t="s">
        <v>119</v>
      </c>
      <c r="E340" s="130" t="s">
        <v>1304</v>
      </c>
      <c r="F340" s="230">
        <v>7.4999999999999997E-2</v>
      </c>
      <c r="G340" s="494">
        <v>0.53</v>
      </c>
      <c r="H340" s="494">
        <v>0.04</v>
      </c>
    </row>
    <row r="341" spans="1:8" ht="25.5">
      <c r="B341" s="130" t="s">
        <v>1403</v>
      </c>
      <c r="C341" s="229" t="s">
        <v>1404</v>
      </c>
      <c r="D341" s="130" t="s">
        <v>119</v>
      </c>
      <c r="E341" s="130" t="s">
        <v>1307</v>
      </c>
      <c r="F341" s="230">
        <v>9.1999999999999998E-2</v>
      </c>
      <c r="G341" s="494">
        <v>1.23</v>
      </c>
      <c r="H341" s="494">
        <v>0.11</v>
      </c>
    </row>
    <row r="342" spans="1:8" ht="12.75" customHeight="1">
      <c r="B342" s="105"/>
      <c r="C342" s="105"/>
      <c r="D342" s="105"/>
      <c r="E342" s="105"/>
      <c r="F342" s="629" t="s">
        <v>1308</v>
      </c>
      <c r="G342" s="629"/>
      <c r="H342" s="495">
        <v>0.15</v>
      </c>
    </row>
    <row r="343" spans="1:8">
      <c r="B343" s="628" t="s">
        <v>593</v>
      </c>
      <c r="C343" s="628"/>
      <c r="D343" s="103" t="s">
        <v>579</v>
      </c>
      <c r="E343" s="103" t="s">
        <v>580</v>
      </c>
      <c r="F343" s="103" t="s">
        <v>581</v>
      </c>
      <c r="G343" s="103" t="s">
        <v>582</v>
      </c>
      <c r="H343" s="103" t="s">
        <v>583</v>
      </c>
    </row>
    <row r="344" spans="1:8" ht="25.5">
      <c r="B344" s="130" t="s">
        <v>1405</v>
      </c>
      <c r="C344" s="229" t="s">
        <v>1406</v>
      </c>
      <c r="D344" s="130" t="s">
        <v>119</v>
      </c>
      <c r="E344" s="130" t="s">
        <v>167</v>
      </c>
      <c r="F344" s="230">
        <v>1.23</v>
      </c>
      <c r="G344" s="494">
        <v>539.62</v>
      </c>
      <c r="H344" s="494">
        <v>663.73</v>
      </c>
    </row>
    <row r="345" spans="1:8">
      <c r="B345" s="105"/>
      <c r="C345" s="105"/>
      <c r="D345" s="105"/>
      <c r="E345" s="105"/>
      <c r="F345" s="629" t="s">
        <v>604</v>
      </c>
      <c r="G345" s="629"/>
      <c r="H345" s="495">
        <v>663.73</v>
      </c>
    </row>
    <row r="346" spans="1:8" ht="12.75" customHeight="1">
      <c r="B346" s="628" t="s">
        <v>607</v>
      </c>
      <c r="C346" s="628"/>
      <c r="D346" s="103" t="s">
        <v>579</v>
      </c>
      <c r="E346" s="103" t="s">
        <v>580</v>
      </c>
      <c r="F346" s="103" t="s">
        <v>581</v>
      </c>
      <c r="G346" s="103" t="s">
        <v>582</v>
      </c>
      <c r="H346" s="103" t="s">
        <v>583</v>
      </c>
    </row>
    <row r="347" spans="1:8">
      <c r="B347" s="130" t="s">
        <v>639</v>
      </c>
      <c r="C347" s="229" t="s">
        <v>640</v>
      </c>
      <c r="D347" s="130" t="s">
        <v>119</v>
      </c>
      <c r="E347" s="130" t="s">
        <v>121</v>
      </c>
      <c r="F347" s="230">
        <v>0.33400000000000002</v>
      </c>
      <c r="G347" s="494">
        <v>31.34</v>
      </c>
      <c r="H347" s="494">
        <v>10.47</v>
      </c>
    </row>
    <row r="348" spans="1:8">
      <c r="B348" s="130" t="s">
        <v>625</v>
      </c>
      <c r="C348" s="229" t="s">
        <v>626</v>
      </c>
      <c r="D348" s="130" t="s">
        <v>119</v>
      </c>
      <c r="E348" s="130" t="s">
        <v>121</v>
      </c>
      <c r="F348" s="230">
        <v>0.501</v>
      </c>
      <c r="G348" s="494">
        <v>23.75</v>
      </c>
      <c r="H348" s="494">
        <v>11.9</v>
      </c>
    </row>
    <row r="349" spans="1:8" ht="12.75" customHeight="1">
      <c r="B349" s="105"/>
      <c r="C349" s="105"/>
      <c r="D349" s="105"/>
      <c r="E349" s="105"/>
      <c r="F349" s="629" t="s">
        <v>610</v>
      </c>
      <c r="G349" s="629"/>
      <c r="H349" s="495">
        <v>22.37</v>
      </c>
    </row>
    <row r="350" spans="1:8" ht="12.75" customHeight="1">
      <c r="B350" s="105"/>
      <c r="C350" s="105"/>
      <c r="D350" s="105"/>
      <c r="E350" s="105"/>
      <c r="F350" s="630" t="s">
        <v>464</v>
      </c>
      <c r="G350" s="630"/>
      <c r="H350" s="102">
        <v>686.22</v>
      </c>
    </row>
    <row r="351" spans="1:8">
      <c r="B351" s="105"/>
      <c r="C351" s="105"/>
      <c r="D351" s="105"/>
      <c r="E351" s="105"/>
      <c r="F351" s="634"/>
      <c r="G351" s="634"/>
      <c r="H351" s="634"/>
    </row>
    <row r="352" spans="1:8" s="220" customFormat="1" ht="27" customHeight="1">
      <c r="A352" s="178" t="str">
        <f>'3 - PLAN. ORÇAMENTÁRIA'!A73</f>
        <v>3.1.2.6</v>
      </c>
      <c r="B352" s="242">
        <f>VLOOKUP(A352,'3 - PLAN. ORÇAMENTÁRIA'!$A$16:$B$721,2,FALSE)</f>
        <v>93382</v>
      </c>
      <c r="C352" s="631" t="str">
        <f>VLOOKUP(A352,'3 - PLAN. ORÇAMENTÁRIA'!$A$16:$C$721,3,FALSE)</f>
        <v>REATERRO MANUAL DE VALAS, COM COMPACTADOR DE SOLOS DE PERCUSSÃO. AF_08/2023</v>
      </c>
      <c r="D352" s="632"/>
      <c r="E352" s="632"/>
      <c r="F352" s="632"/>
      <c r="G352" s="633"/>
      <c r="H352" s="493" t="str">
        <f>VLOOKUP(A352,'3 - PLAN. ORÇAMENTÁRIA'!$A$17:$E$721,5,FALSE)</f>
        <v>M3</v>
      </c>
    </row>
    <row r="353" spans="1:8" ht="12.75" customHeight="1">
      <c r="B353" s="628" t="s">
        <v>1301</v>
      </c>
      <c r="C353" s="628"/>
      <c r="D353" s="103" t="s">
        <v>579</v>
      </c>
      <c r="E353" s="103" t="s">
        <v>580</v>
      </c>
      <c r="F353" s="103" t="s">
        <v>581</v>
      </c>
      <c r="G353" s="103" t="s">
        <v>582</v>
      </c>
      <c r="H353" s="103" t="s">
        <v>583</v>
      </c>
    </row>
    <row r="354" spans="1:8" ht="38.25">
      <c r="B354" s="130" t="s">
        <v>1350</v>
      </c>
      <c r="C354" s="229" t="s">
        <v>1351</v>
      </c>
      <c r="D354" s="130" t="s">
        <v>119</v>
      </c>
      <c r="E354" s="130" t="s">
        <v>1304</v>
      </c>
      <c r="F354" s="230">
        <v>5.9999999999999995E-4</v>
      </c>
      <c r="G354" s="494">
        <v>75.08</v>
      </c>
      <c r="H354" s="494">
        <v>0.05</v>
      </c>
    </row>
    <row r="355" spans="1:8" ht="38.25">
      <c r="B355" s="130" t="s">
        <v>1352</v>
      </c>
      <c r="C355" s="229" t="s">
        <v>1353</v>
      </c>
      <c r="D355" s="130" t="s">
        <v>119</v>
      </c>
      <c r="E355" s="130" t="s">
        <v>1307</v>
      </c>
      <c r="F355" s="230">
        <v>5.4000000000000003E-3</v>
      </c>
      <c r="G355" s="494">
        <v>317.85000000000002</v>
      </c>
      <c r="H355" s="494">
        <v>1.72</v>
      </c>
    </row>
    <row r="356" spans="1:8" ht="25.5">
      <c r="B356" s="130" t="s">
        <v>1387</v>
      </c>
      <c r="C356" s="229" t="s">
        <v>1388</v>
      </c>
      <c r="D356" s="130" t="s">
        <v>119</v>
      </c>
      <c r="E356" s="130" t="s">
        <v>1307</v>
      </c>
      <c r="F356" s="230">
        <v>0.19620000000000001</v>
      </c>
      <c r="G356" s="494">
        <v>34.299999999999997</v>
      </c>
      <c r="H356" s="494">
        <v>6.73</v>
      </c>
    </row>
    <row r="357" spans="1:8" ht="12.75" customHeight="1">
      <c r="B357" s="105"/>
      <c r="C357" s="105"/>
      <c r="D357" s="105"/>
      <c r="E357" s="105"/>
      <c r="F357" s="629" t="s">
        <v>1308</v>
      </c>
      <c r="G357" s="629"/>
      <c r="H357" s="495">
        <v>8.5</v>
      </c>
    </row>
    <row r="358" spans="1:8" ht="12.75" customHeight="1">
      <c r="B358" s="628" t="s">
        <v>607</v>
      </c>
      <c r="C358" s="628"/>
      <c r="D358" s="103" t="s">
        <v>579</v>
      </c>
      <c r="E358" s="103" t="s">
        <v>580</v>
      </c>
      <c r="F358" s="103" t="s">
        <v>581</v>
      </c>
      <c r="G358" s="103" t="s">
        <v>582</v>
      </c>
      <c r="H358" s="103" t="s">
        <v>583</v>
      </c>
    </row>
    <row r="359" spans="1:8">
      <c r="B359" s="130" t="s">
        <v>625</v>
      </c>
      <c r="C359" s="229" t="s">
        <v>626</v>
      </c>
      <c r="D359" s="130" t="s">
        <v>119</v>
      </c>
      <c r="E359" s="130" t="s">
        <v>121</v>
      </c>
      <c r="F359" s="230">
        <v>0.78659999999999997</v>
      </c>
      <c r="G359" s="494">
        <v>23.75</v>
      </c>
      <c r="H359" s="494">
        <v>18.68</v>
      </c>
    </row>
    <row r="360" spans="1:8" ht="12.75" customHeight="1">
      <c r="B360" s="105"/>
      <c r="C360" s="105"/>
      <c r="D360" s="105"/>
      <c r="E360" s="105"/>
      <c r="F360" s="629" t="s">
        <v>610</v>
      </c>
      <c r="G360" s="629"/>
      <c r="H360" s="495">
        <v>18.68</v>
      </c>
    </row>
    <row r="361" spans="1:8" ht="12.75" customHeight="1">
      <c r="B361" s="105"/>
      <c r="C361" s="105"/>
      <c r="D361" s="105"/>
      <c r="E361" s="105"/>
      <c r="F361" s="630" t="s">
        <v>464</v>
      </c>
      <c r="G361" s="630"/>
      <c r="H361" s="102">
        <v>27.15</v>
      </c>
    </row>
    <row r="362" spans="1:8">
      <c r="B362" s="105"/>
      <c r="C362" s="105"/>
      <c r="D362" s="105"/>
      <c r="E362" s="105"/>
      <c r="F362" s="634"/>
      <c r="G362" s="634"/>
      <c r="H362" s="634"/>
    </row>
    <row r="363" spans="1:8" s="220" customFormat="1" ht="27" customHeight="1">
      <c r="A363" s="178" t="str">
        <f>'3 - PLAN. ORÇAMENTÁRIA'!A75</f>
        <v>3.1.3.1</v>
      </c>
      <c r="B363" s="242">
        <f>VLOOKUP(A363,'3 - PLAN. ORÇAMENTÁRIA'!$A$16:$B$721,2,FALSE)</f>
        <v>96527</v>
      </c>
      <c r="C363" s="631" t="str">
        <f>VLOOKUP(A363,'3 - PLAN. ORÇAMENTÁRIA'!$A$16:$C$721,3,FALSE)</f>
        <v>ESCAVAÇÃO MANUAL PARA VIGA BALDRAME OU SAPATA CORRIDA (INCLUINDO ESCAVAÇÃO PARA COLOCAÇÃO DE FÔRMAS). AF_01/2024</v>
      </c>
      <c r="D363" s="632"/>
      <c r="E363" s="632"/>
      <c r="F363" s="632"/>
      <c r="G363" s="633"/>
      <c r="H363" s="131" t="str">
        <f>VLOOKUP(A363,'3 - PLAN. ORÇAMENTÁRIA'!$A$17:$E$721,5,FALSE)</f>
        <v>M3</v>
      </c>
    </row>
    <row r="364" spans="1:8" ht="12.75" customHeight="1">
      <c r="B364" s="628" t="s">
        <v>607</v>
      </c>
      <c r="C364" s="628"/>
      <c r="D364" s="103" t="s">
        <v>579</v>
      </c>
      <c r="E364" s="103" t="s">
        <v>580</v>
      </c>
      <c r="F364" s="103" t="s">
        <v>581</v>
      </c>
      <c r="G364" s="103" t="s">
        <v>582</v>
      </c>
      <c r="H364" s="103" t="s">
        <v>583</v>
      </c>
    </row>
    <row r="365" spans="1:8">
      <c r="B365" s="130" t="s">
        <v>639</v>
      </c>
      <c r="C365" s="229" t="s">
        <v>640</v>
      </c>
      <c r="D365" s="130" t="s">
        <v>119</v>
      </c>
      <c r="E365" s="130" t="s">
        <v>121</v>
      </c>
      <c r="F365" s="230">
        <v>1.004</v>
      </c>
      <c r="G365" s="494">
        <v>31.34</v>
      </c>
      <c r="H365" s="494">
        <v>31.47</v>
      </c>
    </row>
    <row r="366" spans="1:8">
      <c r="B366" s="130" t="s">
        <v>625</v>
      </c>
      <c r="C366" s="229" t="s">
        <v>626</v>
      </c>
      <c r="D366" s="130" t="s">
        <v>119</v>
      </c>
      <c r="E366" s="130" t="s">
        <v>121</v>
      </c>
      <c r="F366" s="230">
        <v>3.5150000000000001</v>
      </c>
      <c r="G366" s="494">
        <v>23.75</v>
      </c>
      <c r="H366" s="494">
        <v>83.48</v>
      </c>
    </row>
    <row r="367" spans="1:8" ht="12.75" customHeight="1">
      <c r="B367" s="105"/>
      <c r="C367" s="105"/>
      <c r="D367" s="105"/>
      <c r="E367" s="105"/>
      <c r="F367" s="629" t="s">
        <v>610</v>
      </c>
      <c r="G367" s="629"/>
      <c r="H367" s="495">
        <v>114.95</v>
      </c>
    </row>
    <row r="368" spans="1:8" ht="12.75" customHeight="1">
      <c r="B368" s="105"/>
      <c r="C368" s="105"/>
      <c r="D368" s="105"/>
      <c r="E368" s="105"/>
      <c r="F368" s="630" t="s">
        <v>464</v>
      </c>
      <c r="G368" s="630"/>
      <c r="H368" s="102">
        <v>114.94</v>
      </c>
    </row>
    <row r="369" spans="1:8">
      <c r="B369" s="105"/>
      <c r="C369" s="105"/>
      <c r="D369" s="105"/>
      <c r="E369" s="105"/>
      <c r="F369" s="634"/>
      <c r="G369" s="634"/>
      <c r="H369" s="634"/>
    </row>
    <row r="370" spans="1:8" s="220" customFormat="1" ht="27" customHeight="1">
      <c r="A370" s="178" t="str">
        <f>'3 - PLAN. ORÇAMENTÁRIA'!A76</f>
        <v>3.1.3.2</v>
      </c>
      <c r="B370" s="242">
        <f>VLOOKUP(A370,'3 - PLAN. ORÇAMENTÁRIA'!$A$16:$B$721,2,FALSE)</f>
        <v>101616</v>
      </c>
      <c r="C370" s="631" t="str">
        <f>VLOOKUP(A370,'3 - PLAN. ORÇAMENTÁRIA'!$A$16:$C$721,3,FALSE)</f>
        <v>PREPARO DE FUNDO DE VALA COM LARGURA MENOR QUE 1,5 M (ACERTO DO SOLO NATURAL). AF_08/2020</v>
      </c>
      <c r="D370" s="632"/>
      <c r="E370" s="632"/>
      <c r="F370" s="632"/>
      <c r="G370" s="633"/>
      <c r="H370" s="437" t="str">
        <f>VLOOKUP(A370,'3 - PLAN. ORÇAMENTÁRIA'!$A$17:$E$721,5,FALSE)</f>
        <v>M2</v>
      </c>
    </row>
    <row r="371" spans="1:8" ht="12.75" customHeight="1">
      <c r="B371" s="628" t="s">
        <v>1301</v>
      </c>
      <c r="C371" s="628"/>
      <c r="D371" s="103" t="s">
        <v>579</v>
      </c>
      <c r="E371" s="103" t="s">
        <v>580</v>
      </c>
      <c r="F371" s="103" t="s">
        <v>581</v>
      </c>
      <c r="G371" s="103" t="s">
        <v>582</v>
      </c>
      <c r="H371" s="103" t="s">
        <v>583</v>
      </c>
    </row>
    <row r="372" spans="1:8" ht="25.5">
      <c r="B372" s="130" t="s">
        <v>1385</v>
      </c>
      <c r="C372" s="229" t="s">
        <v>1386</v>
      </c>
      <c r="D372" s="130" t="s">
        <v>119</v>
      </c>
      <c r="E372" s="130" t="s">
        <v>1304</v>
      </c>
      <c r="F372" s="230">
        <v>3.5999999999999999E-3</v>
      </c>
      <c r="G372" s="494">
        <v>27.12</v>
      </c>
      <c r="H372" s="494">
        <v>0.1</v>
      </c>
    </row>
    <row r="373" spans="1:8" ht="25.5">
      <c r="B373" s="130" t="s">
        <v>1387</v>
      </c>
      <c r="C373" s="229" t="s">
        <v>1388</v>
      </c>
      <c r="D373" s="130" t="s">
        <v>119</v>
      </c>
      <c r="E373" s="130" t="s">
        <v>1307</v>
      </c>
      <c r="F373" s="230">
        <v>3.5999999999999999E-3</v>
      </c>
      <c r="G373" s="494">
        <v>34.299999999999997</v>
      </c>
      <c r="H373" s="494">
        <v>0.12</v>
      </c>
    </row>
    <row r="374" spans="1:8" ht="12.75" customHeight="1">
      <c r="B374" s="105"/>
      <c r="C374" s="105"/>
      <c r="D374" s="105"/>
      <c r="E374" s="105"/>
      <c r="F374" s="629" t="s">
        <v>1308</v>
      </c>
      <c r="G374" s="629"/>
      <c r="H374" s="495">
        <v>0.22</v>
      </c>
    </row>
    <row r="375" spans="1:8" ht="12.75" customHeight="1">
      <c r="B375" s="628" t="s">
        <v>607</v>
      </c>
      <c r="C375" s="628"/>
      <c r="D375" s="103" t="s">
        <v>579</v>
      </c>
      <c r="E375" s="103" t="s">
        <v>580</v>
      </c>
      <c r="F375" s="103" t="s">
        <v>581</v>
      </c>
      <c r="G375" s="103" t="s">
        <v>582</v>
      </c>
      <c r="H375" s="103" t="s">
        <v>583</v>
      </c>
    </row>
    <row r="376" spans="1:8">
      <c r="B376" s="130" t="s">
        <v>639</v>
      </c>
      <c r="C376" s="229" t="s">
        <v>640</v>
      </c>
      <c r="D376" s="130" t="s">
        <v>119</v>
      </c>
      <c r="E376" s="130" t="s">
        <v>121</v>
      </c>
      <c r="F376" s="230">
        <v>0.10199999999999999</v>
      </c>
      <c r="G376" s="494">
        <v>31.34</v>
      </c>
      <c r="H376" s="494">
        <v>3.2</v>
      </c>
    </row>
    <row r="377" spans="1:8">
      <c r="B377" s="130" t="s">
        <v>625</v>
      </c>
      <c r="C377" s="229" t="s">
        <v>626</v>
      </c>
      <c r="D377" s="130" t="s">
        <v>119</v>
      </c>
      <c r="E377" s="130" t="s">
        <v>121</v>
      </c>
      <c r="F377" s="230">
        <v>0.15310000000000001</v>
      </c>
      <c r="G377" s="494">
        <v>23.75</v>
      </c>
      <c r="H377" s="494">
        <v>3.64</v>
      </c>
    </row>
    <row r="378" spans="1:8" ht="12.75" customHeight="1">
      <c r="B378" s="105"/>
      <c r="C378" s="105"/>
      <c r="D378" s="105"/>
      <c r="E378" s="105"/>
      <c r="F378" s="629" t="s">
        <v>610</v>
      </c>
      <c r="G378" s="629"/>
      <c r="H378" s="495">
        <v>6.84</v>
      </c>
    </row>
    <row r="379" spans="1:8" ht="12.75" customHeight="1">
      <c r="B379" s="105"/>
      <c r="C379" s="105"/>
      <c r="D379" s="105"/>
      <c r="E379" s="105"/>
      <c r="F379" s="630" t="s">
        <v>464</v>
      </c>
      <c r="G379" s="630"/>
      <c r="H379" s="102">
        <v>7.03</v>
      </c>
    </row>
    <row r="380" spans="1:8">
      <c r="B380" s="105"/>
      <c r="C380" s="105"/>
      <c r="D380" s="105"/>
      <c r="E380" s="105"/>
      <c r="F380" s="634"/>
      <c r="G380" s="634"/>
      <c r="H380" s="634"/>
    </row>
    <row r="381" spans="1:8" s="220" customFormat="1" ht="27" customHeight="1">
      <c r="A381" s="178" t="str">
        <f>'3 - PLAN. ORÇAMENTÁRIA'!A77</f>
        <v>3.1.3.3</v>
      </c>
      <c r="B381" s="242">
        <f>VLOOKUP(A381,'3 - PLAN. ORÇAMENTÁRIA'!$A$16:$B$721,2,FALSE)</f>
        <v>96616</v>
      </c>
      <c r="C381" s="631" t="str">
        <f>VLOOKUP(A381,'3 - PLAN. ORÇAMENTÁRIA'!$A$16:$C$721,3,FALSE)</f>
        <v>LASTRO DE CONCRETO MAGRO, APLICADO EM BLOCOS DE COROAMENTO OU SAPATAS. AF_01/2024</v>
      </c>
      <c r="D381" s="632"/>
      <c r="E381" s="632"/>
      <c r="F381" s="632"/>
      <c r="G381" s="633"/>
      <c r="H381" s="493" t="str">
        <f>VLOOKUP(A381,'3 - PLAN. ORÇAMENTÁRIA'!$A$17:$E$721,5,FALSE)</f>
        <v>M3</v>
      </c>
    </row>
    <row r="382" spans="1:8" ht="12.75" customHeight="1">
      <c r="B382" s="628" t="s">
        <v>607</v>
      </c>
      <c r="C382" s="628"/>
      <c r="D382" s="103" t="s">
        <v>579</v>
      </c>
      <c r="E382" s="103" t="s">
        <v>580</v>
      </c>
      <c r="F382" s="103" t="s">
        <v>581</v>
      </c>
      <c r="G382" s="103" t="s">
        <v>582</v>
      </c>
      <c r="H382" s="103" t="s">
        <v>583</v>
      </c>
    </row>
    <row r="383" spans="1:8">
      <c r="B383" s="130" t="s">
        <v>639</v>
      </c>
      <c r="C383" s="229" t="s">
        <v>640</v>
      </c>
      <c r="D383" s="130" t="s">
        <v>119</v>
      </c>
      <c r="E383" s="130" t="s">
        <v>121</v>
      </c>
      <c r="F383" s="230">
        <v>6.7809999999999997</v>
      </c>
      <c r="G383" s="494">
        <v>31.34</v>
      </c>
      <c r="H383" s="494">
        <v>212.52</v>
      </c>
    </row>
    <row r="384" spans="1:8">
      <c r="B384" s="130" t="s">
        <v>625</v>
      </c>
      <c r="C384" s="229" t="s">
        <v>626</v>
      </c>
      <c r="D384" s="130" t="s">
        <v>119</v>
      </c>
      <c r="E384" s="130" t="s">
        <v>121</v>
      </c>
      <c r="F384" s="230">
        <v>2.4529999999999998</v>
      </c>
      <c r="G384" s="494">
        <v>23.75</v>
      </c>
      <c r="H384" s="494">
        <v>58.26</v>
      </c>
    </row>
    <row r="385" spans="1:8" ht="12.75" customHeight="1">
      <c r="B385" s="105"/>
      <c r="C385" s="105"/>
      <c r="D385" s="105"/>
      <c r="E385" s="105"/>
      <c r="F385" s="629" t="s">
        <v>610</v>
      </c>
      <c r="G385" s="629"/>
      <c r="H385" s="495">
        <v>270.77999999999997</v>
      </c>
    </row>
    <row r="386" spans="1:8">
      <c r="B386" s="628" t="s">
        <v>586</v>
      </c>
      <c r="C386" s="628"/>
      <c r="D386" s="103" t="s">
        <v>579</v>
      </c>
      <c r="E386" s="103" t="s">
        <v>580</v>
      </c>
      <c r="F386" s="103" t="s">
        <v>581</v>
      </c>
      <c r="G386" s="103" t="s">
        <v>582</v>
      </c>
      <c r="H386" s="103" t="s">
        <v>583</v>
      </c>
    </row>
    <row r="387" spans="1:8" ht="25.5">
      <c r="B387" s="130" t="s">
        <v>1389</v>
      </c>
      <c r="C387" s="229" t="s">
        <v>1390</v>
      </c>
      <c r="D387" s="130" t="s">
        <v>119</v>
      </c>
      <c r="E387" s="130" t="s">
        <v>167</v>
      </c>
      <c r="F387" s="230">
        <v>1.38</v>
      </c>
      <c r="G387" s="494">
        <v>427.93</v>
      </c>
      <c r="H387" s="494">
        <v>590.54</v>
      </c>
    </row>
    <row r="388" spans="1:8">
      <c r="B388" s="105"/>
      <c r="C388" s="105"/>
      <c r="D388" s="105"/>
      <c r="E388" s="105"/>
      <c r="F388" s="629" t="s">
        <v>587</v>
      </c>
      <c r="G388" s="629"/>
      <c r="H388" s="495">
        <v>590.54</v>
      </c>
    </row>
    <row r="389" spans="1:8" ht="12.75" customHeight="1">
      <c r="B389" s="105"/>
      <c r="C389" s="105"/>
      <c r="D389" s="105"/>
      <c r="E389" s="105"/>
      <c r="F389" s="630" t="s">
        <v>464</v>
      </c>
      <c r="G389" s="630"/>
      <c r="H389" s="102">
        <v>861.32</v>
      </c>
    </row>
    <row r="390" spans="1:8">
      <c r="B390" s="105"/>
      <c r="C390" s="105"/>
      <c r="D390" s="105"/>
      <c r="E390" s="105"/>
      <c r="F390" s="634"/>
      <c r="G390" s="634"/>
      <c r="H390" s="634"/>
    </row>
    <row r="391" spans="1:8" s="220" customFormat="1" ht="27" customHeight="1">
      <c r="A391" s="178" t="str">
        <f>'3 - PLAN. ORÇAMENTÁRIA'!A78</f>
        <v>3.1.3.4</v>
      </c>
      <c r="B391" s="242">
        <f>VLOOKUP(A391,'3 - PLAN. ORÇAMENTÁRIA'!$A$16:$B$721,2,FALSE)</f>
        <v>96542</v>
      </c>
      <c r="C391" s="631" t="str">
        <f>VLOOKUP(A391,'3 - PLAN. ORÇAMENTÁRIA'!$A$16:$C$721,3,FALSE)</f>
        <v>FABRICAÇÃO, MONTAGEM E DESMONTAGEM DE FÔRMA PARA VIGA BALDRAME, EM CHAPA DE MADEIRA COMPENSADA RESINADA, E=17 MM, 4 UTILIZAÇÕES. AF_01/2024</v>
      </c>
      <c r="D391" s="632"/>
      <c r="E391" s="632"/>
      <c r="F391" s="632"/>
      <c r="G391" s="633"/>
      <c r="H391" s="493" t="str">
        <f>VLOOKUP(A391,'3 - PLAN. ORÇAMENTÁRIA'!$A$17:$E$721,5,FALSE)</f>
        <v>M2</v>
      </c>
    </row>
    <row r="392" spans="1:8" ht="12.75" customHeight="1">
      <c r="B392" s="628" t="s">
        <v>1301</v>
      </c>
      <c r="C392" s="628"/>
      <c r="D392" s="103" t="s">
        <v>579</v>
      </c>
      <c r="E392" s="103" t="s">
        <v>580</v>
      </c>
      <c r="F392" s="103" t="s">
        <v>581</v>
      </c>
      <c r="G392" s="103" t="s">
        <v>582</v>
      </c>
      <c r="H392" s="103" t="s">
        <v>583</v>
      </c>
    </row>
    <row r="393" spans="1:8" ht="25.5">
      <c r="B393" s="130" t="s">
        <v>1302</v>
      </c>
      <c r="C393" s="229" t="s">
        <v>1303</v>
      </c>
      <c r="D393" s="130" t="s">
        <v>119</v>
      </c>
      <c r="E393" s="130" t="s">
        <v>1304</v>
      </c>
      <c r="F393" s="230">
        <v>5.6000000000000001E-2</v>
      </c>
      <c r="G393" s="494">
        <v>26.18</v>
      </c>
      <c r="H393" s="494">
        <v>1.47</v>
      </c>
    </row>
    <row r="394" spans="1:8" ht="25.5">
      <c r="B394" s="130" t="s">
        <v>1305</v>
      </c>
      <c r="C394" s="229" t="s">
        <v>1306</v>
      </c>
      <c r="D394" s="130" t="s">
        <v>119</v>
      </c>
      <c r="E394" s="130" t="s">
        <v>1307</v>
      </c>
      <c r="F394" s="230">
        <v>1.4E-2</v>
      </c>
      <c r="G394" s="494">
        <v>27.22</v>
      </c>
      <c r="H394" s="494">
        <v>0.38</v>
      </c>
    </row>
    <row r="395" spans="1:8" ht="12.75" customHeight="1">
      <c r="B395" s="105"/>
      <c r="C395" s="105"/>
      <c r="D395" s="105"/>
      <c r="E395" s="105"/>
      <c r="F395" s="629" t="s">
        <v>1308</v>
      </c>
      <c r="G395" s="629"/>
      <c r="H395" s="495">
        <v>1.85</v>
      </c>
    </row>
    <row r="396" spans="1:8">
      <c r="B396" s="628" t="s">
        <v>593</v>
      </c>
      <c r="C396" s="628"/>
      <c r="D396" s="103" t="s">
        <v>579</v>
      </c>
      <c r="E396" s="103" t="s">
        <v>580</v>
      </c>
      <c r="F396" s="103" t="s">
        <v>581</v>
      </c>
      <c r="G396" s="103" t="s">
        <v>582</v>
      </c>
      <c r="H396" s="103" t="s">
        <v>583</v>
      </c>
    </row>
    <row r="397" spans="1:8" ht="25.5">
      <c r="B397" s="130" t="s">
        <v>641</v>
      </c>
      <c r="C397" s="229" t="s">
        <v>642</v>
      </c>
      <c r="D397" s="130" t="s">
        <v>119</v>
      </c>
      <c r="E397" s="130" t="s">
        <v>139</v>
      </c>
      <c r="F397" s="230">
        <v>0.315</v>
      </c>
      <c r="G397" s="494">
        <v>38.04</v>
      </c>
      <c r="H397" s="494">
        <v>11.98</v>
      </c>
    </row>
    <row r="398" spans="1:8">
      <c r="B398" s="130" t="s">
        <v>643</v>
      </c>
      <c r="C398" s="229" t="s">
        <v>644</v>
      </c>
      <c r="D398" s="130" t="s">
        <v>119</v>
      </c>
      <c r="E398" s="130" t="s">
        <v>107</v>
      </c>
      <c r="F398" s="230">
        <v>9.5499999999999995E-3</v>
      </c>
      <c r="G398" s="494">
        <v>7.16</v>
      </c>
      <c r="H398" s="494">
        <v>7.0000000000000007E-2</v>
      </c>
    </row>
    <row r="399" spans="1:8">
      <c r="B399" s="130" t="s">
        <v>1309</v>
      </c>
      <c r="C399" s="229" t="s">
        <v>1310</v>
      </c>
      <c r="D399" s="130" t="s">
        <v>119</v>
      </c>
      <c r="E399" s="130" t="s">
        <v>173</v>
      </c>
      <c r="F399" s="230">
        <v>1.218</v>
      </c>
      <c r="G399" s="494">
        <v>7.78</v>
      </c>
      <c r="H399" s="494">
        <v>9.48</v>
      </c>
    </row>
    <row r="400" spans="1:8">
      <c r="B400" s="130" t="s">
        <v>1391</v>
      </c>
      <c r="C400" s="229" t="s">
        <v>1392</v>
      </c>
      <c r="D400" s="130" t="s">
        <v>119</v>
      </c>
      <c r="E400" s="130" t="s">
        <v>200</v>
      </c>
      <c r="F400" s="230">
        <v>8.9999999999999993E-3</v>
      </c>
      <c r="G400" s="494">
        <v>20.72</v>
      </c>
      <c r="H400" s="494">
        <v>0.19</v>
      </c>
    </row>
    <row r="401" spans="1:8">
      <c r="B401" s="130" t="s">
        <v>1393</v>
      </c>
      <c r="C401" s="229" t="s">
        <v>1394</v>
      </c>
      <c r="D401" s="130" t="s">
        <v>119</v>
      </c>
      <c r="E401" s="130" t="s">
        <v>200</v>
      </c>
      <c r="F401" s="230">
        <v>8.0000000000000002E-3</v>
      </c>
      <c r="G401" s="494">
        <v>19.079999999999998</v>
      </c>
      <c r="H401" s="494">
        <v>0.15</v>
      </c>
    </row>
    <row r="402" spans="1:8">
      <c r="B402" s="130" t="s">
        <v>1395</v>
      </c>
      <c r="C402" s="229" t="s">
        <v>1396</v>
      </c>
      <c r="D402" s="130" t="s">
        <v>119</v>
      </c>
      <c r="E402" s="130" t="s">
        <v>200</v>
      </c>
      <c r="F402" s="230">
        <v>1.4999999999999999E-2</v>
      </c>
      <c r="G402" s="494">
        <v>23.1</v>
      </c>
      <c r="H402" s="494">
        <v>0.35</v>
      </c>
    </row>
    <row r="403" spans="1:8">
      <c r="B403" s="130" t="s">
        <v>1397</v>
      </c>
      <c r="C403" s="229" t="s">
        <v>1398</v>
      </c>
      <c r="D403" s="130" t="s">
        <v>119</v>
      </c>
      <c r="E403" s="130" t="s">
        <v>173</v>
      </c>
      <c r="F403" s="230">
        <v>0.72199999999999998</v>
      </c>
      <c r="G403" s="494">
        <v>2.72</v>
      </c>
      <c r="H403" s="494">
        <v>1.96</v>
      </c>
    </row>
    <row r="404" spans="1:8">
      <c r="B404" s="105"/>
      <c r="C404" s="105"/>
      <c r="D404" s="105"/>
      <c r="E404" s="105"/>
      <c r="F404" s="629" t="s">
        <v>604</v>
      </c>
      <c r="G404" s="629"/>
      <c r="H404" s="495">
        <v>24.18</v>
      </c>
    </row>
    <row r="405" spans="1:8" ht="12.75" customHeight="1">
      <c r="B405" s="628" t="s">
        <v>607</v>
      </c>
      <c r="C405" s="628"/>
      <c r="D405" s="103" t="s">
        <v>579</v>
      </c>
      <c r="E405" s="103" t="s">
        <v>580</v>
      </c>
      <c r="F405" s="103" t="s">
        <v>581</v>
      </c>
      <c r="G405" s="103" t="s">
        <v>582</v>
      </c>
      <c r="H405" s="103" t="s">
        <v>583</v>
      </c>
    </row>
    <row r="406" spans="1:8">
      <c r="B406" s="130" t="s">
        <v>1315</v>
      </c>
      <c r="C406" s="229" t="s">
        <v>617</v>
      </c>
      <c r="D406" s="130" t="s">
        <v>119</v>
      </c>
      <c r="E406" s="130" t="s">
        <v>121</v>
      </c>
      <c r="F406" s="230">
        <v>0.73099999999999998</v>
      </c>
      <c r="G406" s="494">
        <v>24.4</v>
      </c>
      <c r="H406" s="494">
        <v>17.84</v>
      </c>
    </row>
    <row r="407" spans="1:8">
      <c r="B407" s="130" t="s">
        <v>1316</v>
      </c>
      <c r="C407" s="229" t="s">
        <v>618</v>
      </c>
      <c r="D407" s="130" t="s">
        <v>119</v>
      </c>
      <c r="E407" s="130" t="s">
        <v>121</v>
      </c>
      <c r="F407" s="230">
        <v>1.718</v>
      </c>
      <c r="G407" s="494">
        <v>30.91</v>
      </c>
      <c r="H407" s="494">
        <v>53.1</v>
      </c>
    </row>
    <row r="408" spans="1:8" ht="12.75" customHeight="1">
      <c r="B408" s="105"/>
      <c r="C408" s="105"/>
      <c r="D408" s="105"/>
      <c r="E408" s="105"/>
      <c r="F408" s="629" t="s">
        <v>610</v>
      </c>
      <c r="G408" s="629"/>
      <c r="H408" s="495">
        <v>70.94</v>
      </c>
    </row>
    <row r="409" spans="1:8" ht="12.75" customHeight="1">
      <c r="B409" s="105"/>
      <c r="C409" s="105"/>
      <c r="D409" s="105"/>
      <c r="E409" s="105"/>
      <c r="F409" s="630" t="s">
        <v>464</v>
      </c>
      <c r="G409" s="630"/>
      <c r="H409" s="102">
        <v>96.91</v>
      </c>
    </row>
    <row r="410" spans="1:8">
      <c r="B410" s="105"/>
      <c r="C410" s="105"/>
      <c r="D410" s="105"/>
      <c r="E410" s="105"/>
      <c r="F410" s="634"/>
      <c r="G410" s="634"/>
      <c r="H410" s="634"/>
    </row>
    <row r="411" spans="1:8" s="220" customFormat="1" ht="27" customHeight="1">
      <c r="A411" s="178" t="str">
        <f>'3 - PLAN. ORÇAMENTÁRIA'!A79</f>
        <v>3.1.3.5</v>
      </c>
      <c r="B411" s="242">
        <f>VLOOKUP(A411,'3 - PLAN. ORÇAMENTÁRIA'!$A$16:$B$721,2,FALSE)</f>
        <v>96557</v>
      </c>
      <c r="C411" s="631" t="str">
        <f>VLOOKUP(A411,'3 - PLAN. ORÇAMENTÁRIA'!$A$16:$C$721,3,FALSE)</f>
        <v>CONCRETAGEM DE BLOCO DE COROAMENTO OU VIGA BALDRAME, FCK 30 MPA, COM USO DE BOMBA - LANÇAMENTO, ADENSAMENTO E ACABAMENTO. AF_01/2024</v>
      </c>
      <c r="D411" s="632"/>
      <c r="E411" s="632"/>
      <c r="F411" s="632"/>
      <c r="G411" s="633"/>
      <c r="H411" s="493" t="str">
        <f>VLOOKUP(A411,'3 - PLAN. ORÇAMENTÁRIA'!$A$17:$E$721,5,FALSE)</f>
        <v>M3</v>
      </c>
    </row>
    <row r="412" spans="1:8" ht="12.75" customHeight="1">
      <c r="B412" s="628" t="s">
        <v>1301</v>
      </c>
      <c r="C412" s="628"/>
      <c r="D412" s="103" t="s">
        <v>579</v>
      </c>
      <c r="E412" s="103" t="s">
        <v>580</v>
      </c>
      <c r="F412" s="103" t="s">
        <v>581</v>
      </c>
      <c r="G412" s="103" t="s">
        <v>582</v>
      </c>
      <c r="H412" s="103" t="s">
        <v>583</v>
      </c>
    </row>
    <row r="413" spans="1:8" ht="25.5">
      <c r="B413" s="130" t="s">
        <v>1401</v>
      </c>
      <c r="C413" s="229" t="s">
        <v>1402</v>
      </c>
      <c r="D413" s="130" t="s">
        <v>119</v>
      </c>
      <c r="E413" s="130" t="s">
        <v>1304</v>
      </c>
      <c r="F413" s="230">
        <v>7.4999999999999997E-2</v>
      </c>
      <c r="G413" s="494">
        <v>0.53</v>
      </c>
      <c r="H413" s="494">
        <v>0.04</v>
      </c>
    </row>
    <row r="414" spans="1:8" ht="25.5">
      <c r="B414" s="130" t="s">
        <v>1403</v>
      </c>
      <c r="C414" s="229" t="s">
        <v>1404</v>
      </c>
      <c r="D414" s="130" t="s">
        <v>119</v>
      </c>
      <c r="E414" s="130" t="s">
        <v>1307</v>
      </c>
      <c r="F414" s="230">
        <v>9.1999999999999998E-2</v>
      </c>
      <c r="G414" s="494">
        <v>1.23</v>
      </c>
      <c r="H414" s="494">
        <v>0.11</v>
      </c>
    </row>
    <row r="415" spans="1:8" ht="12.75" customHeight="1">
      <c r="B415" s="105"/>
      <c r="C415" s="105"/>
      <c r="D415" s="105"/>
      <c r="E415" s="105"/>
      <c r="F415" s="629" t="s">
        <v>1308</v>
      </c>
      <c r="G415" s="629"/>
      <c r="H415" s="495">
        <v>0.15</v>
      </c>
    </row>
    <row r="416" spans="1:8">
      <c r="B416" s="628" t="s">
        <v>593</v>
      </c>
      <c r="C416" s="628"/>
      <c r="D416" s="103" t="s">
        <v>579</v>
      </c>
      <c r="E416" s="103" t="s">
        <v>580</v>
      </c>
      <c r="F416" s="103" t="s">
        <v>581</v>
      </c>
      <c r="G416" s="103" t="s">
        <v>582</v>
      </c>
      <c r="H416" s="103" t="s">
        <v>583</v>
      </c>
    </row>
    <row r="417" spans="1:8" ht="25.5">
      <c r="B417" s="130" t="s">
        <v>1405</v>
      </c>
      <c r="C417" s="229" t="s">
        <v>1406</v>
      </c>
      <c r="D417" s="130" t="s">
        <v>119</v>
      </c>
      <c r="E417" s="130" t="s">
        <v>167</v>
      </c>
      <c r="F417" s="230">
        <v>1.23</v>
      </c>
      <c r="G417" s="494">
        <v>539.62</v>
      </c>
      <c r="H417" s="494">
        <v>663.73</v>
      </c>
    </row>
    <row r="418" spans="1:8">
      <c r="B418" s="105"/>
      <c r="C418" s="105"/>
      <c r="D418" s="105"/>
      <c r="E418" s="105"/>
      <c r="F418" s="629" t="s">
        <v>604</v>
      </c>
      <c r="G418" s="629"/>
      <c r="H418" s="495">
        <v>663.73</v>
      </c>
    </row>
    <row r="419" spans="1:8" ht="12.75" customHeight="1">
      <c r="B419" s="628" t="s">
        <v>607</v>
      </c>
      <c r="C419" s="628"/>
      <c r="D419" s="103" t="s">
        <v>579</v>
      </c>
      <c r="E419" s="103" t="s">
        <v>580</v>
      </c>
      <c r="F419" s="103" t="s">
        <v>581</v>
      </c>
      <c r="G419" s="103" t="s">
        <v>582</v>
      </c>
      <c r="H419" s="103" t="s">
        <v>583</v>
      </c>
    </row>
    <row r="420" spans="1:8">
      <c r="B420" s="130" t="s">
        <v>639</v>
      </c>
      <c r="C420" s="229" t="s">
        <v>640</v>
      </c>
      <c r="D420" s="130" t="s">
        <v>119</v>
      </c>
      <c r="E420" s="130" t="s">
        <v>121</v>
      </c>
      <c r="F420" s="230">
        <v>0.33400000000000002</v>
      </c>
      <c r="G420" s="494">
        <v>31.34</v>
      </c>
      <c r="H420" s="494">
        <v>10.47</v>
      </c>
    </row>
    <row r="421" spans="1:8">
      <c r="B421" s="130" t="s">
        <v>625</v>
      </c>
      <c r="C421" s="229" t="s">
        <v>626</v>
      </c>
      <c r="D421" s="130" t="s">
        <v>119</v>
      </c>
      <c r="E421" s="130" t="s">
        <v>121</v>
      </c>
      <c r="F421" s="230">
        <v>0.501</v>
      </c>
      <c r="G421" s="494">
        <v>23.75</v>
      </c>
      <c r="H421" s="494">
        <v>11.9</v>
      </c>
    </row>
    <row r="422" spans="1:8" ht="12.75" customHeight="1">
      <c r="B422" s="105"/>
      <c r="C422" s="105"/>
      <c r="D422" s="105"/>
      <c r="E422" s="105"/>
      <c r="F422" s="629" t="s">
        <v>610</v>
      </c>
      <c r="G422" s="629"/>
      <c r="H422" s="495">
        <v>22.37</v>
      </c>
    </row>
    <row r="423" spans="1:8" ht="12.75" customHeight="1">
      <c r="B423" s="105"/>
      <c r="C423" s="105"/>
      <c r="D423" s="105"/>
      <c r="E423" s="105"/>
      <c r="F423" s="630" t="s">
        <v>464</v>
      </c>
      <c r="G423" s="630"/>
      <c r="H423" s="102">
        <v>686.22</v>
      </c>
    </row>
    <row r="424" spans="1:8">
      <c r="B424" s="105"/>
      <c r="C424" s="105"/>
      <c r="D424" s="105"/>
      <c r="E424" s="105"/>
      <c r="F424" s="634"/>
      <c r="G424" s="634"/>
      <c r="H424" s="634"/>
    </row>
    <row r="425" spans="1:8" s="220" customFormat="1" ht="27" customHeight="1">
      <c r="A425" s="178" t="str">
        <f>'3 - PLAN. ORÇAMENTÁRIA'!A80</f>
        <v>3.1.3.6</v>
      </c>
      <c r="B425" s="242">
        <f>VLOOKUP(A425,'3 - PLAN. ORÇAMENTÁRIA'!$A$16:$B$721,2,FALSE)</f>
        <v>93382</v>
      </c>
      <c r="C425" s="631" t="str">
        <f>VLOOKUP(A425,'3 - PLAN. ORÇAMENTÁRIA'!$A$16:$C$721,3,FALSE)</f>
        <v>REATERRO MANUAL DE VALAS, COM COMPACTADOR DE SOLOS DE PERCUSSÃO. AF_08/2023</v>
      </c>
      <c r="D425" s="632"/>
      <c r="E425" s="632"/>
      <c r="F425" s="632"/>
      <c r="G425" s="633"/>
      <c r="H425" s="493" t="str">
        <f>VLOOKUP(A425,'3 - PLAN. ORÇAMENTÁRIA'!$A$17:$E$721,5,FALSE)</f>
        <v>M3</v>
      </c>
    </row>
    <row r="426" spans="1:8" ht="12.75" customHeight="1">
      <c r="B426" s="628" t="s">
        <v>1301</v>
      </c>
      <c r="C426" s="628"/>
      <c r="D426" s="103" t="s">
        <v>579</v>
      </c>
      <c r="E426" s="103" t="s">
        <v>580</v>
      </c>
      <c r="F426" s="103" t="s">
        <v>581</v>
      </c>
      <c r="G426" s="103" t="s">
        <v>582</v>
      </c>
      <c r="H426" s="103" t="s">
        <v>583</v>
      </c>
    </row>
    <row r="427" spans="1:8" ht="38.25">
      <c r="B427" s="130" t="s">
        <v>1350</v>
      </c>
      <c r="C427" s="229" t="s">
        <v>1351</v>
      </c>
      <c r="D427" s="130" t="s">
        <v>119</v>
      </c>
      <c r="E427" s="130" t="s">
        <v>1304</v>
      </c>
      <c r="F427" s="230">
        <v>5.9999999999999995E-4</v>
      </c>
      <c r="G427" s="494">
        <v>75.08</v>
      </c>
      <c r="H427" s="494">
        <v>0.05</v>
      </c>
    </row>
    <row r="428" spans="1:8" ht="38.25">
      <c r="B428" s="130" t="s">
        <v>1352</v>
      </c>
      <c r="C428" s="229" t="s">
        <v>1353</v>
      </c>
      <c r="D428" s="130" t="s">
        <v>119</v>
      </c>
      <c r="E428" s="130" t="s">
        <v>1307</v>
      </c>
      <c r="F428" s="230">
        <v>5.4000000000000003E-3</v>
      </c>
      <c r="G428" s="494">
        <v>317.85000000000002</v>
      </c>
      <c r="H428" s="494">
        <v>1.72</v>
      </c>
    </row>
    <row r="429" spans="1:8" ht="25.5">
      <c r="B429" s="130" t="s">
        <v>1387</v>
      </c>
      <c r="C429" s="229" t="s">
        <v>1388</v>
      </c>
      <c r="D429" s="130" t="s">
        <v>119</v>
      </c>
      <c r="E429" s="130" t="s">
        <v>1307</v>
      </c>
      <c r="F429" s="230">
        <v>0.19620000000000001</v>
      </c>
      <c r="G429" s="494">
        <v>34.299999999999997</v>
      </c>
      <c r="H429" s="494">
        <v>6.73</v>
      </c>
    </row>
    <row r="430" spans="1:8" ht="12.75" customHeight="1">
      <c r="B430" s="105"/>
      <c r="C430" s="105"/>
      <c r="D430" s="105"/>
      <c r="E430" s="105"/>
      <c r="F430" s="629" t="s">
        <v>1308</v>
      </c>
      <c r="G430" s="629"/>
      <c r="H430" s="495">
        <v>8.5</v>
      </c>
    </row>
    <row r="431" spans="1:8" ht="12.75" customHeight="1">
      <c r="B431" s="628" t="s">
        <v>607</v>
      </c>
      <c r="C431" s="628"/>
      <c r="D431" s="103" t="s">
        <v>579</v>
      </c>
      <c r="E431" s="103" t="s">
        <v>580</v>
      </c>
      <c r="F431" s="103" t="s">
        <v>581</v>
      </c>
      <c r="G431" s="103" t="s">
        <v>582</v>
      </c>
      <c r="H431" s="103" t="s">
        <v>583</v>
      </c>
    </row>
    <row r="432" spans="1:8">
      <c r="B432" s="130" t="s">
        <v>625</v>
      </c>
      <c r="C432" s="229" t="s">
        <v>626</v>
      </c>
      <c r="D432" s="130" t="s">
        <v>119</v>
      </c>
      <c r="E432" s="130" t="s">
        <v>121</v>
      </c>
      <c r="F432" s="230">
        <v>0.78659999999999997</v>
      </c>
      <c r="G432" s="494">
        <v>23.75</v>
      </c>
      <c r="H432" s="494">
        <v>18.68</v>
      </c>
    </row>
    <row r="433" spans="1:8" ht="12.75" customHeight="1">
      <c r="B433" s="105"/>
      <c r="C433" s="105"/>
      <c r="D433" s="105"/>
      <c r="E433" s="105"/>
      <c r="F433" s="629" t="s">
        <v>610</v>
      </c>
      <c r="G433" s="629"/>
      <c r="H433" s="495">
        <v>18.68</v>
      </c>
    </row>
    <row r="434" spans="1:8" ht="12.75" customHeight="1">
      <c r="B434" s="105"/>
      <c r="C434" s="105"/>
      <c r="D434" s="105"/>
      <c r="E434" s="105"/>
      <c r="F434" s="630" t="s">
        <v>464</v>
      </c>
      <c r="G434" s="630"/>
      <c r="H434" s="102">
        <v>27.15</v>
      </c>
    </row>
    <row r="435" spans="1:8">
      <c r="B435" s="105"/>
      <c r="C435" s="105"/>
      <c r="D435" s="105"/>
      <c r="E435" s="105"/>
      <c r="F435" s="634"/>
      <c r="G435" s="634"/>
      <c r="H435" s="634"/>
    </row>
    <row r="436" spans="1:8" s="220" customFormat="1" ht="27" customHeight="1">
      <c r="A436" s="178" t="str">
        <f>'3 - PLAN. ORÇAMENTÁRIA'!A82</f>
        <v>3.1.4.1</v>
      </c>
      <c r="B436" s="242">
        <f>VLOOKUP(A436,'3 - PLAN. ORÇAMENTÁRIA'!$A$16:$B$721,2,FALSE)</f>
        <v>96543</v>
      </c>
      <c r="C436" s="631" t="str">
        <f>VLOOKUP(A436,'3 - PLAN. ORÇAMENTÁRIA'!$A$16:$C$721,3,FALSE)</f>
        <v>ARMAÇÃO DE BLOCO E VIGA BALDRAME UTILIZANDO AÇO CA-60 DE 5 MM - MONTAGEM. AF_01/2024</v>
      </c>
      <c r="D436" s="632"/>
      <c r="E436" s="632"/>
      <c r="F436" s="632"/>
      <c r="G436" s="633"/>
      <c r="H436" s="131" t="str">
        <f>VLOOKUP(A436,'3 - PLAN. ORÇAMENTÁRIA'!$A$17:$E$721,5,FALSE)</f>
        <v>KG</v>
      </c>
    </row>
    <row r="437" spans="1:8">
      <c r="B437" s="628" t="s">
        <v>593</v>
      </c>
      <c r="C437" s="628"/>
      <c r="D437" s="103" t="s">
        <v>579</v>
      </c>
      <c r="E437" s="103" t="s">
        <v>580</v>
      </c>
      <c r="F437" s="103" t="s">
        <v>581</v>
      </c>
      <c r="G437" s="103" t="s">
        <v>582</v>
      </c>
      <c r="H437" s="103" t="s">
        <v>583</v>
      </c>
    </row>
    <row r="438" spans="1:8">
      <c r="B438" s="130" t="s">
        <v>635</v>
      </c>
      <c r="C438" s="229" t="s">
        <v>636</v>
      </c>
      <c r="D438" s="130" t="s">
        <v>119</v>
      </c>
      <c r="E438" s="130" t="s">
        <v>200</v>
      </c>
      <c r="F438" s="230">
        <v>2.5000000000000001E-2</v>
      </c>
      <c r="G438" s="494">
        <v>19.38</v>
      </c>
      <c r="H438" s="494">
        <v>0.48</v>
      </c>
    </row>
    <row r="439" spans="1:8" ht="25.5">
      <c r="B439" s="130" t="s">
        <v>1373</v>
      </c>
      <c r="C439" s="229" t="s">
        <v>1374</v>
      </c>
      <c r="D439" s="130" t="s">
        <v>119</v>
      </c>
      <c r="E439" s="130" t="s">
        <v>144</v>
      </c>
      <c r="F439" s="230">
        <v>1.143</v>
      </c>
      <c r="G439" s="494">
        <v>0.22</v>
      </c>
      <c r="H439" s="494">
        <v>0.25</v>
      </c>
    </row>
    <row r="440" spans="1:8">
      <c r="B440" s="105"/>
      <c r="C440" s="105"/>
      <c r="D440" s="105"/>
      <c r="E440" s="105"/>
      <c r="F440" s="629" t="s">
        <v>604</v>
      </c>
      <c r="G440" s="629"/>
      <c r="H440" s="495">
        <v>0.73</v>
      </c>
    </row>
    <row r="441" spans="1:8" ht="12.75" customHeight="1">
      <c r="B441" s="628" t="s">
        <v>607</v>
      </c>
      <c r="C441" s="628"/>
      <c r="D441" s="103" t="s">
        <v>579</v>
      </c>
      <c r="E441" s="103" t="s">
        <v>580</v>
      </c>
      <c r="F441" s="103" t="s">
        <v>581</v>
      </c>
      <c r="G441" s="103" t="s">
        <v>582</v>
      </c>
      <c r="H441" s="103" t="s">
        <v>583</v>
      </c>
    </row>
    <row r="442" spans="1:8">
      <c r="B442" s="130" t="s">
        <v>1375</v>
      </c>
      <c r="C442" s="229" t="s">
        <v>637</v>
      </c>
      <c r="D442" s="130" t="s">
        <v>119</v>
      </c>
      <c r="E442" s="130" t="s">
        <v>121</v>
      </c>
      <c r="F442" s="230">
        <v>9.7000000000000003E-2</v>
      </c>
      <c r="G442" s="494">
        <v>24.57</v>
      </c>
      <c r="H442" s="494">
        <v>2.38</v>
      </c>
    </row>
    <row r="443" spans="1:8">
      <c r="B443" s="130" t="s">
        <v>1376</v>
      </c>
      <c r="C443" s="229" t="s">
        <v>638</v>
      </c>
      <c r="D443" s="130" t="s">
        <v>119</v>
      </c>
      <c r="E443" s="130" t="s">
        <v>121</v>
      </c>
      <c r="F443" s="230">
        <v>0.252</v>
      </c>
      <c r="G443" s="494">
        <v>31.13</v>
      </c>
      <c r="H443" s="494">
        <v>7.84</v>
      </c>
    </row>
    <row r="444" spans="1:8" ht="12.75" customHeight="1">
      <c r="B444" s="105"/>
      <c r="C444" s="105"/>
      <c r="D444" s="105"/>
      <c r="E444" s="105"/>
      <c r="F444" s="629" t="s">
        <v>610</v>
      </c>
      <c r="G444" s="629"/>
      <c r="H444" s="495">
        <v>10.220000000000001</v>
      </c>
    </row>
    <row r="445" spans="1:8">
      <c r="B445" s="628" t="s">
        <v>586</v>
      </c>
      <c r="C445" s="628"/>
      <c r="D445" s="103" t="s">
        <v>579</v>
      </c>
      <c r="E445" s="103" t="s">
        <v>580</v>
      </c>
      <c r="F445" s="103" t="s">
        <v>581</v>
      </c>
      <c r="G445" s="103" t="s">
        <v>582</v>
      </c>
      <c r="H445" s="103" t="s">
        <v>583</v>
      </c>
    </row>
    <row r="446" spans="1:8">
      <c r="B446" s="130" t="s">
        <v>1414</v>
      </c>
      <c r="C446" s="229" t="s">
        <v>1415</v>
      </c>
      <c r="D446" s="130" t="s">
        <v>119</v>
      </c>
      <c r="E446" s="130" t="s">
        <v>200</v>
      </c>
      <c r="F446" s="230">
        <v>1</v>
      </c>
      <c r="G446" s="494">
        <v>10.85</v>
      </c>
      <c r="H446" s="494">
        <v>10.85</v>
      </c>
    </row>
    <row r="447" spans="1:8">
      <c r="B447" s="105"/>
      <c r="C447" s="105"/>
      <c r="D447" s="105"/>
      <c r="E447" s="105"/>
      <c r="F447" s="629" t="s">
        <v>587</v>
      </c>
      <c r="G447" s="629"/>
      <c r="H447" s="495">
        <v>10.85</v>
      </c>
    </row>
    <row r="448" spans="1:8" ht="12.75" customHeight="1">
      <c r="B448" s="105"/>
      <c r="C448" s="105"/>
      <c r="D448" s="105"/>
      <c r="E448" s="105"/>
      <c r="F448" s="630" t="s">
        <v>464</v>
      </c>
      <c r="G448" s="630"/>
      <c r="H448" s="102">
        <v>21.8</v>
      </c>
    </row>
    <row r="449" spans="1:8">
      <c r="B449" s="105"/>
      <c r="C449" s="105"/>
      <c r="D449" s="105"/>
      <c r="E449" s="105"/>
      <c r="F449" s="634"/>
      <c r="G449" s="634"/>
      <c r="H449" s="634"/>
    </row>
    <row r="450" spans="1:8" s="220" customFormat="1" ht="27" customHeight="1">
      <c r="A450" s="178" t="str">
        <f>'3 - PLAN. ORÇAMENTÁRIA'!A83</f>
        <v>3.1.4.2</v>
      </c>
      <c r="B450" s="242">
        <f>VLOOKUP(A450,'3 - PLAN. ORÇAMENTÁRIA'!$A$16:$B$721,2,FALSE)</f>
        <v>96544</v>
      </c>
      <c r="C450" s="631" t="str">
        <f>VLOOKUP(A450,'3 - PLAN. ORÇAMENTÁRIA'!$A$16:$C$721,3,FALSE)</f>
        <v>ARMAÇÃO DE BLOCO E VIGA BALDRAME UTILIZANDO AÇO CA-50 DE 6,3 MM - MONTAGEM. AF_01/2024</v>
      </c>
      <c r="D450" s="632"/>
      <c r="E450" s="632"/>
      <c r="F450" s="632"/>
      <c r="G450" s="633"/>
      <c r="H450" s="493" t="str">
        <f>VLOOKUP(A450,'3 - PLAN. ORÇAMENTÁRIA'!$A$17:$E$721,5,FALSE)</f>
        <v>KG</v>
      </c>
    </row>
    <row r="451" spans="1:8">
      <c r="B451" s="628" t="s">
        <v>593</v>
      </c>
      <c r="C451" s="628"/>
      <c r="D451" s="103" t="s">
        <v>579</v>
      </c>
      <c r="E451" s="103" t="s">
        <v>580</v>
      </c>
      <c r="F451" s="103" t="s">
        <v>581</v>
      </c>
      <c r="G451" s="103" t="s">
        <v>582</v>
      </c>
      <c r="H451" s="103" t="s">
        <v>583</v>
      </c>
    </row>
    <row r="452" spans="1:8">
      <c r="B452" s="130" t="s">
        <v>635</v>
      </c>
      <c r="C452" s="229" t="s">
        <v>636</v>
      </c>
      <c r="D452" s="130" t="s">
        <v>119</v>
      </c>
      <c r="E452" s="130" t="s">
        <v>200</v>
      </c>
      <c r="F452" s="230">
        <v>2.5000000000000001E-2</v>
      </c>
      <c r="G452" s="494">
        <v>19.38</v>
      </c>
      <c r="H452" s="494">
        <v>0.48</v>
      </c>
    </row>
    <row r="453" spans="1:8" ht="25.5">
      <c r="B453" s="130" t="s">
        <v>1373</v>
      </c>
      <c r="C453" s="229" t="s">
        <v>1374</v>
      </c>
      <c r="D453" s="130" t="s">
        <v>119</v>
      </c>
      <c r="E453" s="130" t="s">
        <v>144</v>
      </c>
      <c r="F453" s="230">
        <v>0.85599999999999998</v>
      </c>
      <c r="G453" s="494">
        <v>0.22</v>
      </c>
      <c r="H453" s="494">
        <v>0.19</v>
      </c>
    </row>
    <row r="454" spans="1:8">
      <c r="B454" s="105"/>
      <c r="C454" s="105"/>
      <c r="D454" s="105"/>
      <c r="E454" s="105"/>
      <c r="F454" s="629" t="s">
        <v>604</v>
      </c>
      <c r="G454" s="629"/>
      <c r="H454" s="495">
        <v>0.67</v>
      </c>
    </row>
    <row r="455" spans="1:8" ht="12.75" customHeight="1">
      <c r="B455" s="628" t="s">
        <v>607</v>
      </c>
      <c r="C455" s="628"/>
      <c r="D455" s="103" t="s">
        <v>579</v>
      </c>
      <c r="E455" s="103" t="s">
        <v>580</v>
      </c>
      <c r="F455" s="103" t="s">
        <v>581</v>
      </c>
      <c r="G455" s="103" t="s">
        <v>582</v>
      </c>
      <c r="H455" s="103" t="s">
        <v>583</v>
      </c>
    </row>
    <row r="456" spans="1:8">
      <c r="B456" s="130" t="s">
        <v>1375</v>
      </c>
      <c r="C456" s="229" t="s">
        <v>637</v>
      </c>
      <c r="D456" s="130" t="s">
        <v>119</v>
      </c>
      <c r="E456" s="130" t="s">
        <v>121</v>
      </c>
      <c r="F456" s="230">
        <v>7.4999999999999997E-2</v>
      </c>
      <c r="G456" s="494">
        <v>24.57</v>
      </c>
      <c r="H456" s="494">
        <v>1.84</v>
      </c>
    </row>
    <row r="457" spans="1:8">
      <c r="B457" s="130" t="s">
        <v>1376</v>
      </c>
      <c r="C457" s="229" t="s">
        <v>638</v>
      </c>
      <c r="D457" s="130" t="s">
        <v>119</v>
      </c>
      <c r="E457" s="130" t="s">
        <v>121</v>
      </c>
      <c r="F457" s="230">
        <v>0.19600000000000001</v>
      </c>
      <c r="G457" s="494">
        <v>31.13</v>
      </c>
      <c r="H457" s="494">
        <v>6.1</v>
      </c>
    </row>
    <row r="458" spans="1:8" ht="12.75" customHeight="1">
      <c r="B458" s="105"/>
      <c r="C458" s="105"/>
      <c r="D458" s="105"/>
      <c r="E458" s="105"/>
      <c r="F458" s="629" t="s">
        <v>610</v>
      </c>
      <c r="G458" s="629"/>
      <c r="H458" s="495">
        <v>7.94</v>
      </c>
    </row>
    <row r="459" spans="1:8">
      <c r="B459" s="628" t="s">
        <v>586</v>
      </c>
      <c r="C459" s="628"/>
      <c r="D459" s="103" t="s">
        <v>579</v>
      </c>
      <c r="E459" s="103" t="s">
        <v>580</v>
      </c>
      <c r="F459" s="103" t="s">
        <v>581</v>
      </c>
      <c r="G459" s="103" t="s">
        <v>582</v>
      </c>
      <c r="H459" s="103" t="s">
        <v>583</v>
      </c>
    </row>
    <row r="460" spans="1:8">
      <c r="B460" s="130" t="s">
        <v>1377</v>
      </c>
      <c r="C460" s="229" t="s">
        <v>1378</v>
      </c>
      <c r="D460" s="130" t="s">
        <v>119</v>
      </c>
      <c r="E460" s="130" t="s">
        <v>200</v>
      </c>
      <c r="F460" s="230">
        <v>1</v>
      </c>
      <c r="G460" s="494">
        <v>10.91</v>
      </c>
      <c r="H460" s="494">
        <v>10.91</v>
      </c>
    </row>
    <row r="461" spans="1:8">
      <c r="B461" s="105"/>
      <c r="C461" s="105"/>
      <c r="D461" s="105"/>
      <c r="E461" s="105"/>
      <c r="F461" s="629" t="s">
        <v>587</v>
      </c>
      <c r="G461" s="629"/>
      <c r="H461" s="495">
        <v>10.91</v>
      </c>
    </row>
    <row r="462" spans="1:8" ht="12.75" customHeight="1">
      <c r="B462" s="105"/>
      <c r="C462" s="105"/>
      <c r="D462" s="105"/>
      <c r="E462" s="105"/>
      <c r="F462" s="630" t="s">
        <v>464</v>
      </c>
      <c r="G462" s="630"/>
      <c r="H462" s="102">
        <v>19.510000000000002</v>
      </c>
    </row>
    <row r="463" spans="1:8">
      <c r="B463" s="105"/>
      <c r="C463" s="105"/>
      <c r="D463" s="105"/>
      <c r="E463" s="105"/>
      <c r="F463" s="634"/>
      <c r="G463" s="634"/>
      <c r="H463" s="634"/>
    </row>
    <row r="464" spans="1:8" s="220" customFormat="1" ht="27" customHeight="1">
      <c r="A464" s="178" t="str">
        <f>'3 - PLAN. ORÇAMENTÁRIA'!A84</f>
        <v>3.1.4.3</v>
      </c>
      <c r="B464" s="242">
        <f>VLOOKUP(A464,'3 - PLAN. ORÇAMENTÁRIA'!$A$16:$B$721,2,FALSE)</f>
        <v>96545</v>
      </c>
      <c r="C464" s="631" t="str">
        <f>VLOOKUP(A464,'3 - PLAN. ORÇAMENTÁRIA'!$A$16:$C$721,3,FALSE)</f>
        <v>ARMAÇÃO DE BLOCO E VIGA BALDRAME UTILIZANDO AÇO CA-50 DE 8 MM - MONTAGEM. AF_01/2024</v>
      </c>
      <c r="D464" s="632"/>
      <c r="E464" s="632"/>
      <c r="F464" s="632"/>
      <c r="G464" s="633"/>
      <c r="H464" s="493" t="str">
        <f>VLOOKUP(A464,'3 - PLAN. ORÇAMENTÁRIA'!$A$17:$E$721,5,FALSE)</f>
        <v>KG</v>
      </c>
    </row>
    <row r="465" spans="1:8">
      <c r="B465" s="628" t="s">
        <v>593</v>
      </c>
      <c r="C465" s="628"/>
      <c r="D465" s="103" t="s">
        <v>579</v>
      </c>
      <c r="E465" s="103" t="s">
        <v>580</v>
      </c>
      <c r="F465" s="103" t="s">
        <v>581</v>
      </c>
      <c r="G465" s="103" t="s">
        <v>582</v>
      </c>
      <c r="H465" s="103" t="s">
        <v>583</v>
      </c>
    </row>
    <row r="466" spans="1:8">
      <c r="B466" s="130" t="s">
        <v>635</v>
      </c>
      <c r="C466" s="229" t="s">
        <v>636</v>
      </c>
      <c r="D466" s="130" t="s">
        <v>119</v>
      </c>
      <c r="E466" s="130" t="s">
        <v>200</v>
      </c>
      <c r="F466" s="230">
        <v>2.5000000000000001E-2</v>
      </c>
      <c r="G466" s="494">
        <v>19.38</v>
      </c>
      <c r="H466" s="494">
        <v>0.48</v>
      </c>
    </row>
    <row r="467" spans="1:8" ht="25.5">
      <c r="B467" s="130" t="s">
        <v>1373</v>
      </c>
      <c r="C467" s="229" t="s">
        <v>1374</v>
      </c>
      <c r="D467" s="130" t="s">
        <v>119</v>
      </c>
      <c r="E467" s="130" t="s">
        <v>144</v>
      </c>
      <c r="F467" s="230">
        <v>0.63500000000000001</v>
      </c>
      <c r="G467" s="494">
        <v>0.22</v>
      </c>
      <c r="H467" s="494">
        <v>0.14000000000000001</v>
      </c>
    </row>
    <row r="468" spans="1:8">
      <c r="B468" s="105"/>
      <c r="C468" s="105"/>
      <c r="D468" s="105"/>
      <c r="E468" s="105"/>
      <c r="F468" s="629" t="s">
        <v>604</v>
      </c>
      <c r="G468" s="629"/>
      <c r="H468" s="495">
        <v>0.62</v>
      </c>
    </row>
    <row r="469" spans="1:8" ht="12.75" customHeight="1">
      <c r="B469" s="628" t="s">
        <v>607</v>
      </c>
      <c r="C469" s="628"/>
      <c r="D469" s="103" t="s">
        <v>579</v>
      </c>
      <c r="E469" s="103" t="s">
        <v>580</v>
      </c>
      <c r="F469" s="103" t="s">
        <v>581</v>
      </c>
      <c r="G469" s="103" t="s">
        <v>582</v>
      </c>
      <c r="H469" s="103" t="s">
        <v>583</v>
      </c>
    </row>
    <row r="470" spans="1:8">
      <c r="B470" s="130" t="s">
        <v>1375</v>
      </c>
      <c r="C470" s="229" t="s">
        <v>637</v>
      </c>
      <c r="D470" s="130" t="s">
        <v>119</v>
      </c>
      <c r="E470" s="130" t="s">
        <v>121</v>
      </c>
      <c r="F470" s="230">
        <v>5.7000000000000002E-2</v>
      </c>
      <c r="G470" s="494">
        <v>24.57</v>
      </c>
      <c r="H470" s="494">
        <v>1.4</v>
      </c>
    </row>
    <row r="471" spans="1:8">
      <c r="B471" s="130" t="s">
        <v>1376</v>
      </c>
      <c r="C471" s="229" t="s">
        <v>638</v>
      </c>
      <c r="D471" s="130" t="s">
        <v>119</v>
      </c>
      <c r="E471" s="130" t="s">
        <v>121</v>
      </c>
      <c r="F471" s="230">
        <v>0.15</v>
      </c>
      <c r="G471" s="494">
        <v>31.13</v>
      </c>
      <c r="H471" s="494">
        <v>4.67</v>
      </c>
    </row>
    <row r="472" spans="1:8" ht="12.75" customHeight="1">
      <c r="B472" s="105"/>
      <c r="C472" s="105"/>
      <c r="D472" s="105"/>
      <c r="E472" s="105"/>
      <c r="F472" s="629" t="s">
        <v>610</v>
      </c>
      <c r="G472" s="629"/>
      <c r="H472" s="495">
        <v>6.07</v>
      </c>
    </row>
    <row r="473" spans="1:8">
      <c r="B473" s="628" t="s">
        <v>586</v>
      </c>
      <c r="C473" s="628"/>
      <c r="D473" s="103" t="s">
        <v>579</v>
      </c>
      <c r="E473" s="103" t="s">
        <v>580</v>
      </c>
      <c r="F473" s="103" t="s">
        <v>581</v>
      </c>
      <c r="G473" s="103" t="s">
        <v>582</v>
      </c>
      <c r="H473" s="103" t="s">
        <v>583</v>
      </c>
    </row>
    <row r="474" spans="1:8">
      <c r="B474" s="130" t="s">
        <v>1416</v>
      </c>
      <c r="C474" s="229" t="s">
        <v>1417</v>
      </c>
      <c r="D474" s="130" t="s">
        <v>119</v>
      </c>
      <c r="E474" s="130" t="s">
        <v>200</v>
      </c>
      <c r="F474" s="230">
        <v>1</v>
      </c>
      <c r="G474" s="494">
        <v>10.82</v>
      </c>
      <c r="H474" s="494">
        <v>10.82</v>
      </c>
    </row>
    <row r="475" spans="1:8">
      <c r="B475" s="105"/>
      <c r="C475" s="105"/>
      <c r="D475" s="105"/>
      <c r="E475" s="105"/>
      <c r="F475" s="629" t="s">
        <v>587</v>
      </c>
      <c r="G475" s="629"/>
      <c r="H475" s="495">
        <v>10.82</v>
      </c>
    </row>
    <row r="476" spans="1:8" ht="12.75" customHeight="1">
      <c r="B476" s="105"/>
      <c r="C476" s="105"/>
      <c r="D476" s="105"/>
      <c r="E476" s="105"/>
      <c r="F476" s="630" t="s">
        <v>464</v>
      </c>
      <c r="G476" s="630"/>
      <c r="H476" s="102">
        <v>17.489999999999998</v>
      </c>
    </row>
    <row r="477" spans="1:8">
      <c r="B477" s="105"/>
      <c r="C477" s="105"/>
      <c r="D477" s="105"/>
      <c r="E477" s="105"/>
      <c r="F477" s="634"/>
      <c r="G477" s="634"/>
      <c r="H477" s="634"/>
    </row>
    <row r="478" spans="1:8" s="220" customFormat="1" ht="27" customHeight="1">
      <c r="A478" s="178" t="str">
        <f>'3 - PLAN. ORÇAMENTÁRIA'!A85</f>
        <v>3.1.4.4</v>
      </c>
      <c r="B478" s="242">
        <f>VLOOKUP(A478,'3 - PLAN. ORÇAMENTÁRIA'!$A$16:$B$721,2,FALSE)</f>
        <v>96546</v>
      </c>
      <c r="C478" s="631" t="str">
        <f>VLOOKUP(A478,'3 - PLAN. ORÇAMENTÁRIA'!$A$16:$C$721,3,FALSE)</f>
        <v>ARMAÇÃO DE BLOCO E VIGA BALDRAME UTILIZANDO AÇO CA-50 DE 10 MM - MONTAGEM. AF_01/2024</v>
      </c>
      <c r="D478" s="632"/>
      <c r="E478" s="632"/>
      <c r="F478" s="632"/>
      <c r="G478" s="633"/>
      <c r="H478" s="493" t="str">
        <f>VLOOKUP(A478,'3 - PLAN. ORÇAMENTÁRIA'!$A$17:$E$721,5,FALSE)</f>
        <v>KG</v>
      </c>
    </row>
    <row r="479" spans="1:8">
      <c r="B479" s="628" t="s">
        <v>593</v>
      </c>
      <c r="C479" s="628"/>
      <c r="D479" s="103" t="s">
        <v>579</v>
      </c>
      <c r="E479" s="103" t="s">
        <v>580</v>
      </c>
      <c r="F479" s="103" t="s">
        <v>581</v>
      </c>
      <c r="G479" s="103" t="s">
        <v>582</v>
      </c>
      <c r="H479" s="103" t="s">
        <v>583</v>
      </c>
    </row>
    <row r="480" spans="1:8">
      <c r="B480" s="130" t="s">
        <v>635</v>
      </c>
      <c r="C480" s="229" t="s">
        <v>636</v>
      </c>
      <c r="D480" s="130" t="s">
        <v>119</v>
      </c>
      <c r="E480" s="130" t="s">
        <v>200</v>
      </c>
      <c r="F480" s="230">
        <v>2.5000000000000001E-2</v>
      </c>
      <c r="G480" s="494">
        <v>19.38</v>
      </c>
      <c r="H480" s="494">
        <v>0.48</v>
      </c>
    </row>
    <row r="481" spans="1:8" ht="25.5">
      <c r="B481" s="130" t="s">
        <v>1373</v>
      </c>
      <c r="C481" s="229" t="s">
        <v>1374</v>
      </c>
      <c r="D481" s="130" t="s">
        <v>119</v>
      </c>
      <c r="E481" s="130" t="s">
        <v>144</v>
      </c>
      <c r="F481" s="230">
        <v>0.48</v>
      </c>
      <c r="G481" s="494">
        <v>0.22</v>
      </c>
      <c r="H481" s="494">
        <v>0.11</v>
      </c>
    </row>
    <row r="482" spans="1:8">
      <c r="B482" s="105"/>
      <c r="C482" s="105"/>
      <c r="D482" s="105"/>
      <c r="E482" s="105"/>
      <c r="F482" s="629" t="s">
        <v>604</v>
      </c>
      <c r="G482" s="629"/>
      <c r="H482" s="495">
        <v>0.59</v>
      </c>
    </row>
    <row r="483" spans="1:8" ht="12.75" customHeight="1">
      <c r="B483" s="628" t="s">
        <v>607</v>
      </c>
      <c r="C483" s="628"/>
      <c r="D483" s="103" t="s">
        <v>579</v>
      </c>
      <c r="E483" s="103" t="s">
        <v>580</v>
      </c>
      <c r="F483" s="103" t="s">
        <v>581</v>
      </c>
      <c r="G483" s="103" t="s">
        <v>582</v>
      </c>
      <c r="H483" s="103" t="s">
        <v>583</v>
      </c>
    </row>
    <row r="484" spans="1:8">
      <c r="B484" s="130" t="s">
        <v>1375</v>
      </c>
      <c r="C484" s="229" t="s">
        <v>637</v>
      </c>
      <c r="D484" s="130" t="s">
        <v>119</v>
      </c>
      <c r="E484" s="130" t="s">
        <v>121</v>
      </c>
      <c r="F484" s="230">
        <v>4.3999999999999997E-2</v>
      </c>
      <c r="G484" s="494">
        <v>24.57</v>
      </c>
      <c r="H484" s="494">
        <v>1.08</v>
      </c>
    </row>
    <row r="485" spans="1:8">
      <c r="B485" s="130" t="s">
        <v>1376</v>
      </c>
      <c r="C485" s="229" t="s">
        <v>638</v>
      </c>
      <c r="D485" s="130" t="s">
        <v>119</v>
      </c>
      <c r="E485" s="130" t="s">
        <v>121</v>
      </c>
      <c r="F485" s="230">
        <v>0.11600000000000001</v>
      </c>
      <c r="G485" s="494">
        <v>31.13</v>
      </c>
      <c r="H485" s="494">
        <v>3.61</v>
      </c>
    </row>
    <row r="486" spans="1:8" ht="12.75" customHeight="1">
      <c r="B486" s="105"/>
      <c r="C486" s="105"/>
      <c r="D486" s="105"/>
      <c r="E486" s="105"/>
      <c r="F486" s="629" t="s">
        <v>610</v>
      </c>
      <c r="G486" s="629"/>
      <c r="H486" s="495">
        <v>4.6900000000000004</v>
      </c>
    </row>
    <row r="487" spans="1:8">
      <c r="B487" s="628" t="s">
        <v>586</v>
      </c>
      <c r="C487" s="628"/>
      <c r="D487" s="103" t="s">
        <v>579</v>
      </c>
      <c r="E487" s="103" t="s">
        <v>580</v>
      </c>
      <c r="F487" s="103" t="s">
        <v>581</v>
      </c>
      <c r="G487" s="103" t="s">
        <v>582</v>
      </c>
      <c r="H487" s="103" t="s">
        <v>583</v>
      </c>
    </row>
    <row r="488" spans="1:8">
      <c r="B488" s="130" t="s">
        <v>1418</v>
      </c>
      <c r="C488" s="229" t="s">
        <v>1419</v>
      </c>
      <c r="D488" s="130" t="s">
        <v>119</v>
      </c>
      <c r="E488" s="130" t="s">
        <v>200</v>
      </c>
      <c r="F488" s="230">
        <v>1</v>
      </c>
      <c r="G488" s="494">
        <v>9.9600000000000009</v>
      </c>
      <c r="H488" s="494">
        <v>9.9600000000000009</v>
      </c>
    </row>
    <row r="489" spans="1:8">
      <c r="B489" s="105"/>
      <c r="C489" s="105"/>
      <c r="D489" s="105"/>
      <c r="E489" s="105"/>
      <c r="F489" s="629" t="s">
        <v>587</v>
      </c>
      <c r="G489" s="629"/>
      <c r="H489" s="495">
        <v>9.9600000000000009</v>
      </c>
    </row>
    <row r="490" spans="1:8" ht="12.75" customHeight="1">
      <c r="B490" s="105"/>
      <c r="C490" s="105"/>
      <c r="D490" s="105"/>
      <c r="E490" s="105"/>
      <c r="F490" s="630" t="s">
        <v>464</v>
      </c>
      <c r="G490" s="630"/>
      <c r="H490" s="102">
        <v>15.23</v>
      </c>
    </row>
    <row r="491" spans="1:8">
      <c r="B491" s="105"/>
      <c r="C491" s="105"/>
      <c r="D491" s="105"/>
      <c r="E491" s="105"/>
      <c r="F491" s="634"/>
      <c r="G491" s="634"/>
      <c r="H491" s="634"/>
    </row>
    <row r="492" spans="1:8" s="220" customFormat="1" ht="27" customHeight="1">
      <c r="A492" s="178" t="str">
        <f>'3 - PLAN. ORÇAMENTÁRIA'!A86</f>
        <v>3.1.4.5</v>
      </c>
      <c r="B492" s="242">
        <f>VLOOKUP(A492,'3 - PLAN. ORÇAMENTÁRIA'!$A$16:$B$721,2,FALSE)</f>
        <v>104920</v>
      </c>
      <c r="C492" s="631" t="str">
        <f>VLOOKUP(A492,'3 - PLAN. ORÇAMENTÁRIA'!$A$16:$C$721,3,FALSE)</f>
        <v>ARMAÇÃO DE BLOCO, SAPATA ISOLADA, VIGA BALDRAME E SAPATA CORRIDA UTILIZANDO AÇO CA-50 DE 12,5 MM - MONTAGEM. AF_01/2024</v>
      </c>
      <c r="D492" s="632"/>
      <c r="E492" s="632"/>
      <c r="F492" s="632"/>
      <c r="G492" s="633"/>
      <c r="H492" s="493" t="str">
        <f>VLOOKUP(A492,'3 - PLAN. ORÇAMENTÁRIA'!$A$17:$E$721,5,FALSE)</f>
        <v>KG</v>
      </c>
    </row>
    <row r="493" spans="1:8">
      <c r="B493" s="628" t="s">
        <v>593</v>
      </c>
      <c r="C493" s="628"/>
      <c r="D493" s="103" t="s">
        <v>579</v>
      </c>
      <c r="E493" s="103" t="s">
        <v>580</v>
      </c>
      <c r="F493" s="103" t="s">
        <v>581</v>
      </c>
      <c r="G493" s="103" t="s">
        <v>582</v>
      </c>
      <c r="H493" s="103" t="s">
        <v>583</v>
      </c>
    </row>
    <row r="494" spans="1:8">
      <c r="B494" s="130" t="s">
        <v>635</v>
      </c>
      <c r="C494" s="229" t="s">
        <v>636</v>
      </c>
      <c r="D494" s="130" t="s">
        <v>119</v>
      </c>
      <c r="E494" s="130" t="s">
        <v>200</v>
      </c>
      <c r="F494" s="230">
        <v>2.5000000000000001E-2</v>
      </c>
      <c r="G494" s="494">
        <v>19.38</v>
      </c>
      <c r="H494" s="494">
        <v>0.48</v>
      </c>
    </row>
    <row r="495" spans="1:8" ht="25.5">
      <c r="B495" s="130" t="s">
        <v>1373</v>
      </c>
      <c r="C495" s="229" t="s">
        <v>1374</v>
      </c>
      <c r="D495" s="130" t="s">
        <v>119</v>
      </c>
      <c r="E495" s="130" t="s">
        <v>144</v>
      </c>
      <c r="F495" s="230">
        <v>0.317</v>
      </c>
      <c r="G495" s="494">
        <v>0.22</v>
      </c>
      <c r="H495" s="494">
        <v>7.0000000000000007E-2</v>
      </c>
    </row>
    <row r="496" spans="1:8">
      <c r="B496" s="105"/>
      <c r="C496" s="105"/>
      <c r="D496" s="105"/>
      <c r="E496" s="105"/>
      <c r="F496" s="629" t="s">
        <v>604</v>
      </c>
      <c r="G496" s="629"/>
      <c r="H496" s="495">
        <v>0.55000000000000004</v>
      </c>
    </row>
    <row r="497" spans="1:8" ht="12.75" customHeight="1">
      <c r="B497" s="628" t="s">
        <v>607</v>
      </c>
      <c r="C497" s="628"/>
      <c r="D497" s="103" t="s">
        <v>579</v>
      </c>
      <c r="E497" s="103" t="s">
        <v>580</v>
      </c>
      <c r="F497" s="103" t="s">
        <v>581</v>
      </c>
      <c r="G497" s="103" t="s">
        <v>582</v>
      </c>
      <c r="H497" s="103" t="s">
        <v>583</v>
      </c>
    </row>
    <row r="498" spans="1:8">
      <c r="B498" s="130" t="s">
        <v>1375</v>
      </c>
      <c r="C498" s="229" t="s">
        <v>637</v>
      </c>
      <c r="D498" s="130" t="s">
        <v>119</v>
      </c>
      <c r="E498" s="130" t="s">
        <v>121</v>
      </c>
      <c r="F498" s="230">
        <v>2.5000000000000001E-2</v>
      </c>
      <c r="G498" s="494">
        <v>24.57</v>
      </c>
      <c r="H498" s="494">
        <v>0.61</v>
      </c>
    </row>
    <row r="499" spans="1:8">
      <c r="B499" s="130" t="s">
        <v>1376</v>
      </c>
      <c r="C499" s="229" t="s">
        <v>638</v>
      </c>
      <c r="D499" s="130" t="s">
        <v>119</v>
      </c>
      <c r="E499" s="130" t="s">
        <v>121</v>
      </c>
      <c r="F499" s="230">
        <v>6.4000000000000001E-2</v>
      </c>
      <c r="G499" s="494">
        <v>31.13</v>
      </c>
      <c r="H499" s="494">
        <v>1.99</v>
      </c>
    </row>
    <row r="500" spans="1:8" ht="12.75" customHeight="1">
      <c r="B500" s="105"/>
      <c r="C500" s="105"/>
      <c r="D500" s="105"/>
      <c r="E500" s="105"/>
      <c r="F500" s="629" t="s">
        <v>610</v>
      </c>
      <c r="G500" s="629"/>
      <c r="H500" s="495">
        <v>2.6</v>
      </c>
    </row>
    <row r="501" spans="1:8">
      <c r="B501" s="628" t="s">
        <v>586</v>
      </c>
      <c r="C501" s="628"/>
      <c r="D501" s="103" t="s">
        <v>579</v>
      </c>
      <c r="E501" s="103" t="s">
        <v>580</v>
      </c>
      <c r="F501" s="103" t="s">
        <v>581</v>
      </c>
      <c r="G501" s="103" t="s">
        <v>582</v>
      </c>
      <c r="H501" s="103" t="s">
        <v>583</v>
      </c>
    </row>
    <row r="502" spans="1:8">
      <c r="B502" s="130" t="s">
        <v>1379</v>
      </c>
      <c r="C502" s="229" t="s">
        <v>1380</v>
      </c>
      <c r="D502" s="130" t="s">
        <v>119</v>
      </c>
      <c r="E502" s="130" t="s">
        <v>200</v>
      </c>
      <c r="F502" s="230">
        <v>1</v>
      </c>
      <c r="G502" s="494">
        <v>8.5299999999999994</v>
      </c>
      <c r="H502" s="494">
        <v>8.5299999999999994</v>
      </c>
    </row>
    <row r="503" spans="1:8">
      <c r="B503" s="105"/>
      <c r="C503" s="105"/>
      <c r="D503" s="105"/>
      <c r="E503" s="105"/>
      <c r="F503" s="629" t="s">
        <v>587</v>
      </c>
      <c r="G503" s="629"/>
      <c r="H503" s="495">
        <v>8.5299999999999994</v>
      </c>
    </row>
    <row r="504" spans="1:8" ht="12.75" customHeight="1">
      <c r="B504" s="105"/>
      <c r="C504" s="105"/>
      <c r="D504" s="105"/>
      <c r="E504" s="105"/>
      <c r="F504" s="630" t="s">
        <v>464</v>
      </c>
      <c r="G504" s="630"/>
      <c r="H504" s="102">
        <v>11.67</v>
      </c>
    </row>
    <row r="505" spans="1:8">
      <c r="B505" s="105"/>
      <c r="C505" s="105"/>
      <c r="D505" s="105"/>
      <c r="E505" s="105"/>
      <c r="F505" s="634"/>
      <c r="G505" s="634"/>
      <c r="H505" s="634"/>
    </row>
    <row r="506" spans="1:8" s="220" customFormat="1" ht="27" customHeight="1">
      <c r="A506" s="178" t="str">
        <f>'3 - PLAN. ORÇAMENTÁRIA'!A87</f>
        <v>3.1.4.6</v>
      </c>
      <c r="B506" s="242">
        <f>VLOOKUP(A506,'3 - PLAN. ORÇAMENTÁRIA'!$A$16:$B$721,2,FALSE)</f>
        <v>104922</v>
      </c>
      <c r="C506" s="631" t="str">
        <f>VLOOKUP(A506,'3 - PLAN. ORÇAMENTÁRIA'!$A$16:$C$721,3,FALSE)</f>
        <v>ARMAÇÃO DE BLOCO, SAPATA ISOLADA, VIGA BALDRAME E SAPATA CORRIDA UTILIZANDO AÇO CA-50 DE 20 MM - MONTAGEM. AF_01/2024</v>
      </c>
      <c r="D506" s="632"/>
      <c r="E506" s="632"/>
      <c r="F506" s="632"/>
      <c r="G506" s="633"/>
      <c r="H506" s="493" t="str">
        <f>VLOOKUP(A506,'3 - PLAN. ORÇAMENTÁRIA'!$A$17:$E$721,5,FALSE)</f>
        <v>KG</v>
      </c>
    </row>
    <row r="507" spans="1:8">
      <c r="B507" s="628" t="s">
        <v>593</v>
      </c>
      <c r="C507" s="628"/>
      <c r="D507" s="103" t="s">
        <v>579</v>
      </c>
      <c r="E507" s="103" t="s">
        <v>580</v>
      </c>
      <c r="F507" s="103" t="s">
        <v>581</v>
      </c>
      <c r="G507" s="103" t="s">
        <v>582</v>
      </c>
      <c r="H507" s="103" t="s">
        <v>583</v>
      </c>
    </row>
    <row r="508" spans="1:8">
      <c r="B508" s="130" t="s">
        <v>635</v>
      </c>
      <c r="C508" s="229" t="s">
        <v>636</v>
      </c>
      <c r="D508" s="130" t="s">
        <v>119</v>
      </c>
      <c r="E508" s="130" t="s">
        <v>200</v>
      </c>
      <c r="F508" s="230">
        <v>2.5000000000000001E-2</v>
      </c>
      <c r="G508" s="494">
        <v>19.38</v>
      </c>
      <c r="H508" s="494">
        <v>0.48</v>
      </c>
    </row>
    <row r="509" spans="1:8" ht="25.5">
      <c r="B509" s="130" t="s">
        <v>1373</v>
      </c>
      <c r="C509" s="229" t="s">
        <v>1374</v>
      </c>
      <c r="D509" s="130" t="s">
        <v>119</v>
      </c>
      <c r="E509" s="130" t="s">
        <v>144</v>
      </c>
      <c r="F509" s="230">
        <v>0.19500000000000001</v>
      </c>
      <c r="G509" s="494">
        <v>0.22</v>
      </c>
      <c r="H509" s="494">
        <v>0.04</v>
      </c>
    </row>
    <row r="510" spans="1:8">
      <c r="B510" s="105"/>
      <c r="C510" s="105"/>
      <c r="D510" s="105"/>
      <c r="E510" s="105"/>
      <c r="F510" s="629" t="s">
        <v>604</v>
      </c>
      <c r="G510" s="629"/>
      <c r="H510" s="495">
        <v>0.52</v>
      </c>
    </row>
    <row r="511" spans="1:8" ht="12.75" customHeight="1">
      <c r="B511" s="628" t="s">
        <v>607</v>
      </c>
      <c r="C511" s="628"/>
      <c r="D511" s="103" t="s">
        <v>579</v>
      </c>
      <c r="E511" s="103" t="s">
        <v>580</v>
      </c>
      <c r="F511" s="103" t="s">
        <v>581</v>
      </c>
      <c r="G511" s="103" t="s">
        <v>582</v>
      </c>
      <c r="H511" s="103" t="s">
        <v>583</v>
      </c>
    </row>
    <row r="512" spans="1:8">
      <c r="B512" s="130" t="s">
        <v>1375</v>
      </c>
      <c r="C512" s="229" t="s">
        <v>637</v>
      </c>
      <c r="D512" s="130" t="s">
        <v>119</v>
      </c>
      <c r="E512" s="130" t="s">
        <v>121</v>
      </c>
      <c r="F512" s="230">
        <v>1.4999999999999999E-2</v>
      </c>
      <c r="G512" s="494">
        <v>24.57</v>
      </c>
      <c r="H512" s="494">
        <v>0.37</v>
      </c>
    </row>
    <row r="513" spans="1:8">
      <c r="B513" s="130" t="s">
        <v>1376</v>
      </c>
      <c r="C513" s="229" t="s">
        <v>638</v>
      </c>
      <c r="D513" s="130" t="s">
        <v>119</v>
      </c>
      <c r="E513" s="130" t="s">
        <v>121</v>
      </c>
      <c r="F513" s="230">
        <v>3.9E-2</v>
      </c>
      <c r="G513" s="494">
        <v>31.13</v>
      </c>
      <c r="H513" s="494">
        <v>1.21</v>
      </c>
    </row>
    <row r="514" spans="1:8" ht="12.75" customHeight="1">
      <c r="B514" s="105"/>
      <c r="C514" s="105"/>
      <c r="D514" s="105"/>
      <c r="E514" s="105"/>
      <c r="F514" s="629" t="s">
        <v>610</v>
      </c>
      <c r="G514" s="629"/>
      <c r="H514" s="495">
        <v>1.58</v>
      </c>
    </row>
    <row r="515" spans="1:8">
      <c r="B515" s="628" t="s">
        <v>586</v>
      </c>
      <c r="C515" s="628"/>
      <c r="D515" s="103" t="s">
        <v>579</v>
      </c>
      <c r="E515" s="103" t="s">
        <v>580</v>
      </c>
      <c r="F515" s="103" t="s">
        <v>581</v>
      </c>
      <c r="G515" s="103" t="s">
        <v>582</v>
      </c>
      <c r="H515" s="103" t="s">
        <v>583</v>
      </c>
    </row>
    <row r="516" spans="1:8">
      <c r="B516" s="130" t="s">
        <v>1446</v>
      </c>
      <c r="C516" s="229" t="s">
        <v>1447</v>
      </c>
      <c r="D516" s="130" t="s">
        <v>119</v>
      </c>
      <c r="E516" s="130" t="s">
        <v>200</v>
      </c>
      <c r="F516" s="230">
        <v>1</v>
      </c>
      <c r="G516" s="494">
        <v>9.9499999999999993</v>
      </c>
      <c r="H516" s="494">
        <v>9.9499999999999993</v>
      </c>
    </row>
    <row r="517" spans="1:8">
      <c r="B517" s="105"/>
      <c r="C517" s="105"/>
      <c r="D517" s="105"/>
      <c r="E517" s="105"/>
      <c r="F517" s="629" t="s">
        <v>587</v>
      </c>
      <c r="G517" s="629"/>
      <c r="H517" s="495">
        <v>9.9499999999999993</v>
      </c>
    </row>
    <row r="518" spans="1:8" ht="12.75" customHeight="1">
      <c r="B518" s="105"/>
      <c r="C518" s="105"/>
      <c r="D518" s="105"/>
      <c r="E518" s="105"/>
      <c r="F518" s="630" t="s">
        <v>464</v>
      </c>
      <c r="G518" s="630"/>
      <c r="H518" s="102">
        <v>12.04</v>
      </c>
    </row>
    <row r="519" spans="1:8">
      <c r="B519" s="105"/>
      <c r="C519" s="105"/>
      <c r="D519" s="105"/>
      <c r="E519" s="105"/>
      <c r="F519" s="634"/>
      <c r="G519" s="634"/>
      <c r="H519" s="634"/>
    </row>
    <row r="520" spans="1:8" s="220" customFormat="1" ht="27" customHeight="1">
      <c r="A520" s="178" t="str">
        <f>'3 - PLAN. ORÇAMENTÁRIA'!A91</f>
        <v>3.2.1.2</v>
      </c>
      <c r="B520" s="242">
        <f>VLOOKUP(A520,'3 - PLAN. ORÇAMENTÁRIA'!$A$16:$B$721,2,FALSE)</f>
        <v>98546</v>
      </c>
      <c r="C520" s="631" t="str">
        <f>VLOOKUP(A520,'3 - PLAN. ORÇAMENTÁRIA'!$A$16:$C$721,3,FALSE)</f>
        <v>IMPERMEABILIZAÇÃO DE SUPERFÍCIE COM MANTA ASFÁLTICA, UMA CAMADA, INCLUSIVE APLICAÇÃO DE PRIMER ASFÁLTICO, E=4MM. AF_09/2023</v>
      </c>
      <c r="D520" s="632"/>
      <c r="E520" s="632"/>
      <c r="F520" s="632"/>
      <c r="G520" s="633"/>
      <c r="H520" s="437" t="str">
        <f>VLOOKUP(A520,'3 - PLAN. ORÇAMENTÁRIA'!$A$17:$E$721,5,FALSE)</f>
        <v>M2</v>
      </c>
    </row>
    <row r="521" spans="1:8">
      <c r="B521" s="628" t="s">
        <v>593</v>
      </c>
      <c r="C521" s="628"/>
      <c r="D521" s="103" t="s">
        <v>579</v>
      </c>
      <c r="E521" s="103" t="s">
        <v>580</v>
      </c>
      <c r="F521" s="103" t="s">
        <v>581</v>
      </c>
      <c r="G521" s="103" t="s">
        <v>582</v>
      </c>
      <c r="H521" s="103" t="s">
        <v>583</v>
      </c>
    </row>
    <row r="522" spans="1:8">
      <c r="B522" s="130" t="s">
        <v>1436</v>
      </c>
      <c r="C522" s="229" t="s">
        <v>1437</v>
      </c>
      <c r="D522" s="130" t="s">
        <v>119</v>
      </c>
      <c r="E522" s="130" t="s">
        <v>200</v>
      </c>
      <c r="F522" s="230">
        <v>0.26</v>
      </c>
      <c r="G522" s="494">
        <v>7.78</v>
      </c>
      <c r="H522" s="494">
        <v>2.02</v>
      </c>
    </row>
    <row r="523" spans="1:8" ht="25.5">
      <c r="B523" s="130" t="s">
        <v>1438</v>
      </c>
      <c r="C523" s="229" t="s">
        <v>1439</v>
      </c>
      <c r="D523" s="130" t="s">
        <v>119</v>
      </c>
      <c r="E523" s="130" t="s">
        <v>139</v>
      </c>
      <c r="F523" s="230">
        <v>1.1318999999999999</v>
      </c>
      <c r="G523" s="494">
        <v>63.49</v>
      </c>
      <c r="H523" s="494">
        <v>71.86</v>
      </c>
    </row>
    <row r="524" spans="1:8" ht="25.5">
      <c r="B524" s="130" t="s">
        <v>1440</v>
      </c>
      <c r="C524" s="229" t="s">
        <v>1441</v>
      </c>
      <c r="D524" s="130" t="s">
        <v>119</v>
      </c>
      <c r="E524" s="130" t="s">
        <v>107</v>
      </c>
      <c r="F524" s="230">
        <v>0.58720000000000006</v>
      </c>
      <c r="G524" s="494">
        <v>19.61</v>
      </c>
      <c r="H524" s="494">
        <v>11.51</v>
      </c>
    </row>
    <row r="525" spans="1:8">
      <c r="B525" s="105"/>
      <c r="C525" s="105"/>
      <c r="D525" s="105"/>
      <c r="E525" s="105"/>
      <c r="F525" s="629" t="s">
        <v>604</v>
      </c>
      <c r="G525" s="629"/>
      <c r="H525" s="495">
        <v>85.39</v>
      </c>
    </row>
    <row r="526" spans="1:8" ht="12.75" customHeight="1">
      <c r="B526" s="628" t="s">
        <v>607</v>
      </c>
      <c r="C526" s="628"/>
      <c r="D526" s="103" t="s">
        <v>579</v>
      </c>
      <c r="E526" s="103" t="s">
        <v>580</v>
      </c>
      <c r="F526" s="103" t="s">
        <v>581</v>
      </c>
      <c r="G526" s="103" t="s">
        <v>582</v>
      </c>
      <c r="H526" s="103" t="s">
        <v>583</v>
      </c>
    </row>
    <row r="527" spans="1:8">
      <c r="B527" s="130" t="s">
        <v>1408</v>
      </c>
      <c r="C527" s="229" t="s">
        <v>1409</v>
      </c>
      <c r="D527" s="130" t="s">
        <v>119</v>
      </c>
      <c r="E527" s="130" t="s">
        <v>121</v>
      </c>
      <c r="F527" s="230">
        <v>0.2102</v>
      </c>
      <c r="G527" s="494">
        <v>24.4</v>
      </c>
      <c r="H527" s="494">
        <v>5.13</v>
      </c>
    </row>
    <row r="528" spans="1:8">
      <c r="B528" s="130" t="s">
        <v>1410</v>
      </c>
      <c r="C528" s="229" t="s">
        <v>1411</v>
      </c>
      <c r="D528" s="130" t="s">
        <v>119</v>
      </c>
      <c r="E528" s="130" t="s">
        <v>121</v>
      </c>
      <c r="F528" s="230">
        <v>0.93240000000000001</v>
      </c>
      <c r="G528" s="494">
        <v>31.34</v>
      </c>
      <c r="H528" s="494">
        <v>29.22</v>
      </c>
    </row>
    <row r="529" spans="1:8" ht="12.75" customHeight="1">
      <c r="B529" s="105"/>
      <c r="C529" s="105"/>
      <c r="D529" s="105"/>
      <c r="E529" s="105"/>
      <c r="F529" s="629" t="s">
        <v>610</v>
      </c>
      <c r="G529" s="629"/>
      <c r="H529" s="495">
        <v>34.35</v>
      </c>
    </row>
    <row r="530" spans="1:8" ht="12.75" customHeight="1">
      <c r="B530" s="105"/>
      <c r="C530" s="105"/>
      <c r="D530" s="105"/>
      <c r="E530" s="105"/>
      <c r="F530" s="630" t="s">
        <v>464</v>
      </c>
      <c r="G530" s="630"/>
      <c r="H530" s="102">
        <v>119.73</v>
      </c>
    </row>
    <row r="531" spans="1:8">
      <c r="B531" s="105"/>
      <c r="C531" s="105"/>
      <c r="D531" s="105"/>
      <c r="E531" s="105"/>
      <c r="F531" s="634"/>
      <c r="G531" s="634"/>
      <c r="H531" s="634"/>
    </row>
    <row r="532" spans="1:8" s="220" customFormat="1" ht="27" customHeight="1">
      <c r="A532" s="178" t="str">
        <f>'3 - PLAN. ORÇAMENTÁRIA'!A92</f>
        <v>3.2.1.3</v>
      </c>
      <c r="B532" s="242">
        <f>VLOOKUP(A532,'3 - PLAN. ORÇAMENTÁRIA'!$A$16:$B$721,2,FALSE)</f>
        <v>98565</v>
      </c>
      <c r="C532" s="631" t="str">
        <f>VLOOKUP(A532,'3 - PLAN. ORÇAMENTÁRIA'!$A$16:$C$721,3,FALSE)</f>
        <v>PROTEÇÃO MECÂNICA DE SUPERFICIE HORIZONTAL COM ARGAMASSA DE CIMENTO E AREIA, TRAÇO 1:3, E=3CM. AF_09/2023</v>
      </c>
      <c r="D532" s="632"/>
      <c r="E532" s="632"/>
      <c r="F532" s="632"/>
      <c r="G532" s="633"/>
      <c r="H532" s="437" t="str">
        <f>VLOOKUP(A532,'3 - PLAN. ORÇAMENTÁRIA'!$A$17:$E$721,5,FALSE)</f>
        <v>M2</v>
      </c>
    </row>
    <row r="533" spans="1:8">
      <c r="B533" s="628" t="s">
        <v>593</v>
      </c>
      <c r="C533" s="628"/>
      <c r="D533" s="103" t="s">
        <v>579</v>
      </c>
      <c r="E533" s="103" t="s">
        <v>580</v>
      </c>
      <c r="F533" s="103" t="s">
        <v>581</v>
      </c>
      <c r="G533" s="103" t="s">
        <v>582</v>
      </c>
      <c r="H533" s="103" t="s">
        <v>583</v>
      </c>
    </row>
    <row r="534" spans="1:8">
      <c r="B534" s="130" t="s">
        <v>1442</v>
      </c>
      <c r="C534" s="229" t="s">
        <v>1443</v>
      </c>
      <c r="D534" s="130" t="s">
        <v>119</v>
      </c>
      <c r="E534" s="130" t="s">
        <v>139</v>
      </c>
      <c r="F534" s="230">
        <v>1.04</v>
      </c>
      <c r="G534" s="494">
        <v>2</v>
      </c>
      <c r="H534" s="494">
        <v>2.08</v>
      </c>
    </row>
    <row r="535" spans="1:8">
      <c r="B535" s="105"/>
      <c r="C535" s="105"/>
      <c r="D535" s="105"/>
      <c r="E535" s="105"/>
      <c r="F535" s="629" t="s">
        <v>604</v>
      </c>
      <c r="G535" s="629"/>
      <c r="H535" s="495">
        <v>2.08</v>
      </c>
    </row>
    <row r="536" spans="1:8" ht="12.75" customHeight="1">
      <c r="B536" s="628" t="s">
        <v>607</v>
      </c>
      <c r="C536" s="628"/>
      <c r="D536" s="103" t="s">
        <v>579</v>
      </c>
      <c r="E536" s="103" t="s">
        <v>580</v>
      </c>
      <c r="F536" s="103" t="s">
        <v>581</v>
      </c>
      <c r="G536" s="103" t="s">
        <v>582</v>
      </c>
      <c r="H536" s="103" t="s">
        <v>583</v>
      </c>
    </row>
    <row r="537" spans="1:8">
      <c r="B537" s="130" t="s">
        <v>639</v>
      </c>
      <c r="C537" s="229" t="s">
        <v>640</v>
      </c>
      <c r="D537" s="130" t="s">
        <v>119</v>
      </c>
      <c r="E537" s="130" t="s">
        <v>121</v>
      </c>
      <c r="F537" s="230">
        <v>0.69120000000000004</v>
      </c>
      <c r="G537" s="494">
        <v>31.34</v>
      </c>
      <c r="H537" s="494">
        <v>21.66</v>
      </c>
    </row>
    <row r="538" spans="1:8">
      <c r="B538" s="130" t="s">
        <v>625</v>
      </c>
      <c r="C538" s="229" t="s">
        <v>626</v>
      </c>
      <c r="D538" s="130" t="s">
        <v>119</v>
      </c>
      <c r="E538" s="130" t="s">
        <v>121</v>
      </c>
      <c r="F538" s="230">
        <v>0.15579999999999999</v>
      </c>
      <c r="G538" s="494">
        <v>23.75</v>
      </c>
      <c r="H538" s="494">
        <v>3.7</v>
      </c>
    </row>
    <row r="539" spans="1:8" ht="12.75" customHeight="1">
      <c r="B539" s="105"/>
      <c r="C539" s="105"/>
      <c r="D539" s="105"/>
      <c r="E539" s="105"/>
      <c r="F539" s="629" t="s">
        <v>610</v>
      </c>
      <c r="G539" s="629"/>
      <c r="H539" s="495">
        <v>25.36</v>
      </c>
    </row>
    <row r="540" spans="1:8">
      <c r="B540" s="628" t="s">
        <v>586</v>
      </c>
      <c r="C540" s="628"/>
      <c r="D540" s="103" t="s">
        <v>579</v>
      </c>
      <c r="E540" s="103" t="s">
        <v>580</v>
      </c>
      <c r="F540" s="103" t="s">
        <v>581</v>
      </c>
      <c r="G540" s="103" t="s">
        <v>582</v>
      </c>
      <c r="H540" s="103" t="s">
        <v>583</v>
      </c>
    </row>
    <row r="541" spans="1:8" ht="25.5">
      <c r="B541" s="130" t="s">
        <v>1444</v>
      </c>
      <c r="C541" s="229" t="s">
        <v>1445</v>
      </c>
      <c r="D541" s="130" t="s">
        <v>119</v>
      </c>
      <c r="E541" s="130" t="s">
        <v>167</v>
      </c>
      <c r="F541" s="230">
        <v>3.5000000000000003E-2</v>
      </c>
      <c r="G541" s="494">
        <v>771.15</v>
      </c>
      <c r="H541" s="494">
        <v>26.99</v>
      </c>
    </row>
    <row r="542" spans="1:8">
      <c r="B542" s="105"/>
      <c r="C542" s="105"/>
      <c r="D542" s="105"/>
      <c r="E542" s="105"/>
      <c r="F542" s="629" t="s">
        <v>587</v>
      </c>
      <c r="G542" s="629"/>
      <c r="H542" s="495">
        <v>26.99</v>
      </c>
    </row>
    <row r="543" spans="1:8" ht="12.75" customHeight="1">
      <c r="B543" s="105"/>
      <c r="C543" s="105"/>
      <c r="D543" s="105"/>
      <c r="E543" s="105"/>
      <c r="F543" s="630" t="s">
        <v>464</v>
      </c>
      <c r="G543" s="630"/>
      <c r="H543" s="102">
        <v>54.43</v>
      </c>
    </row>
    <row r="544" spans="1:8">
      <c r="B544" s="105"/>
      <c r="C544" s="105"/>
      <c r="D544" s="105"/>
      <c r="E544" s="105"/>
      <c r="F544" s="634"/>
      <c r="G544" s="634"/>
      <c r="H544" s="634"/>
    </row>
    <row r="545" spans="1:8" s="220" customFormat="1" ht="27" customHeight="1">
      <c r="A545" s="178" t="str">
        <f>'3 - PLAN. ORÇAMENTÁRIA'!A99</f>
        <v>3.3.3</v>
      </c>
      <c r="B545" s="242">
        <f>VLOOKUP(A545,'3 - PLAN. ORÇAMENTÁRIA'!$A$16:$B$721,2,FALSE)</f>
        <v>100721</v>
      </c>
      <c r="C545" s="631" t="str">
        <f>VLOOKUP(A545,'3 - PLAN. ORÇAMENTÁRIA'!$A$16:$C$721,3,FALSE)</f>
        <v>PINTURA COM TINTA ALQUÍDICA DE FUNDO (TIPO ZARCÃO) PULVERIZADA SOBRE SUPERFÍCIES METÁLICAS EXECUTADO EM OBRA (POR DEMÃO). AF_01/2020_PE</v>
      </c>
      <c r="D545" s="632"/>
      <c r="E545" s="632"/>
      <c r="F545" s="632"/>
      <c r="G545" s="633"/>
      <c r="H545" s="131" t="str">
        <f>VLOOKUP(A545,'3 - PLAN. ORÇAMENTÁRIA'!$A$17:$E$721,5,FALSE)</f>
        <v>M2</v>
      </c>
    </row>
    <row r="546" spans="1:8">
      <c r="B546" s="628" t="s">
        <v>593</v>
      </c>
      <c r="C546" s="628"/>
      <c r="D546" s="103" t="s">
        <v>579</v>
      </c>
      <c r="E546" s="103" t="s">
        <v>580</v>
      </c>
      <c r="F546" s="103" t="s">
        <v>581</v>
      </c>
      <c r="G546" s="103" t="s">
        <v>582</v>
      </c>
      <c r="H546" s="103" t="s">
        <v>583</v>
      </c>
    </row>
    <row r="547" spans="1:8">
      <c r="B547" s="130" t="s">
        <v>1448</v>
      </c>
      <c r="C547" s="229" t="s">
        <v>1449</v>
      </c>
      <c r="D547" s="130" t="s">
        <v>119</v>
      </c>
      <c r="E547" s="130" t="s">
        <v>107</v>
      </c>
      <c r="F547" s="230">
        <v>6.1899999999999997E-2</v>
      </c>
      <c r="G547" s="494">
        <v>19.78</v>
      </c>
      <c r="H547" s="494">
        <v>1.22</v>
      </c>
    </row>
    <row r="548" spans="1:8">
      <c r="B548" s="130" t="s">
        <v>1011</v>
      </c>
      <c r="C548" s="229" t="s">
        <v>1012</v>
      </c>
      <c r="D548" s="130" t="s">
        <v>119</v>
      </c>
      <c r="E548" s="130" t="s">
        <v>107</v>
      </c>
      <c r="F548" s="230">
        <v>0.20699999999999999</v>
      </c>
      <c r="G548" s="494">
        <v>44.95</v>
      </c>
      <c r="H548" s="494">
        <v>9.3000000000000007</v>
      </c>
    </row>
    <row r="549" spans="1:8">
      <c r="B549" s="105"/>
      <c r="C549" s="105"/>
      <c r="D549" s="105"/>
      <c r="E549" s="105"/>
      <c r="F549" s="629" t="s">
        <v>604</v>
      </c>
      <c r="G549" s="629"/>
      <c r="H549" s="495">
        <v>10.52</v>
      </c>
    </row>
    <row r="550" spans="1:8" ht="12.75" customHeight="1">
      <c r="B550" s="628" t="s">
        <v>607</v>
      </c>
      <c r="C550" s="628"/>
      <c r="D550" s="103" t="s">
        <v>579</v>
      </c>
      <c r="E550" s="103" t="s">
        <v>580</v>
      </c>
      <c r="F550" s="103" t="s">
        <v>581</v>
      </c>
      <c r="G550" s="103" t="s">
        <v>582</v>
      </c>
      <c r="H550" s="103" t="s">
        <v>583</v>
      </c>
    </row>
    <row r="551" spans="1:8">
      <c r="B551" s="130" t="s">
        <v>1450</v>
      </c>
      <c r="C551" s="229" t="s">
        <v>663</v>
      </c>
      <c r="D551" s="130" t="s">
        <v>119</v>
      </c>
      <c r="E551" s="130" t="s">
        <v>121</v>
      </c>
      <c r="F551" s="230">
        <v>0.52659999999999996</v>
      </c>
      <c r="G551" s="494">
        <v>33.01</v>
      </c>
      <c r="H551" s="494">
        <v>17.38</v>
      </c>
    </row>
    <row r="552" spans="1:8" ht="12.75" customHeight="1">
      <c r="B552" s="105"/>
      <c r="C552" s="105"/>
      <c r="D552" s="105"/>
      <c r="E552" s="105"/>
      <c r="F552" s="629" t="s">
        <v>610</v>
      </c>
      <c r="G552" s="629"/>
      <c r="H552" s="495">
        <v>17.38</v>
      </c>
    </row>
    <row r="553" spans="1:8" ht="12.75" customHeight="1">
      <c r="B553" s="105"/>
      <c r="C553" s="105"/>
      <c r="D553" s="105"/>
      <c r="E553" s="105"/>
      <c r="F553" s="630" t="s">
        <v>464</v>
      </c>
      <c r="G553" s="630"/>
      <c r="H553" s="102">
        <v>27.9</v>
      </c>
    </row>
    <row r="554" spans="1:8">
      <c r="B554" s="105"/>
      <c r="C554" s="105"/>
      <c r="D554" s="105"/>
      <c r="E554" s="105"/>
      <c r="F554" s="634"/>
      <c r="G554" s="634"/>
      <c r="H554" s="634"/>
    </row>
    <row r="555" spans="1:8" s="220" customFormat="1" ht="27" customHeight="1">
      <c r="A555" s="178" t="str">
        <f>'3 - PLAN. ORÇAMENTÁRIA'!A100</f>
        <v>3.3.4</v>
      </c>
      <c r="B555" s="242">
        <f>VLOOKUP(A555,'3 - PLAN. ORÇAMENTÁRIA'!$A$16:$B$721,2,FALSE)</f>
        <v>100757</v>
      </c>
      <c r="C555" s="631" t="str">
        <f>VLOOKUP(A555,'3 - PLAN. ORÇAMENTÁRIA'!$A$16:$C$721,3,FALSE)</f>
        <v>PINTURA COM TINTA ALQUÍDICA DE ACABAMENTO (ESMALTE SINTÉTICO ACETINADO) PULVERIZADA SOBRE SUPERFÍCIES METÁLICAS EXECUTADO EM OBRA (02 DEMÃOS). AF_01/2020_PE</v>
      </c>
      <c r="D555" s="632"/>
      <c r="E555" s="632"/>
      <c r="F555" s="632"/>
      <c r="G555" s="633"/>
      <c r="H555" s="437" t="str">
        <f>VLOOKUP(A555,'3 - PLAN. ORÇAMENTÁRIA'!$A$17:$E$721,5,FALSE)</f>
        <v>M2</v>
      </c>
    </row>
    <row r="556" spans="1:8">
      <c r="B556" s="628" t="s">
        <v>593</v>
      </c>
      <c r="C556" s="628"/>
      <c r="D556" s="103" t="s">
        <v>579</v>
      </c>
      <c r="E556" s="103" t="s">
        <v>580</v>
      </c>
      <c r="F556" s="103" t="s">
        <v>581</v>
      </c>
      <c r="G556" s="103" t="s">
        <v>582</v>
      </c>
      <c r="H556" s="103" t="s">
        <v>583</v>
      </c>
    </row>
    <row r="557" spans="1:8">
      <c r="B557" s="130" t="s">
        <v>1448</v>
      </c>
      <c r="C557" s="229" t="s">
        <v>1449</v>
      </c>
      <c r="D557" s="130" t="s">
        <v>119</v>
      </c>
      <c r="E557" s="130" t="s">
        <v>107</v>
      </c>
      <c r="F557" s="230">
        <v>0.124</v>
      </c>
      <c r="G557" s="494">
        <v>19.78</v>
      </c>
      <c r="H557" s="494">
        <v>2.4500000000000002</v>
      </c>
    </row>
    <row r="558" spans="1:8">
      <c r="B558" s="130" t="s">
        <v>1605</v>
      </c>
      <c r="C558" s="229" t="s">
        <v>1606</v>
      </c>
      <c r="D558" s="130" t="s">
        <v>119</v>
      </c>
      <c r="E558" s="130" t="s">
        <v>107</v>
      </c>
      <c r="F558" s="230">
        <v>0.41339999999999999</v>
      </c>
      <c r="G558" s="494">
        <v>43.04</v>
      </c>
      <c r="H558" s="494">
        <v>17.79</v>
      </c>
    </row>
    <row r="559" spans="1:8">
      <c r="B559" s="105"/>
      <c r="C559" s="105"/>
      <c r="D559" s="105"/>
      <c r="E559" s="105"/>
      <c r="F559" s="629" t="s">
        <v>604</v>
      </c>
      <c r="G559" s="629"/>
      <c r="H559" s="495">
        <v>20.239999999999998</v>
      </c>
    </row>
    <row r="560" spans="1:8" ht="12.75" customHeight="1">
      <c r="B560" s="628" t="s">
        <v>607</v>
      </c>
      <c r="C560" s="628"/>
      <c r="D560" s="103" t="s">
        <v>579</v>
      </c>
      <c r="E560" s="103" t="s">
        <v>580</v>
      </c>
      <c r="F560" s="103" t="s">
        <v>581</v>
      </c>
      <c r="G560" s="103" t="s">
        <v>582</v>
      </c>
      <c r="H560" s="103" t="s">
        <v>583</v>
      </c>
    </row>
    <row r="561" spans="1:8">
      <c r="B561" s="130" t="s">
        <v>1450</v>
      </c>
      <c r="C561" s="229" t="s">
        <v>663</v>
      </c>
      <c r="D561" s="130" t="s">
        <v>119</v>
      </c>
      <c r="E561" s="130" t="s">
        <v>121</v>
      </c>
      <c r="F561" s="230">
        <v>1.0530999999999999</v>
      </c>
      <c r="G561" s="494">
        <v>33.01</v>
      </c>
      <c r="H561" s="494">
        <v>34.76</v>
      </c>
    </row>
    <row r="562" spans="1:8" ht="12.75" customHeight="1">
      <c r="B562" s="105"/>
      <c r="C562" s="105"/>
      <c r="D562" s="105"/>
      <c r="E562" s="105"/>
      <c r="F562" s="629" t="s">
        <v>610</v>
      </c>
      <c r="G562" s="629"/>
      <c r="H562" s="495">
        <v>34.76</v>
      </c>
    </row>
    <row r="563" spans="1:8" ht="12.75" customHeight="1">
      <c r="B563" s="105"/>
      <c r="C563" s="105"/>
      <c r="D563" s="105"/>
      <c r="E563" s="105"/>
      <c r="F563" s="630" t="s">
        <v>464</v>
      </c>
      <c r="G563" s="630"/>
      <c r="H563" s="102">
        <v>55</v>
      </c>
    </row>
    <row r="564" spans="1:8">
      <c r="B564" s="105"/>
      <c r="C564" s="105"/>
      <c r="D564" s="105"/>
      <c r="E564" s="105"/>
      <c r="F564" s="634"/>
      <c r="G564" s="634"/>
      <c r="H564" s="634"/>
    </row>
    <row r="565" spans="1:8" s="220" customFormat="1" ht="27" customHeight="1">
      <c r="A565" s="178" t="str">
        <f>'3 - PLAN. ORÇAMENTÁRIA'!A101</f>
        <v>3.3.5</v>
      </c>
      <c r="B565" s="242">
        <f>VLOOKUP(A565,'3 - PLAN. ORÇAMENTÁRIA'!$A$16:$B$721,2,FALSE)</f>
        <v>92916</v>
      </c>
      <c r="C565" s="631" t="str">
        <f>VLOOKUP(A565,'3 - PLAN. ORÇAMENTÁRIA'!$A$16:$C$721,3,FALSE)</f>
        <v>ARMAÇÃO DE ESTRUTURAS DIVERSAS DE CONCRETO ARMADO, EXCETO VIGAS, PILARES, LAJES E FUNDAÇÕES, UTILIZANDO AÇO CA-50 DE 6,3 MM - MONTAGEM (JUNÇÃO ALVENARIA E PILARES METÁLICOS)</v>
      </c>
      <c r="D565" s="632"/>
      <c r="E565" s="632"/>
      <c r="F565" s="632"/>
      <c r="G565" s="633"/>
      <c r="H565" s="437" t="str">
        <f>VLOOKUP(A565,'3 - PLAN. ORÇAMENTÁRIA'!$A$17:$E$721,5,FALSE)</f>
        <v>KG</v>
      </c>
    </row>
    <row r="566" spans="1:8">
      <c r="B566" s="628" t="s">
        <v>593</v>
      </c>
      <c r="C566" s="628"/>
      <c r="D566" s="103" t="s">
        <v>579</v>
      </c>
      <c r="E566" s="103" t="s">
        <v>580</v>
      </c>
      <c r="F566" s="103" t="s">
        <v>581</v>
      </c>
      <c r="G566" s="103" t="s">
        <v>582</v>
      </c>
      <c r="H566" s="103" t="s">
        <v>583</v>
      </c>
    </row>
    <row r="567" spans="1:8">
      <c r="B567" s="130" t="s">
        <v>635</v>
      </c>
      <c r="C567" s="229" t="s">
        <v>636</v>
      </c>
      <c r="D567" s="130" t="s">
        <v>119</v>
      </c>
      <c r="E567" s="130" t="s">
        <v>200</v>
      </c>
      <c r="F567" s="230">
        <v>2.5000000000000001E-2</v>
      </c>
      <c r="G567" s="494">
        <v>19.38</v>
      </c>
      <c r="H567" s="494">
        <v>0.48</v>
      </c>
    </row>
    <row r="568" spans="1:8" ht="25.5">
      <c r="B568" s="130" t="s">
        <v>1373</v>
      </c>
      <c r="C568" s="229" t="s">
        <v>1374</v>
      </c>
      <c r="D568" s="130" t="s">
        <v>119</v>
      </c>
      <c r="E568" s="130" t="s">
        <v>144</v>
      </c>
      <c r="F568" s="230">
        <v>0.97</v>
      </c>
      <c r="G568" s="494">
        <v>0.22</v>
      </c>
      <c r="H568" s="494">
        <v>0.21</v>
      </c>
    </row>
    <row r="569" spans="1:8">
      <c r="B569" s="105"/>
      <c r="C569" s="105"/>
      <c r="D569" s="105"/>
      <c r="E569" s="105"/>
      <c r="F569" s="629" t="s">
        <v>604</v>
      </c>
      <c r="G569" s="629"/>
      <c r="H569" s="495">
        <v>0.69</v>
      </c>
    </row>
    <row r="570" spans="1:8" ht="12.75" customHeight="1">
      <c r="B570" s="628" t="s">
        <v>607</v>
      </c>
      <c r="C570" s="628"/>
      <c r="D570" s="103" t="s">
        <v>579</v>
      </c>
      <c r="E570" s="103" t="s">
        <v>580</v>
      </c>
      <c r="F570" s="103" t="s">
        <v>581</v>
      </c>
      <c r="G570" s="103" t="s">
        <v>582</v>
      </c>
      <c r="H570" s="103" t="s">
        <v>583</v>
      </c>
    </row>
    <row r="571" spans="1:8">
      <c r="B571" s="130" t="s">
        <v>1375</v>
      </c>
      <c r="C571" s="229" t="s">
        <v>637</v>
      </c>
      <c r="D571" s="130" t="s">
        <v>119</v>
      </c>
      <c r="E571" s="130" t="s">
        <v>121</v>
      </c>
      <c r="F571" s="230">
        <v>2.3300000000000001E-2</v>
      </c>
      <c r="G571" s="494">
        <v>24.57</v>
      </c>
      <c r="H571" s="494">
        <v>0.56999999999999995</v>
      </c>
    </row>
    <row r="572" spans="1:8">
      <c r="B572" s="130" t="s">
        <v>1376</v>
      </c>
      <c r="C572" s="229" t="s">
        <v>638</v>
      </c>
      <c r="D572" s="130" t="s">
        <v>119</v>
      </c>
      <c r="E572" s="130" t="s">
        <v>121</v>
      </c>
      <c r="F572" s="230">
        <v>0.14280000000000001</v>
      </c>
      <c r="G572" s="494">
        <v>31.13</v>
      </c>
      <c r="H572" s="494">
        <v>4.45</v>
      </c>
    </row>
    <row r="573" spans="1:8" ht="12.75" customHeight="1">
      <c r="B573" s="105"/>
      <c r="C573" s="105"/>
      <c r="D573" s="105"/>
      <c r="E573" s="105"/>
      <c r="F573" s="629" t="s">
        <v>610</v>
      </c>
      <c r="G573" s="629"/>
      <c r="H573" s="495">
        <v>5.0199999999999996</v>
      </c>
    </row>
    <row r="574" spans="1:8">
      <c r="B574" s="628" t="s">
        <v>586</v>
      </c>
      <c r="C574" s="628"/>
      <c r="D574" s="103" t="s">
        <v>579</v>
      </c>
      <c r="E574" s="103" t="s">
        <v>580</v>
      </c>
      <c r="F574" s="103" t="s">
        <v>581</v>
      </c>
      <c r="G574" s="103" t="s">
        <v>582</v>
      </c>
      <c r="H574" s="103" t="s">
        <v>583</v>
      </c>
    </row>
    <row r="575" spans="1:8">
      <c r="B575" s="130" t="s">
        <v>1377</v>
      </c>
      <c r="C575" s="229" t="s">
        <v>1378</v>
      </c>
      <c r="D575" s="130" t="s">
        <v>119</v>
      </c>
      <c r="E575" s="130" t="s">
        <v>200</v>
      </c>
      <c r="F575" s="230">
        <v>1</v>
      </c>
      <c r="G575" s="494">
        <v>10.91</v>
      </c>
      <c r="H575" s="494">
        <v>10.91</v>
      </c>
    </row>
    <row r="576" spans="1:8">
      <c r="B576" s="105"/>
      <c r="C576" s="105"/>
      <c r="D576" s="105"/>
      <c r="E576" s="105"/>
      <c r="F576" s="629" t="s">
        <v>587</v>
      </c>
      <c r="G576" s="629"/>
      <c r="H576" s="495">
        <v>10.91</v>
      </c>
    </row>
    <row r="577" spans="1:8" ht="12.75" customHeight="1">
      <c r="B577" s="105"/>
      <c r="C577" s="105"/>
      <c r="D577" s="105"/>
      <c r="E577" s="105"/>
      <c r="F577" s="630" t="s">
        <v>464</v>
      </c>
      <c r="G577" s="630"/>
      <c r="H577" s="102">
        <v>16.61</v>
      </c>
    </row>
    <row r="578" spans="1:8">
      <c r="B578" s="105"/>
      <c r="C578" s="105"/>
      <c r="D578" s="105"/>
      <c r="E578" s="105"/>
      <c r="F578" s="309"/>
      <c r="G578" s="309"/>
      <c r="H578" s="309"/>
    </row>
    <row r="579" spans="1:8" s="220" customFormat="1" ht="27" customHeight="1">
      <c r="A579" s="178" t="str">
        <f>'3 - PLAN. ORÇAMENTÁRIA'!A108</f>
        <v>3.4.1.1.3</v>
      </c>
      <c r="B579" s="178">
        <f>VLOOKUP(A579,'3 - PLAN. ORÇAMENTÁRIA'!$A$16:$B$721,2,FALSE)</f>
        <v>95592</v>
      </c>
      <c r="C579" s="631" t="str">
        <f>VLOOKUP(A579,'3 - PLAN. ORÇAMENTÁRIA'!$A$16:$C$721,3,FALSE)</f>
        <v>MONTAGEM DE ARMADURA TRANVERSAL DE ESTACAS DE SEÇÃO RETANGULAR, DIÂMETRO = 5,0 MM. AF_09/2021_PS</v>
      </c>
      <c r="D579" s="632"/>
      <c r="E579" s="632"/>
      <c r="F579" s="632"/>
      <c r="G579" s="633"/>
      <c r="H579" s="433" t="str">
        <f>VLOOKUP(A579,'3 - PLAN. ORÇAMENTÁRIA'!$A$17:$E$721,5,FALSE)</f>
        <v>KG</v>
      </c>
    </row>
    <row r="580" spans="1:8">
      <c r="B580" s="628" t="s">
        <v>593</v>
      </c>
      <c r="C580" s="628"/>
      <c r="D580" s="103" t="s">
        <v>579</v>
      </c>
      <c r="E580" s="103" t="s">
        <v>580</v>
      </c>
      <c r="F580" s="103" t="s">
        <v>581</v>
      </c>
      <c r="G580" s="103" t="s">
        <v>582</v>
      </c>
      <c r="H580" s="103" t="s">
        <v>583</v>
      </c>
    </row>
    <row r="581" spans="1:8">
      <c r="B581" s="130" t="s">
        <v>635</v>
      </c>
      <c r="C581" s="229" t="s">
        <v>636</v>
      </c>
      <c r="D581" s="130" t="s">
        <v>119</v>
      </c>
      <c r="E581" s="130" t="s">
        <v>200</v>
      </c>
      <c r="F581" s="230">
        <v>0.02</v>
      </c>
      <c r="G581" s="494">
        <v>19.38</v>
      </c>
      <c r="H581" s="494">
        <v>0.39</v>
      </c>
    </row>
    <row r="582" spans="1:8" ht="25.5">
      <c r="B582" s="130" t="s">
        <v>1373</v>
      </c>
      <c r="C582" s="229" t="s">
        <v>1374</v>
      </c>
      <c r="D582" s="130" t="s">
        <v>119</v>
      </c>
      <c r="E582" s="130" t="s">
        <v>144</v>
      </c>
      <c r="F582" s="230">
        <v>1.19</v>
      </c>
      <c r="G582" s="494">
        <v>0.22</v>
      </c>
      <c r="H582" s="494">
        <v>0.26</v>
      </c>
    </row>
    <row r="583" spans="1:8">
      <c r="B583" s="105"/>
      <c r="C583" s="105"/>
      <c r="D583" s="105"/>
      <c r="E583" s="105"/>
      <c r="F583" s="629" t="s">
        <v>604</v>
      </c>
      <c r="G583" s="629"/>
      <c r="H583" s="495">
        <v>0.65</v>
      </c>
    </row>
    <row r="584" spans="1:8" ht="12.75" customHeight="1">
      <c r="B584" s="628" t="s">
        <v>607</v>
      </c>
      <c r="C584" s="628"/>
      <c r="D584" s="103" t="s">
        <v>579</v>
      </c>
      <c r="E584" s="103" t="s">
        <v>580</v>
      </c>
      <c r="F584" s="103" t="s">
        <v>581</v>
      </c>
      <c r="G584" s="103" t="s">
        <v>582</v>
      </c>
      <c r="H584" s="103" t="s">
        <v>583</v>
      </c>
    </row>
    <row r="585" spans="1:8">
      <c r="B585" s="130" t="s">
        <v>1375</v>
      </c>
      <c r="C585" s="229" t="s">
        <v>637</v>
      </c>
      <c r="D585" s="130" t="s">
        <v>119</v>
      </c>
      <c r="E585" s="130" t="s">
        <v>121</v>
      </c>
      <c r="F585" s="230">
        <v>3.3000000000000002E-2</v>
      </c>
      <c r="G585" s="494">
        <v>24.57</v>
      </c>
      <c r="H585" s="494">
        <v>0.81</v>
      </c>
    </row>
    <row r="586" spans="1:8">
      <c r="B586" s="130" t="s">
        <v>1376</v>
      </c>
      <c r="C586" s="229" t="s">
        <v>638</v>
      </c>
      <c r="D586" s="130" t="s">
        <v>119</v>
      </c>
      <c r="E586" s="130" t="s">
        <v>121</v>
      </c>
      <c r="F586" s="230">
        <v>0.16520000000000001</v>
      </c>
      <c r="G586" s="494">
        <v>31.13</v>
      </c>
      <c r="H586" s="494">
        <v>5.14</v>
      </c>
    </row>
    <row r="587" spans="1:8" ht="12.75" customHeight="1">
      <c r="B587" s="105"/>
      <c r="C587" s="105"/>
      <c r="D587" s="105"/>
      <c r="E587" s="105"/>
      <c r="F587" s="629" t="s">
        <v>610</v>
      </c>
      <c r="G587" s="629"/>
      <c r="H587" s="495">
        <v>5.95</v>
      </c>
    </row>
    <row r="588" spans="1:8">
      <c r="B588" s="628" t="s">
        <v>586</v>
      </c>
      <c r="C588" s="628"/>
      <c r="D588" s="103" t="s">
        <v>579</v>
      </c>
      <c r="E588" s="103" t="s">
        <v>580</v>
      </c>
      <c r="F588" s="103" t="s">
        <v>581</v>
      </c>
      <c r="G588" s="103" t="s">
        <v>582</v>
      </c>
      <c r="H588" s="103" t="s">
        <v>583</v>
      </c>
    </row>
    <row r="589" spans="1:8">
      <c r="B589" s="130" t="s">
        <v>1414</v>
      </c>
      <c r="C589" s="229" t="s">
        <v>1415</v>
      </c>
      <c r="D589" s="130" t="s">
        <v>119</v>
      </c>
      <c r="E589" s="130" t="s">
        <v>200</v>
      </c>
      <c r="F589" s="230">
        <v>1</v>
      </c>
      <c r="G589" s="494">
        <v>10.85</v>
      </c>
      <c r="H589" s="494">
        <v>10.85</v>
      </c>
    </row>
    <row r="590" spans="1:8">
      <c r="B590" s="105"/>
      <c r="C590" s="105"/>
      <c r="D590" s="105"/>
      <c r="E590" s="105"/>
      <c r="F590" s="629" t="s">
        <v>587</v>
      </c>
      <c r="G590" s="629"/>
      <c r="H590" s="495">
        <v>10.85</v>
      </c>
    </row>
    <row r="591" spans="1:8" ht="12.75" customHeight="1">
      <c r="B591" s="105"/>
      <c r="C591" s="105"/>
      <c r="D591" s="105"/>
      <c r="E591" s="105"/>
      <c r="F591" s="630" t="s">
        <v>464</v>
      </c>
      <c r="G591" s="630"/>
      <c r="H591" s="102">
        <v>17.440000000000001</v>
      </c>
    </row>
    <row r="592" spans="1:8">
      <c r="B592" s="105"/>
      <c r="C592" s="105"/>
      <c r="D592" s="105"/>
      <c r="E592" s="105"/>
      <c r="F592" s="634"/>
      <c r="G592" s="634"/>
      <c r="H592" s="634"/>
    </row>
    <row r="593" spans="1:8" s="220" customFormat="1" ht="27" customHeight="1">
      <c r="A593" s="178" t="str">
        <f>'3 - PLAN. ORÇAMENTÁRIA'!A109</f>
        <v>3.4.1.1.4</v>
      </c>
      <c r="B593" s="178">
        <f>VLOOKUP(A593,'3 - PLAN. ORÇAMENTÁRIA'!$A$16:$B$721,2,FALSE)</f>
        <v>95577</v>
      </c>
      <c r="C593" s="631" t="str">
        <f>VLOOKUP(A593,'3 - PLAN. ORÇAMENTÁRIA'!$A$16:$C$721,3,FALSE)</f>
        <v>MONTAGEM DE ARMADURA DE ESTACAS, DIÂMETRO = 10,0 MM. AF_09/2021_PS</v>
      </c>
      <c r="D593" s="632"/>
      <c r="E593" s="632"/>
      <c r="F593" s="632"/>
      <c r="G593" s="633"/>
      <c r="H593" s="437" t="str">
        <f>VLOOKUP(A593,'3 - PLAN. ORÇAMENTÁRIA'!$A$17:$E$721,5,FALSE)</f>
        <v>KG</v>
      </c>
    </row>
    <row r="594" spans="1:8">
      <c r="B594" s="628" t="s">
        <v>593</v>
      </c>
      <c r="C594" s="628"/>
      <c r="D594" s="103" t="s">
        <v>579</v>
      </c>
      <c r="E594" s="103" t="s">
        <v>580</v>
      </c>
      <c r="F594" s="103" t="s">
        <v>581</v>
      </c>
      <c r="G594" s="103" t="s">
        <v>582</v>
      </c>
      <c r="H594" s="103" t="s">
        <v>583</v>
      </c>
    </row>
    <row r="595" spans="1:8">
      <c r="B595" s="130" t="s">
        <v>635</v>
      </c>
      <c r="C595" s="229" t="s">
        <v>636</v>
      </c>
      <c r="D595" s="130" t="s">
        <v>119</v>
      </c>
      <c r="E595" s="130" t="s">
        <v>200</v>
      </c>
      <c r="F595" s="230">
        <v>0.02</v>
      </c>
      <c r="G595" s="494">
        <v>19.38</v>
      </c>
      <c r="H595" s="494">
        <v>0.39</v>
      </c>
    </row>
    <row r="596" spans="1:8" ht="25.5">
      <c r="B596" s="130" t="s">
        <v>1373</v>
      </c>
      <c r="C596" s="229" t="s">
        <v>1374</v>
      </c>
      <c r="D596" s="130" t="s">
        <v>119</v>
      </c>
      <c r="E596" s="130" t="s">
        <v>144</v>
      </c>
      <c r="F596" s="230">
        <v>0.54300000000000004</v>
      </c>
      <c r="G596" s="494">
        <v>0.22</v>
      </c>
      <c r="H596" s="494">
        <v>0.12</v>
      </c>
    </row>
    <row r="597" spans="1:8">
      <c r="B597" s="105"/>
      <c r="C597" s="105"/>
      <c r="D597" s="105"/>
      <c r="E597" s="105"/>
      <c r="F597" s="629" t="s">
        <v>604</v>
      </c>
      <c r="G597" s="629"/>
      <c r="H597" s="495">
        <v>0.51</v>
      </c>
    </row>
    <row r="598" spans="1:8" ht="12.75" customHeight="1">
      <c r="B598" s="628" t="s">
        <v>607</v>
      </c>
      <c r="C598" s="628"/>
      <c r="D598" s="103" t="s">
        <v>579</v>
      </c>
      <c r="E598" s="103" t="s">
        <v>580</v>
      </c>
      <c r="F598" s="103" t="s">
        <v>581</v>
      </c>
      <c r="G598" s="103" t="s">
        <v>582</v>
      </c>
      <c r="H598" s="103" t="s">
        <v>583</v>
      </c>
    </row>
    <row r="599" spans="1:8">
      <c r="B599" s="130" t="s">
        <v>1375</v>
      </c>
      <c r="C599" s="229" t="s">
        <v>637</v>
      </c>
      <c r="D599" s="130" t="s">
        <v>119</v>
      </c>
      <c r="E599" s="130" t="s">
        <v>121</v>
      </c>
      <c r="F599" s="230">
        <v>6.1000000000000004E-3</v>
      </c>
      <c r="G599" s="494">
        <v>24.57</v>
      </c>
      <c r="H599" s="494">
        <v>0.15</v>
      </c>
    </row>
    <row r="600" spans="1:8">
      <c r="B600" s="130" t="s">
        <v>1376</v>
      </c>
      <c r="C600" s="229" t="s">
        <v>638</v>
      </c>
      <c r="D600" s="130" t="s">
        <v>119</v>
      </c>
      <c r="E600" s="130" t="s">
        <v>121</v>
      </c>
      <c r="F600" s="230">
        <v>3.0599999999999999E-2</v>
      </c>
      <c r="G600" s="494">
        <v>31.13</v>
      </c>
      <c r="H600" s="494">
        <v>0.95</v>
      </c>
    </row>
    <row r="601" spans="1:8" ht="12.75" customHeight="1">
      <c r="B601" s="105"/>
      <c r="C601" s="105"/>
      <c r="D601" s="105"/>
      <c r="E601" s="105"/>
      <c r="F601" s="629" t="s">
        <v>610</v>
      </c>
      <c r="G601" s="629"/>
      <c r="H601" s="495">
        <v>1.1000000000000001</v>
      </c>
    </row>
    <row r="602" spans="1:8">
      <c r="B602" s="628" t="s">
        <v>586</v>
      </c>
      <c r="C602" s="628"/>
      <c r="D602" s="103" t="s">
        <v>579</v>
      </c>
      <c r="E602" s="103" t="s">
        <v>580</v>
      </c>
      <c r="F602" s="103" t="s">
        <v>581</v>
      </c>
      <c r="G602" s="103" t="s">
        <v>582</v>
      </c>
      <c r="H602" s="103" t="s">
        <v>583</v>
      </c>
    </row>
    <row r="603" spans="1:8">
      <c r="B603" s="130" t="s">
        <v>1418</v>
      </c>
      <c r="C603" s="229" t="s">
        <v>1419</v>
      </c>
      <c r="D603" s="130" t="s">
        <v>119</v>
      </c>
      <c r="E603" s="130" t="s">
        <v>200</v>
      </c>
      <c r="F603" s="230">
        <v>1</v>
      </c>
      <c r="G603" s="494">
        <v>9.9600000000000009</v>
      </c>
      <c r="H603" s="494">
        <v>9.9600000000000009</v>
      </c>
    </row>
    <row r="604" spans="1:8">
      <c r="B604" s="105"/>
      <c r="C604" s="105"/>
      <c r="D604" s="105"/>
      <c r="E604" s="105"/>
      <c r="F604" s="629" t="s">
        <v>587</v>
      </c>
      <c r="G604" s="629"/>
      <c r="H604" s="495">
        <v>9.9600000000000009</v>
      </c>
    </row>
    <row r="605" spans="1:8" ht="12.75" customHeight="1">
      <c r="B605" s="105"/>
      <c r="C605" s="105"/>
      <c r="D605" s="105"/>
      <c r="E605" s="105"/>
      <c r="F605" s="630" t="s">
        <v>464</v>
      </c>
      <c r="G605" s="630"/>
      <c r="H605" s="102">
        <v>11.54</v>
      </c>
    </row>
    <row r="606" spans="1:8">
      <c r="B606" s="105"/>
      <c r="C606" s="105"/>
      <c r="D606" s="105"/>
      <c r="E606" s="105"/>
      <c r="F606" s="634"/>
      <c r="G606" s="634"/>
      <c r="H606" s="634"/>
    </row>
    <row r="607" spans="1:8" s="220" customFormat="1" ht="27" customHeight="1">
      <c r="A607" s="178" t="str">
        <f>'3 - PLAN. ORÇAMENTÁRIA'!A110</f>
        <v>3.4.1.1.5</v>
      </c>
      <c r="B607" s="178">
        <f>VLOOKUP(A607,'3 - PLAN. ORÇAMENTÁRIA'!$A$16:$B$721,2,FALSE)</f>
        <v>95601</v>
      </c>
      <c r="C607" s="631" t="str">
        <f>VLOOKUP(A607,'3 - PLAN. ORÇAMENTÁRIA'!$A$16:$C$721,3,FALSE)</f>
        <v>ARRASAMENTO MECANICO DE ESTACA DE CONCRETO ARMADO, DIAMETROS DE ATÉ 40 CM. AF_05/2021</v>
      </c>
      <c r="D607" s="632"/>
      <c r="E607" s="632"/>
      <c r="F607" s="632"/>
      <c r="G607" s="633"/>
      <c r="H607" s="437" t="str">
        <f>VLOOKUP(A607,'3 - PLAN. ORÇAMENTÁRIA'!$A$17:$E$721,5,FALSE)</f>
        <v>UN</v>
      </c>
    </row>
    <row r="608" spans="1:8" ht="12.75" customHeight="1">
      <c r="B608" s="628" t="s">
        <v>1301</v>
      </c>
      <c r="C608" s="628"/>
      <c r="D608" s="103" t="s">
        <v>579</v>
      </c>
      <c r="E608" s="103" t="s">
        <v>580</v>
      </c>
      <c r="F608" s="103" t="s">
        <v>581</v>
      </c>
      <c r="G608" s="103" t="s">
        <v>582</v>
      </c>
      <c r="H608" s="103" t="s">
        <v>583</v>
      </c>
    </row>
    <row r="609" spans="1:8" ht="25.5">
      <c r="B609" s="130" t="s">
        <v>1381</v>
      </c>
      <c r="C609" s="229" t="s">
        <v>1382</v>
      </c>
      <c r="D609" s="130" t="s">
        <v>119</v>
      </c>
      <c r="E609" s="130" t="s">
        <v>1304</v>
      </c>
      <c r="F609" s="230">
        <v>0.20030000000000001</v>
      </c>
      <c r="G609" s="494">
        <v>26.85</v>
      </c>
      <c r="H609" s="494">
        <v>5.38</v>
      </c>
    </row>
    <row r="610" spans="1:8" ht="25.5">
      <c r="B610" s="130" t="s">
        <v>1383</v>
      </c>
      <c r="C610" s="229" t="s">
        <v>1384</v>
      </c>
      <c r="D610" s="130" t="s">
        <v>119</v>
      </c>
      <c r="E610" s="130" t="s">
        <v>1307</v>
      </c>
      <c r="F610" s="230">
        <v>0.16270000000000001</v>
      </c>
      <c r="G610" s="494">
        <v>28.94</v>
      </c>
      <c r="H610" s="494">
        <v>4.71</v>
      </c>
    </row>
    <row r="611" spans="1:8" ht="12.75" customHeight="1">
      <c r="B611" s="105"/>
      <c r="C611" s="105"/>
      <c r="D611" s="105"/>
      <c r="E611" s="105"/>
      <c r="F611" s="629" t="s">
        <v>1308</v>
      </c>
      <c r="G611" s="629"/>
      <c r="H611" s="495">
        <v>10.09</v>
      </c>
    </row>
    <row r="612" spans="1:8" ht="12.75" customHeight="1">
      <c r="B612" s="628" t="s">
        <v>607</v>
      </c>
      <c r="C612" s="628"/>
      <c r="D612" s="103" t="s">
        <v>579</v>
      </c>
      <c r="E612" s="103" t="s">
        <v>580</v>
      </c>
      <c r="F612" s="103" t="s">
        <v>581</v>
      </c>
      <c r="G612" s="103" t="s">
        <v>582</v>
      </c>
      <c r="H612" s="103" t="s">
        <v>583</v>
      </c>
    </row>
    <row r="613" spans="1:8">
      <c r="B613" s="130" t="s">
        <v>625</v>
      </c>
      <c r="C613" s="229" t="s">
        <v>626</v>
      </c>
      <c r="D613" s="130" t="s">
        <v>119</v>
      </c>
      <c r="E613" s="130" t="s">
        <v>121</v>
      </c>
      <c r="F613" s="230">
        <v>0.36299999999999999</v>
      </c>
      <c r="G613" s="494">
        <v>23.75</v>
      </c>
      <c r="H613" s="494">
        <v>8.6199999999999992</v>
      </c>
    </row>
    <row r="614" spans="1:8" ht="12.75" customHeight="1">
      <c r="B614" s="105"/>
      <c r="C614" s="105"/>
      <c r="D614" s="105"/>
      <c r="E614" s="105"/>
      <c r="F614" s="629" t="s">
        <v>610</v>
      </c>
      <c r="G614" s="629"/>
      <c r="H614" s="495">
        <v>8.6199999999999992</v>
      </c>
    </row>
    <row r="615" spans="1:8" ht="12.75" customHeight="1">
      <c r="B615" s="105"/>
      <c r="C615" s="105"/>
      <c r="D615" s="105"/>
      <c r="E615" s="105"/>
      <c r="F615" s="630" t="s">
        <v>464</v>
      </c>
      <c r="G615" s="630"/>
      <c r="H615" s="102">
        <v>18.690000000000001</v>
      </c>
    </row>
    <row r="616" spans="1:8">
      <c r="B616" s="105"/>
      <c r="C616" s="105"/>
      <c r="D616" s="105"/>
      <c r="E616" s="105"/>
      <c r="F616" s="634"/>
      <c r="G616" s="634"/>
      <c r="H616" s="634"/>
    </row>
    <row r="617" spans="1:8" s="220" customFormat="1" ht="27" customHeight="1">
      <c r="A617" s="178" t="str">
        <f>'3 - PLAN. ORÇAMENTÁRIA'!A112</f>
        <v>3.4.1.2.1</v>
      </c>
      <c r="B617" s="242">
        <f>VLOOKUP(A617,'3 - PLAN. ORÇAMENTÁRIA'!$A$16:$B$721,2,FALSE)</f>
        <v>96523</v>
      </c>
      <c r="C617" s="631" t="str">
        <f>VLOOKUP(A617,'3 - PLAN. ORÇAMENTÁRIA'!$A$16:$C$721,3,FALSE)</f>
        <v>ESCAVAÇÃO MANUAL PARA BLOCO DE COROAMENTO OU SAPATA (INCLUINDO ESCAVAÇÃO PARA COLOCAÇÃO DE FÔRMAS). AF_01/2024</v>
      </c>
      <c r="D617" s="632"/>
      <c r="E617" s="632"/>
      <c r="F617" s="632"/>
      <c r="G617" s="633"/>
      <c r="H617" s="131" t="str">
        <f>VLOOKUP(A617,'3 - PLAN. ORÇAMENTÁRIA'!$A$17:$E$721,5,FALSE)</f>
        <v>M3</v>
      </c>
    </row>
    <row r="618" spans="1:8" ht="12.75" customHeight="1">
      <c r="B618" s="628" t="s">
        <v>607</v>
      </c>
      <c r="C618" s="628"/>
      <c r="D618" s="103" t="s">
        <v>579</v>
      </c>
      <c r="E618" s="103" t="s">
        <v>580</v>
      </c>
      <c r="F618" s="103" t="s">
        <v>581</v>
      </c>
      <c r="G618" s="103" t="s">
        <v>582</v>
      </c>
      <c r="H618" s="103" t="s">
        <v>583</v>
      </c>
    </row>
    <row r="619" spans="1:8">
      <c r="B619" s="130" t="s">
        <v>639</v>
      </c>
      <c r="C619" s="229" t="s">
        <v>640</v>
      </c>
      <c r="D619" s="130" t="s">
        <v>119</v>
      </c>
      <c r="E619" s="130" t="s">
        <v>121</v>
      </c>
      <c r="F619" s="230">
        <v>0.96599999999999997</v>
      </c>
      <c r="G619" s="494">
        <v>31.34</v>
      </c>
      <c r="H619" s="494">
        <v>30.27</v>
      </c>
    </row>
    <row r="620" spans="1:8">
      <c r="B620" s="130" t="s">
        <v>625</v>
      </c>
      <c r="C620" s="229" t="s">
        <v>626</v>
      </c>
      <c r="D620" s="130" t="s">
        <v>119</v>
      </c>
      <c r="E620" s="130" t="s">
        <v>121</v>
      </c>
      <c r="F620" s="230">
        <v>3.1259999999999999</v>
      </c>
      <c r="G620" s="494">
        <v>23.75</v>
      </c>
      <c r="H620" s="494">
        <v>74.239999999999995</v>
      </c>
    </row>
    <row r="621" spans="1:8" ht="12.75" customHeight="1">
      <c r="B621" s="105"/>
      <c r="C621" s="105"/>
      <c r="D621" s="105"/>
      <c r="E621" s="105"/>
      <c r="F621" s="629" t="s">
        <v>610</v>
      </c>
      <c r="G621" s="629"/>
      <c r="H621" s="495">
        <v>104.51</v>
      </c>
    </row>
    <row r="622" spans="1:8" ht="12.75" customHeight="1">
      <c r="B622" s="105"/>
      <c r="C622" s="105"/>
      <c r="D622" s="105"/>
      <c r="E622" s="105"/>
      <c r="F622" s="630" t="s">
        <v>464</v>
      </c>
      <c r="G622" s="630"/>
      <c r="H622" s="102">
        <v>104.51</v>
      </c>
    </row>
    <row r="623" spans="1:8">
      <c r="B623" s="105"/>
      <c r="C623" s="105"/>
      <c r="D623" s="105"/>
      <c r="E623" s="105"/>
      <c r="F623" s="634"/>
      <c r="G623" s="634"/>
      <c r="H623" s="634"/>
    </row>
    <row r="624" spans="1:8" s="220" customFormat="1" ht="27" customHeight="1">
      <c r="A624" s="178" t="str">
        <f>'3 - PLAN. ORÇAMENTÁRIA'!A113</f>
        <v>3.4.1.2.2</v>
      </c>
      <c r="B624" s="242">
        <f>VLOOKUP(A624,'3 - PLAN. ORÇAMENTÁRIA'!$A$16:$B$721,2,FALSE)</f>
        <v>101616</v>
      </c>
      <c r="C624" s="631" t="str">
        <f>VLOOKUP(A624,'3 - PLAN. ORÇAMENTÁRIA'!$A$16:$C$721,3,FALSE)</f>
        <v>PREPARO DE FUNDO DE VALA COM LARGURA MENOR QUE 1,5 M (ACERTO DO SOLO NATURAL). AF_08/2020</v>
      </c>
      <c r="D624" s="632"/>
      <c r="E624" s="632"/>
      <c r="F624" s="632"/>
      <c r="G624" s="633"/>
      <c r="H624" s="493" t="str">
        <f>VLOOKUP(A624,'3 - PLAN. ORÇAMENTÁRIA'!$A$17:$E$721,5,FALSE)</f>
        <v>M2</v>
      </c>
    </row>
    <row r="625" spans="1:8" ht="12.75" customHeight="1">
      <c r="B625" s="628" t="s">
        <v>1301</v>
      </c>
      <c r="C625" s="628"/>
      <c r="D625" s="103" t="s">
        <v>579</v>
      </c>
      <c r="E625" s="103" t="s">
        <v>580</v>
      </c>
      <c r="F625" s="103" t="s">
        <v>581</v>
      </c>
      <c r="G625" s="103" t="s">
        <v>582</v>
      </c>
      <c r="H625" s="103" t="s">
        <v>583</v>
      </c>
    </row>
    <row r="626" spans="1:8" ht="25.5">
      <c r="B626" s="130" t="s">
        <v>1385</v>
      </c>
      <c r="C626" s="229" t="s">
        <v>1386</v>
      </c>
      <c r="D626" s="130" t="s">
        <v>119</v>
      </c>
      <c r="E626" s="130" t="s">
        <v>1304</v>
      </c>
      <c r="F626" s="230">
        <v>3.5999999999999999E-3</v>
      </c>
      <c r="G626" s="494">
        <v>27.12</v>
      </c>
      <c r="H626" s="494">
        <v>0.1</v>
      </c>
    </row>
    <row r="627" spans="1:8" ht="25.5">
      <c r="B627" s="130" t="s">
        <v>1387</v>
      </c>
      <c r="C627" s="229" t="s">
        <v>1388</v>
      </c>
      <c r="D627" s="130" t="s">
        <v>119</v>
      </c>
      <c r="E627" s="130" t="s">
        <v>1307</v>
      </c>
      <c r="F627" s="230">
        <v>3.5999999999999999E-3</v>
      </c>
      <c r="G627" s="494">
        <v>34.299999999999997</v>
      </c>
      <c r="H627" s="494">
        <v>0.12</v>
      </c>
    </row>
    <row r="628" spans="1:8" ht="12.75" customHeight="1">
      <c r="B628" s="105"/>
      <c r="C628" s="105"/>
      <c r="D628" s="105"/>
      <c r="E628" s="105"/>
      <c r="F628" s="629" t="s">
        <v>1308</v>
      </c>
      <c r="G628" s="629"/>
      <c r="H628" s="495">
        <v>0.22</v>
      </c>
    </row>
    <row r="629" spans="1:8" ht="12.75" customHeight="1">
      <c r="B629" s="628" t="s">
        <v>607</v>
      </c>
      <c r="C629" s="628"/>
      <c r="D629" s="103" t="s">
        <v>579</v>
      </c>
      <c r="E629" s="103" t="s">
        <v>580</v>
      </c>
      <c r="F629" s="103" t="s">
        <v>581</v>
      </c>
      <c r="G629" s="103" t="s">
        <v>582</v>
      </c>
      <c r="H629" s="103" t="s">
        <v>583</v>
      </c>
    </row>
    <row r="630" spans="1:8">
      <c r="B630" s="130" t="s">
        <v>639</v>
      </c>
      <c r="C630" s="229" t="s">
        <v>640</v>
      </c>
      <c r="D630" s="130" t="s">
        <v>119</v>
      </c>
      <c r="E630" s="130" t="s">
        <v>121</v>
      </c>
      <c r="F630" s="230">
        <v>0.10199999999999999</v>
      </c>
      <c r="G630" s="494">
        <v>31.34</v>
      </c>
      <c r="H630" s="494">
        <v>3.2</v>
      </c>
    </row>
    <row r="631" spans="1:8">
      <c r="B631" s="130" t="s">
        <v>625</v>
      </c>
      <c r="C631" s="229" t="s">
        <v>626</v>
      </c>
      <c r="D631" s="130" t="s">
        <v>119</v>
      </c>
      <c r="E631" s="130" t="s">
        <v>121</v>
      </c>
      <c r="F631" s="230">
        <v>0.15310000000000001</v>
      </c>
      <c r="G631" s="494">
        <v>23.75</v>
      </c>
      <c r="H631" s="494">
        <v>3.64</v>
      </c>
    </row>
    <row r="632" spans="1:8" ht="12.75" customHeight="1">
      <c r="B632" s="105"/>
      <c r="C632" s="105"/>
      <c r="D632" s="105"/>
      <c r="E632" s="105"/>
      <c r="F632" s="629" t="s">
        <v>610</v>
      </c>
      <c r="G632" s="629"/>
      <c r="H632" s="495">
        <v>6.84</v>
      </c>
    </row>
    <row r="633" spans="1:8" ht="12.75" customHeight="1">
      <c r="B633" s="105"/>
      <c r="C633" s="105"/>
      <c r="D633" s="105"/>
      <c r="E633" s="105"/>
      <c r="F633" s="630" t="s">
        <v>464</v>
      </c>
      <c r="G633" s="630"/>
      <c r="H633" s="102">
        <v>7.03</v>
      </c>
    </row>
    <row r="634" spans="1:8">
      <c r="B634" s="105"/>
      <c r="C634" s="105"/>
      <c r="D634" s="105"/>
      <c r="E634" s="105"/>
      <c r="F634" s="634"/>
      <c r="G634" s="634"/>
      <c r="H634" s="634"/>
    </row>
    <row r="635" spans="1:8" s="220" customFormat="1" ht="27" customHeight="1">
      <c r="A635" s="178" t="str">
        <f>'3 - PLAN. ORÇAMENTÁRIA'!A114</f>
        <v>3.4.1.2.3</v>
      </c>
      <c r="B635" s="242">
        <f>VLOOKUP(A635,'3 - PLAN. ORÇAMENTÁRIA'!$A$16:$B$721,2,FALSE)</f>
        <v>96616</v>
      </c>
      <c r="C635" s="631" t="str">
        <f>VLOOKUP(A635,'3 - PLAN. ORÇAMENTÁRIA'!$A$16:$C$721,3,FALSE)</f>
        <v>LASTRO DE CONCRETO MAGRO, APLICADO EM BLOCOS DE COROAMENTO OU SAPATAS. AF_01/2024</v>
      </c>
      <c r="D635" s="632"/>
      <c r="E635" s="632"/>
      <c r="F635" s="632"/>
      <c r="G635" s="633"/>
      <c r="H635" s="493" t="str">
        <f>VLOOKUP(A635,'3 - PLAN. ORÇAMENTÁRIA'!$A$17:$E$721,5,FALSE)</f>
        <v>M3</v>
      </c>
    </row>
    <row r="636" spans="1:8" ht="12.75" customHeight="1">
      <c r="B636" s="628" t="s">
        <v>607</v>
      </c>
      <c r="C636" s="628"/>
      <c r="D636" s="103" t="s">
        <v>579</v>
      </c>
      <c r="E636" s="103" t="s">
        <v>580</v>
      </c>
      <c r="F636" s="103" t="s">
        <v>581</v>
      </c>
      <c r="G636" s="103" t="s">
        <v>582</v>
      </c>
      <c r="H636" s="103" t="s">
        <v>583</v>
      </c>
    </row>
    <row r="637" spans="1:8">
      <c r="B637" s="130" t="s">
        <v>639</v>
      </c>
      <c r="C637" s="229" t="s">
        <v>640</v>
      </c>
      <c r="D637" s="130" t="s">
        <v>119</v>
      </c>
      <c r="E637" s="130" t="s">
        <v>121</v>
      </c>
      <c r="F637" s="230">
        <v>6.7809999999999997</v>
      </c>
      <c r="G637" s="494">
        <v>31.34</v>
      </c>
      <c r="H637" s="494">
        <v>212.52</v>
      </c>
    </row>
    <row r="638" spans="1:8">
      <c r="B638" s="130" t="s">
        <v>625</v>
      </c>
      <c r="C638" s="229" t="s">
        <v>626</v>
      </c>
      <c r="D638" s="130" t="s">
        <v>119</v>
      </c>
      <c r="E638" s="130" t="s">
        <v>121</v>
      </c>
      <c r="F638" s="230">
        <v>2.4529999999999998</v>
      </c>
      <c r="G638" s="494">
        <v>23.75</v>
      </c>
      <c r="H638" s="494">
        <v>58.26</v>
      </c>
    </row>
    <row r="639" spans="1:8" ht="12.75" customHeight="1">
      <c r="B639" s="105"/>
      <c r="C639" s="105"/>
      <c r="D639" s="105"/>
      <c r="E639" s="105"/>
      <c r="F639" s="629" t="s">
        <v>610</v>
      </c>
      <c r="G639" s="629"/>
      <c r="H639" s="495">
        <v>270.77999999999997</v>
      </c>
    </row>
    <row r="640" spans="1:8">
      <c r="B640" s="628" t="s">
        <v>586</v>
      </c>
      <c r="C640" s="628"/>
      <c r="D640" s="103" t="s">
        <v>579</v>
      </c>
      <c r="E640" s="103" t="s">
        <v>580</v>
      </c>
      <c r="F640" s="103" t="s">
        <v>581</v>
      </c>
      <c r="G640" s="103" t="s">
        <v>582</v>
      </c>
      <c r="H640" s="103" t="s">
        <v>583</v>
      </c>
    </row>
    <row r="641" spans="1:8" ht="25.5">
      <c r="B641" s="130" t="s">
        <v>1389</v>
      </c>
      <c r="C641" s="229" t="s">
        <v>1390</v>
      </c>
      <c r="D641" s="130" t="s">
        <v>119</v>
      </c>
      <c r="E641" s="130" t="s">
        <v>167</v>
      </c>
      <c r="F641" s="230">
        <v>1.38</v>
      </c>
      <c r="G641" s="494">
        <v>427.93</v>
      </c>
      <c r="H641" s="494">
        <v>590.54</v>
      </c>
    </row>
    <row r="642" spans="1:8">
      <c r="B642" s="105"/>
      <c r="C642" s="105"/>
      <c r="D642" s="105"/>
      <c r="E642" s="105"/>
      <c r="F642" s="629" t="s">
        <v>587</v>
      </c>
      <c r="G642" s="629"/>
      <c r="H642" s="495">
        <v>590.54</v>
      </c>
    </row>
    <row r="643" spans="1:8" ht="12.75" customHeight="1">
      <c r="B643" s="105"/>
      <c r="C643" s="105"/>
      <c r="D643" s="105"/>
      <c r="E643" s="105"/>
      <c r="F643" s="630" t="s">
        <v>464</v>
      </c>
      <c r="G643" s="630"/>
      <c r="H643" s="102">
        <v>861.32</v>
      </c>
    </row>
    <row r="644" spans="1:8">
      <c r="B644" s="105"/>
      <c r="C644" s="105"/>
      <c r="D644" s="105"/>
      <c r="E644" s="105"/>
      <c r="F644" s="634"/>
      <c r="G644" s="634"/>
      <c r="H644" s="634"/>
    </row>
    <row r="645" spans="1:8" s="220" customFormat="1" ht="27" customHeight="1">
      <c r="A645" s="178" t="str">
        <f>'3 - PLAN. ORÇAMENTÁRIA'!A115</f>
        <v>3.4.1.2.4</v>
      </c>
      <c r="B645" s="242">
        <f>VLOOKUP(A645,'3 - PLAN. ORÇAMENTÁRIA'!$A$16:$B$721,2,FALSE)</f>
        <v>96540</v>
      </c>
      <c r="C645" s="631" t="str">
        <f>VLOOKUP(A645,'3 - PLAN. ORÇAMENTÁRIA'!$A$16:$C$721,3,FALSE)</f>
        <v>FABRICAÇÃO, MONTAGEM E DESMONTAGEM DE FÔRMA PARA BLOCO DE COROAMENTO, EM CHAPA DE MADEIRA COMPENSADA RESINADA, E=17 MM, 4 UTILIZAÇÕES. AF_01/2024</v>
      </c>
      <c r="D645" s="632"/>
      <c r="E645" s="632"/>
      <c r="F645" s="632"/>
      <c r="G645" s="633"/>
      <c r="H645" s="493" t="str">
        <f>VLOOKUP(A645,'3 - PLAN. ORÇAMENTÁRIA'!$A$17:$E$721,5,FALSE)</f>
        <v>M2</v>
      </c>
    </row>
    <row r="646" spans="1:8" ht="12.75" customHeight="1">
      <c r="B646" s="628" t="s">
        <v>1301</v>
      </c>
      <c r="C646" s="628"/>
      <c r="D646" s="103" t="s">
        <v>579</v>
      </c>
      <c r="E646" s="103" t="s">
        <v>580</v>
      </c>
      <c r="F646" s="103" t="s">
        <v>581</v>
      </c>
      <c r="G646" s="103" t="s">
        <v>582</v>
      </c>
      <c r="H646" s="103" t="s">
        <v>583</v>
      </c>
    </row>
    <row r="647" spans="1:8" ht="25.5">
      <c r="B647" s="130" t="s">
        <v>1302</v>
      </c>
      <c r="C647" s="229" t="s">
        <v>1303</v>
      </c>
      <c r="D647" s="130" t="s">
        <v>119</v>
      </c>
      <c r="E647" s="130" t="s">
        <v>1304</v>
      </c>
      <c r="F647" s="230">
        <v>9.8000000000000004E-2</v>
      </c>
      <c r="G647" s="494">
        <v>26.18</v>
      </c>
      <c r="H647" s="494">
        <v>2.57</v>
      </c>
    </row>
    <row r="648" spans="1:8" ht="25.5">
      <c r="B648" s="130" t="s">
        <v>1305</v>
      </c>
      <c r="C648" s="229" t="s">
        <v>1306</v>
      </c>
      <c r="D648" s="130" t="s">
        <v>119</v>
      </c>
      <c r="E648" s="130" t="s">
        <v>1307</v>
      </c>
      <c r="F648" s="230">
        <v>2.4E-2</v>
      </c>
      <c r="G648" s="494">
        <v>27.22</v>
      </c>
      <c r="H648" s="494">
        <v>0.65</v>
      </c>
    </row>
    <row r="649" spans="1:8" ht="12.75" customHeight="1">
      <c r="B649" s="105"/>
      <c r="C649" s="105"/>
      <c r="D649" s="105"/>
      <c r="E649" s="105"/>
      <c r="F649" s="629" t="s">
        <v>1308</v>
      </c>
      <c r="G649" s="629"/>
      <c r="H649" s="495">
        <v>3.22</v>
      </c>
    </row>
    <row r="650" spans="1:8">
      <c r="B650" s="628" t="s">
        <v>593</v>
      </c>
      <c r="C650" s="628"/>
      <c r="D650" s="103" t="s">
        <v>579</v>
      </c>
      <c r="E650" s="103" t="s">
        <v>580</v>
      </c>
      <c r="F650" s="103" t="s">
        <v>581</v>
      </c>
      <c r="G650" s="103" t="s">
        <v>582</v>
      </c>
      <c r="H650" s="103" t="s">
        <v>583</v>
      </c>
    </row>
    <row r="651" spans="1:8" ht="25.5">
      <c r="B651" s="130" t="s">
        <v>641</v>
      </c>
      <c r="C651" s="229" t="s">
        <v>642</v>
      </c>
      <c r="D651" s="130" t="s">
        <v>119</v>
      </c>
      <c r="E651" s="130" t="s">
        <v>139</v>
      </c>
      <c r="F651" s="230">
        <v>0.33400000000000002</v>
      </c>
      <c r="G651" s="494">
        <v>38.04</v>
      </c>
      <c r="H651" s="494">
        <v>12.71</v>
      </c>
    </row>
    <row r="652" spans="1:8">
      <c r="B652" s="130" t="s">
        <v>643</v>
      </c>
      <c r="C652" s="229" t="s">
        <v>644</v>
      </c>
      <c r="D652" s="130" t="s">
        <v>119</v>
      </c>
      <c r="E652" s="130" t="s">
        <v>107</v>
      </c>
      <c r="F652" s="230">
        <v>9.5499999999999995E-3</v>
      </c>
      <c r="G652" s="494">
        <v>7.16</v>
      </c>
      <c r="H652" s="494">
        <v>7.0000000000000007E-2</v>
      </c>
    </row>
    <row r="653" spans="1:8">
      <c r="B653" s="130" t="s">
        <v>1309</v>
      </c>
      <c r="C653" s="229" t="s">
        <v>1310</v>
      </c>
      <c r="D653" s="130" t="s">
        <v>119</v>
      </c>
      <c r="E653" s="130" t="s">
        <v>173</v>
      </c>
      <c r="F653" s="230">
        <v>1.5549999999999999</v>
      </c>
      <c r="G653" s="494">
        <v>7.78</v>
      </c>
      <c r="H653" s="494">
        <v>12.1</v>
      </c>
    </row>
    <row r="654" spans="1:8">
      <c r="B654" s="130" t="s">
        <v>1391</v>
      </c>
      <c r="C654" s="229" t="s">
        <v>1392</v>
      </c>
      <c r="D654" s="130" t="s">
        <v>119</v>
      </c>
      <c r="E654" s="130" t="s">
        <v>200</v>
      </c>
      <c r="F654" s="230">
        <v>1.2999999999999999E-2</v>
      </c>
      <c r="G654" s="494">
        <v>20.72</v>
      </c>
      <c r="H654" s="494">
        <v>0.27</v>
      </c>
    </row>
    <row r="655" spans="1:8">
      <c r="B655" s="130" t="s">
        <v>1393</v>
      </c>
      <c r="C655" s="229" t="s">
        <v>1394</v>
      </c>
      <c r="D655" s="130" t="s">
        <v>119</v>
      </c>
      <c r="E655" s="130" t="s">
        <v>200</v>
      </c>
      <c r="F655" s="230">
        <v>3.4000000000000002E-2</v>
      </c>
      <c r="G655" s="494">
        <v>19.079999999999998</v>
      </c>
      <c r="H655" s="494">
        <v>0.65</v>
      </c>
    </row>
    <row r="656" spans="1:8">
      <c r="B656" s="130" t="s">
        <v>1395</v>
      </c>
      <c r="C656" s="229" t="s">
        <v>1396</v>
      </c>
      <c r="D656" s="130" t="s">
        <v>119</v>
      </c>
      <c r="E656" s="130" t="s">
        <v>200</v>
      </c>
      <c r="F656" s="230">
        <v>3.2000000000000001E-2</v>
      </c>
      <c r="G656" s="494">
        <v>23.1</v>
      </c>
      <c r="H656" s="494">
        <v>0.74</v>
      </c>
    </row>
    <row r="657" spans="1:8">
      <c r="B657" s="130" t="s">
        <v>1397</v>
      </c>
      <c r="C657" s="229" t="s">
        <v>1398</v>
      </c>
      <c r="D657" s="130" t="s">
        <v>119</v>
      </c>
      <c r="E657" s="130" t="s">
        <v>173</v>
      </c>
      <c r="F657" s="230">
        <v>1.796</v>
      </c>
      <c r="G657" s="494">
        <v>2.72</v>
      </c>
      <c r="H657" s="494">
        <v>4.8899999999999997</v>
      </c>
    </row>
    <row r="658" spans="1:8">
      <c r="B658" s="130" t="s">
        <v>1399</v>
      </c>
      <c r="C658" s="229" t="s">
        <v>1400</v>
      </c>
      <c r="D658" s="130" t="s">
        <v>119</v>
      </c>
      <c r="E658" s="130" t="s">
        <v>173</v>
      </c>
      <c r="F658" s="230">
        <v>0.6</v>
      </c>
      <c r="G658" s="494">
        <v>12.9</v>
      </c>
      <c r="H658" s="494">
        <v>7.74</v>
      </c>
    </row>
    <row r="659" spans="1:8">
      <c r="B659" s="105"/>
      <c r="C659" s="105"/>
      <c r="D659" s="105"/>
      <c r="E659" s="105"/>
      <c r="F659" s="629" t="s">
        <v>604</v>
      </c>
      <c r="G659" s="629"/>
      <c r="H659" s="495">
        <v>39.17</v>
      </c>
    </row>
    <row r="660" spans="1:8" ht="12.75" customHeight="1">
      <c r="B660" s="628" t="s">
        <v>607</v>
      </c>
      <c r="C660" s="628"/>
      <c r="D660" s="103" t="s">
        <v>579</v>
      </c>
      <c r="E660" s="103" t="s">
        <v>580</v>
      </c>
      <c r="F660" s="103" t="s">
        <v>581</v>
      </c>
      <c r="G660" s="103" t="s">
        <v>582</v>
      </c>
      <c r="H660" s="103" t="s">
        <v>583</v>
      </c>
    </row>
    <row r="661" spans="1:8">
      <c r="B661" s="130" t="s">
        <v>1315</v>
      </c>
      <c r="C661" s="229" t="s">
        <v>617</v>
      </c>
      <c r="D661" s="130" t="s">
        <v>119</v>
      </c>
      <c r="E661" s="130" t="s">
        <v>121</v>
      </c>
      <c r="F661" s="230">
        <v>0.88200000000000001</v>
      </c>
      <c r="G661" s="494">
        <v>24.4</v>
      </c>
      <c r="H661" s="494">
        <v>21.52</v>
      </c>
    </row>
    <row r="662" spans="1:8">
      <c r="B662" s="130" t="s">
        <v>1316</v>
      </c>
      <c r="C662" s="229" t="s">
        <v>618</v>
      </c>
      <c r="D662" s="130" t="s">
        <v>119</v>
      </c>
      <c r="E662" s="130" t="s">
        <v>121</v>
      </c>
      <c r="F662" s="230">
        <v>2.1419999999999999</v>
      </c>
      <c r="G662" s="494">
        <v>30.91</v>
      </c>
      <c r="H662" s="494">
        <v>66.209999999999994</v>
      </c>
    </row>
    <row r="663" spans="1:8" ht="12.75" customHeight="1">
      <c r="B663" s="105"/>
      <c r="C663" s="105"/>
      <c r="D663" s="105"/>
      <c r="E663" s="105"/>
      <c r="F663" s="629" t="s">
        <v>610</v>
      </c>
      <c r="G663" s="629"/>
      <c r="H663" s="495">
        <v>87.73</v>
      </c>
    </row>
    <row r="664" spans="1:8" ht="12.75" customHeight="1">
      <c r="B664" s="105"/>
      <c r="C664" s="105"/>
      <c r="D664" s="105"/>
      <c r="E664" s="105"/>
      <c r="F664" s="630" t="s">
        <v>464</v>
      </c>
      <c r="G664" s="630"/>
      <c r="H664" s="102">
        <v>130.03</v>
      </c>
    </row>
    <row r="665" spans="1:8">
      <c r="B665" s="105"/>
      <c r="C665" s="105"/>
      <c r="D665" s="105"/>
      <c r="E665" s="105"/>
      <c r="F665" s="634"/>
      <c r="G665" s="634"/>
      <c r="H665" s="634"/>
    </row>
    <row r="666" spans="1:8" s="220" customFormat="1" ht="27" customHeight="1">
      <c r="A666" s="178" t="str">
        <f>'3 - PLAN. ORÇAMENTÁRIA'!A116</f>
        <v>3.4.1.2.5</v>
      </c>
      <c r="B666" s="242">
        <f>VLOOKUP(A666,'3 - PLAN. ORÇAMENTÁRIA'!$A$16:$B$721,2,FALSE)</f>
        <v>96557</v>
      </c>
      <c r="C666" s="631" t="str">
        <f>VLOOKUP(A666,'3 - PLAN. ORÇAMENTÁRIA'!$A$16:$C$721,3,FALSE)</f>
        <v>CONCRETAGEM DE BLOCO DE COROAMENTO OU VIGA BALDRAME, FCK 30 MPA, COM USO DE BOMBA - LANÇAMENTO, ADENSAMENTO E ACABAMENTO. AF_01/2024</v>
      </c>
      <c r="D666" s="632"/>
      <c r="E666" s="632"/>
      <c r="F666" s="632"/>
      <c r="G666" s="633"/>
      <c r="H666" s="493" t="str">
        <f>VLOOKUP(A666,'3 - PLAN. ORÇAMENTÁRIA'!$A$17:$E$721,5,FALSE)</f>
        <v>M3</v>
      </c>
    </row>
    <row r="667" spans="1:8" ht="12.75" customHeight="1">
      <c r="B667" s="628" t="s">
        <v>1301</v>
      </c>
      <c r="C667" s="628"/>
      <c r="D667" s="103" t="s">
        <v>579</v>
      </c>
      <c r="E667" s="103" t="s">
        <v>580</v>
      </c>
      <c r="F667" s="103" t="s">
        <v>581</v>
      </c>
      <c r="G667" s="103" t="s">
        <v>582</v>
      </c>
      <c r="H667" s="103" t="s">
        <v>583</v>
      </c>
    </row>
    <row r="668" spans="1:8" ht="25.5">
      <c r="B668" s="130" t="s">
        <v>1401</v>
      </c>
      <c r="C668" s="229" t="s">
        <v>1402</v>
      </c>
      <c r="D668" s="130" t="s">
        <v>119</v>
      </c>
      <c r="E668" s="130" t="s">
        <v>1304</v>
      </c>
      <c r="F668" s="230">
        <v>7.4999999999999997E-2</v>
      </c>
      <c r="G668" s="494">
        <v>0.53</v>
      </c>
      <c r="H668" s="494">
        <v>0.04</v>
      </c>
    </row>
    <row r="669" spans="1:8" ht="25.5">
      <c r="B669" s="130" t="s">
        <v>1403</v>
      </c>
      <c r="C669" s="229" t="s">
        <v>1404</v>
      </c>
      <c r="D669" s="130" t="s">
        <v>119</v>
      </c>
      <c r="E669" s="130" t="s">
        <v>1307</v>
      </c>
      <c r="F669" s="230">
        <v>9.1999999999999998E-2</v>
      </c>
      <c r="G669" s="494">
        <v>1.23</v>
      </c>
      <c r="H669" s="494">
        <v>0.11</v>
      </c>
    </row>
    <row r="670" spans="1:8" ht="12.75" customHeight="1">
      <c r="B670" s="105"/>
      <c r="C670" s="105"/>
      <c r="D670" s="105"/>
      <c r="E670" s="105"/>
      <c r="F670" s="629" t="s">
        <v>1308</v>
      </c>
      <c r="G670" s="629"/>
      <c r="H670" s="495">
        <v>0.15</v>
      </c>
    </row>
    <row r="671" spans="1:8">
      <c r="B671" s="628" t="s">
        <v>593</v>
      </c>
      <c r="C671" s="628"/>
      <c r="D671" s="103" t="s">
        <v>579</v>
      </c>
      <c r="E671" s="103" t="s">
        <v>580</v>
      </c>
      <c r="F671" s="103" t="s">
        <v>581</v>
      </c>
      <c r="G671" s="103" t="s">
        <v>582</v>
      </c>
      <c r="H671" s="103" t="s">
        <v>583</v>
      </c>
    </row>
    <row r="672" spans="1:8" ht="25.5">
      <c r="B672" s="130" t="s">
        <v>1405</v>
      </c>
      <c r="C672" s="229" t="s">
        <v>1406</v>
      </c>
      <c r="D672" s="130" t="s">
        <v>119</v>
      </c>
      <c r="E672" s="130" t="s">
        <v>167</v>
      </c>
      <c r="F672" s="230">
        <v>1.23</v>
      </c>
      <c r="G672" s="494">
        <v>539.62</v>
      </c>
      <c r="H672" s="494">
        <v>663.73</v>
      </c>
    </row>
    <row r="673" spans="1:8">
      <c r="B673" s="105"/>
      <c r="C673" s="105"/>
      <c r="D673" s="105"/>
      <c r="E673" s="105"/>
      <c r="F673" s="629" t="s">
        <v>604</v>
      </c>
      <c r="G673" s="629"/>
      <c r="H673" s="495">
        <v>663.73</v>
      </c>
    </row>
    <row r="674" spans="1:8" ht="12.75" customHeight="1">
      <c r="B674" s="628" t="s">
        <v>607</v>
      </c>
      <c r="C674" s="628"/>
      <c r="D674" s="103" t="s">
        <v>579</v>
      </c>
      <c r="E674" s="103" t="s">
        <v>580</v>
      </c>
      <c r="F674" s="103" t="s">
        <v>581</v>
      </c>
      <c r="G674" s="103" t="s">
        <v>582</v>
      </c>
      <c r="H674" s="103" t="s">
        <v>583</v>
      </c>
    </row>
    <row r="675" spans="1:8">
      <c r="B675" s="130" t="s">
        <v>639</v>
      </c>
      <c r="C675" s="229" t="s">
        <v>640</v>
      </c>
      <c r="D675" s="130" t="s">
        <v>119</v>
      </c>
      <c r="E675" s="130" t="s">
        <v>121</v>
      </c>
      <c r="F675" s="230">
        <v>0.33400000000000002</v>
      </c>
      <c r="G675" s="494">
        <v>31.34</v>
      </c>
      <c r="H675" s="494">
        <v>10.47</v>
      </c>
    </row>
    <row r="676" spans="1:8">
      <c r="B676" s="130" t="s">
        <v>625</v>
      </c>
      <c r="C676" s="229" t="s">
        <v>626</v>
      </c>
      <c r="D676" s="130" t="s">
        <v>119</v>
      </c>
      <c r="E676" s="130" t="s">
        <v>121</v>
      </c>
      <c r="F676" s="230">
        <v>0.501</v>
      </c>
      <c r="G676" s="494">
        <v>23.75</v>
      </c>
      <c r="H676" s="494">
        <v>11.9</v>
      </c>
    </row>
    <row r="677" spans="1:8" ht="12.75" customHeight="1">
      <c r="B677" s="105"/>
      <c r="C677" s="105"/>
      <c r="D677" s="105"/>
      <c r="E677" s="105"/>
      <c r="F677" s="629" t="s">
        <v>610</v>
      </c>
      <c r="G677" s="629"/>
      <c r="H677" s="495">
        <v>22.37</v>
      </c>
    </row>
    <row r="678" spans="1:8" ht="12.75" customHeight="1">
      <c r="B678" s="105"/>
      <c r="C678" s="105"/>
      <c r="D678" s="105"/>
      <c r="E678" s="105"/>
      <c r="F678" s="630" t="s">
        <v>464</v>
      </c>
      <c r="G678" s="630"/>
      <c r="H678" s="102">
        <v>686.22</v>
      </c>
    </row>
    <row r="679" spans="1:8">
      <c r="B679" s="105"/>
      <c r="C679" s="105"/>
      <c r="D679" s="105"/>
      <c r="E679" s="105"/>
      <c r="F679" s="634"/>
      <c r="G679" s="634"/>
      <c r="H679" s="634"/>
    </row>
    <row r="680" spans="1:8" s="220" customFormat="1" ht="27" customHeight="1">
      <c r="A680" s="178" t="str">
        <f>'3 - PLAN. ORÇAMENTÁRIA'!A117</f>
        <v>3.4.1.2.6</v>
      </c>
      <c r="B680" s="242">
        <f>VLOOKUP(A680,'3 - PLAN. ORÇAMENTÁRIA'!$A$16:$B$721,2,FALSE)</f>
        <v>93382</v>
      </c>
      <c r="C680" s="631" t="str">
        <f>VLOOKUP(A680,'3 - PLAN. ORÇAMENTÁRIA'!$A$16:$C$721,3,FALSE)</f>
        <v>REATERRO MANUAL DE VALAS, COM COMPACTADOR DE SOLOS DE PERCUSSÃO. AF_08/2023</v>
      </c>
      <c r="D680" s="632"/>
      <c r="E680" s="632"/>
      <c r="F680" s="632"/>
      <c r="G680" s="633"/>
      <c r="H680" s="493" t="str">
        <f>VLOOKUP(A680,'3 - PLAN. ORÇAMENTÁRIA'!$A$17:$E$721,5,FALSE)</f>
        <v>M3</v>
      </c>
    </row>
    <row r="681" spans="1:8" ht="12.75" customHeight="1">
      <c r="B681" s="628" t="s">
        <v>1301</v>
      </c>
      <c r="C681" s="628"/>
      <c r="D681" s="103" t="s">
        <v>579</v>
      </c>
      <c r="E681" s="103" t="s">
        <v>580</v>
      </c>
      <c r="F681" s="103" t="s">
        <v>581</v>
      </c>
      <c r="G681" s="103" t="s">
        <v>582</v>
      </c>
      <c r="H681" s="103" t="s">
        <v>583</v>
      </c>
    </row>
    <row r="682" spans="1:8" ht="38.25">
      <c r="B682" s="130" t="s">
        <v>1350</v>
      </c>
      <c r="C682" s="229" t="s">
        <v>1351</v>
      </c>
      <c r="D682" s="130" t="s">
        <v>119</v>
      </c>
      <c r="E682" s="130" t="s">
        <v>1304</v>
      </c>
      <c r="F682" s="230">
        <v>5.9999999999999995E-4</v>
      </c>
      <c r="G682" s="494">
        <v>75.08</v>
      </c>
      <c r="H682" s="494">
        <v>0.05</v>
      </c>
    </row>
    <row r="683" spans="1:8" ht="38.25">
      <c r="B683" s="130" t="s">
        <v>1352</v>
      </c>
      <c r="C683" s="229" t="s">
        <v>1353</v>
      </c>
      <c r="D683" s="130" t="s">
        <v>119</v>
      </c>
      <c r="E683" s="130" t="s">
        <v>1307</v>
      </c>
      <c r="F683" s="230">
        <v>5.4000000000000003E-3</v>
      </c>
      <c r="G683" s="494">
        <v>317.85000000000002</v>
      </c>
      <c r="H683" s="494">
        <v>1.72</v>
      </c>
    </row>
    <row r="684" spans="1:8" ht="25.5">
      <c r="B684" s="130" t="s">
        <v>1387</v>
      </c>
      <c r="C684" s="229" t="s">
        <v>1388</v>
      </c>
      <c r="D684" s="130" t="s">
        <v>119</v>
      </c>
      <c r="E684" s="130" t="s">
        <v>1307</v>
      </c>
      <c r="F684" s="230">
        <v>0.19620000000000001</v>
      </c>
      <c r="G684" s="494">
        <v>34.299999999999997</v>
      </c>
      <c r="H684" s="494">
        <v>6.73</v>
      </c>
    </row>
    <row r="685" spans="1:8" ht="12.75" customHeight="1">
      <c r="B685" s="105"/>
      <c r="C685" s="105"/>
      <c r="D685" s="105"/>
      <c r="E685" s="105"/>
      <c r="F685" s="629" t="s">
        <v>1308</v>
      </c>
      <c r="G685" s="629"/>
      <c r="H685" s="495">
        <v>8.5</v>
      </c>
    </row>
    <row r="686" spans="1:8" ht="12.75" customHeight="1">
      <c r="B686" s="628" t="s">
        <v>607</v>
      </c>
      <c r="C686" s="628"/>
      <c r="D686" s="103" t="s">
        <v>579</v>
      </c>
      <c r="E686" s="103" t="s">
        <v>580</v>
      </c>
      <c r="F686" s="103" t="s">
        <v>581</v>
      </c>
      <c r="G686" s="103" t="s">
        <v>582</v>
      </c>
      <c r="H686" s="103" t="s">
        <v>583</v>
      </c>
    </row>
    <row r="687" spans="1:8">
      <c r="B687" s="130" t="s">
        <v>625</v>
      </c>
      <c r="C687" s="229" t="s">
        <v>626</v>
      </c>
      <c r="D687" s="130" t="s">
        <v>119</v>
      </c>
      <c r="E687" s="130" t="s">
        <v>121</v>
      </c>
      <c r="F687" s="230">
        <v>0.78659999999999997</v>
      </c>
      <c r="G687" s="494">
        <v>23.75</v>
      </c>
      <c r="H687" s="494">
        <v>18.68</v>
      </c>
    </row>
    <row r="688" spans="1:8" ht="12.75" customHeight="1">
      <c r="B688" s="105"/>
      <c r="C688" s="105"/>
      <c r="D688" s="105"/>
      <c r="E688" s="105"/>
      <c r="F688" s="629" t="s">
        <v>610</v>
      </c>
      <c r="G688" s="629"/>
      <c r="H688" s="495">
        <v>18.68</v>
      </c>
    </row>
    <row r="689" spans="1:8" ht="12.75" customHeight="1">
      <c r="B689" s="105"/>
      <c r="C689" s="105"/>
      <c r="D689" s="105"/>
      <c r="E689" s="105"/>
      <c r="F689" s="630" t="s">
        <v>464</v>
      </c>
      <c r="G689" s="630"/>
      <c r="H689" s="102">
        <v>27.15</v>
      </c>
    </row>
    <row r="690" spans="1:8">
      <c r="B690" s="105"/>
      <c r="C690" s="105"/>
      <c r="D690" s="105"/>
      <c r="E690" s="105"/>
      <c r="F690" s="634"/>
      <c r="G690" s="634"/>
      <c r="H690" s="634"/>
    </row>
    <row r="691" spans="1:8" s="220" customFormat="1" ht="27" customHeight="1">
      <c r="A691" s="178" t="str">
        <f>'3 - PLAN. ORÇAMENTÁRIA'!A119</f>
        <v>3.4.1.3.1</v>
      </c>
      <c r="B691" s="242">
        <f>VLOOKUP(A691,'3 - PLAN. ORÇAMENTÁRIA'!$A$16:$B$721,2,FALSE)</f>
        <v>96527</v>
      </c>
      <c r="C691" s="631" t="str">
        <f>VLOOKUP(A691,'3 - PLAN. ORÇAMENTÁRIA'!$A$16:$C$721,3,FALSE)</f>
        <v>ESCAVAÇÃO MANUAL PARA VIGA BALDRAME OU SAPATA CORRIDA (INCLUINDO ESCAVAÇÃO PARA COLOCAÇÃO DE FÔRMAS). AF_01/2024</v>
      </c>
      <c r="D691" s="632"/>
      <c r="E691" s="632"/>
      <c r="F691" s="632"/>
      <c r="G691" s="633"/>
      <c r="H691" s="131" t="str">
        <f>VLOOKUP(A691,'3 - PLAN. ORÇAMENTÁRIA'!$A$17:$E$721,5,FALSE)</f>
        <v>M3</v>
      </c>
    </row>
    <row r="692" spans="1:8" ht="12.75" customHeight="1">
      <c r="B692" s="628" t="s">
        <v>607</v>
      </c>
      <c r="C692" s="628"/>
      <c r="D692" s="103" t="s">
        <v>579</v>
      </c>
      <c r="E692" s="103" t="s">
        <v>580</v>
      </c>
      <c r="F692" s="103" t="s">
        <v>581</v>
      </c>
      <c r="G692" s="103" t="s">
        <v>582</v>
      </c>
      <c r="H692" s="103" t="s">
        <v>583</v>
      </c>
    </row>
    <row r="693" spans="1:8">
      <c r="B693" s="130" t="s">
        <v>639</v>
      </c>
      <c r="C693" s="229" t="s">
        <v>640</v>
      </c>
      <c r="D693" s="130" t="s">
        <v>119</v>
      </c>
      <c r="E693" s="130" t="s">
        <v>121</v>
      </c>
      <c r="F693" s="230">
        <v>1.004</v>
      </c>
      <c r="G693" s="494">
        <v>31.34</v>
      </c>
      <c r="H693" s="494">
        <v>31.47</v>
      </c>
    </row>
    <row r="694" spans="1:8">
      <c r="B694" s="130" t="s">
        <v>625</v>
      </c>
      <c r="C694" s="229" t="s">
        <v>626</v>
      </c>
      <c r="D694" s="130" t="s">
        <v>119</v>
      </c>
      <c r="E694" s="130" t="s">
        <v>121</v>
      </c>
      <c r="F694" s="230">
        <v>3.5150000000000001</v>
      </c>
      <c r="G694" s="494">
        <v>23.75</v>
      </c>
      <c r="H694" s="494">
        <v>83.48</v>
      </c>
    </row>
    <row r="695" spans="1:8" ht="12.75" customHeight="1">
      <c r="B695" s="105"/>
      <c r="C695" s="105"/>
      <c r="D695" s="105"/>
      <c r="E695" s="105"/>
      <c r="F695" s="629" t="s">
        <v>610</v>
      </c>
      <c r="G695" s="629"/>
      <c r="H695" s="495">
        <v>114.95</v>
      </c>
    </row>
    <row r="696" spans="1:8" ht="12.75" customHeight="1">
      <c r="B696" s="105"/>
      <c r="C696" s="105"/>
      <c r="D696" s="105"/>
      <c r="E696" s="105"/>
      <c r="F696" s="630" t="s">
        <v>464</v>
      </c>
      <c r="G696" s="630"/>
      <c r="H696" s="102">
        <v>114.94</v>
      </c>
    </row>
    <row r="697" spans="1:8">
      <c r="B697" s="105"/>
      <c r="C697" s="105"/>
      <c r="D697" s="105"/>
      <c r="E697" s="105"/>
      <c r="F697" s="634"/>
      <c r="G697" s="634"/>
      <c r="H697" s="634"/>
    </row>
    <row r="698" spans="1:8" s="220" customFormat="1" ht="27" customHeight="1">
      <c r="A698" s="178" t="str">
        <f>'3 - PLAN. ORÇAMENTÁRIA'!A120</f>
        <v>3.4.1.3.2</v>
      </c>
      <c r="B698" s="242">
        <f>VLOOKUP(A698,'3 - PLAN. ORÇAMENTÁRIA'!$A$16:$B$721,2,FALSE)</f>
        <v>101616</v>
      </c>
      <c r="C698" s="631" t="str">
        <f>VLOOKUP(A698,'3 - PLAN. ORÇAMENTÁRIA'!$A$16:$C$721,3,FALSE)</f>
        <v>PREPARO DE FUNDO DE VALA COM LARGURA MENOR QUE 1,5 M (ACERTO DO SOLO NATURAL). AF_08/2020</v>
      </c>
      <c r="D698" s="632"/>
      <c r="E698" s="632"/>
      <c r="F698" s="632"/>
      <c r="G698" s="633"/>
      <c r="H698" s="493" t="str">
        <f>VLOOKUP(A698,'3 - PLAN. ORÇAMENTÁRIA'!$A$17:$E$721,5,FALSE)</f>
        <v>M2</v>
      </c>
    </row>
    <row r="699" spans="1:8" ht="12.75" customHeight="1">
      <c r="B699" s="628" t="s">
        <v>1301</v>
      </c>
      <c r="C699" s="628"/>
      <c r="D699" s="103" t="s">
        <v>579</v>
      </c>
      <c r="E699" s="103" t="s">
        <v>580</v>
      </c>
      <c r="F699" s="103" t="s">
        <v>581</v>
      </c>
      <c r="G699" s="103" t="s">
        <v>582</v>
      </c>
      <c r="H699" s="103" t="s">
        <v>583</v>
      </c>
    </row>
    <row r="700" spans="1:8" ht="25.5">
      <c r="B700" s="130" t="s">
        <v>1385</v>
      </c>
      <c r="C700" s="229" t="s">
        <v>1386</v>
      </c>
      <c r="D700" s="130" t="s">
        <v>119</v>
      </c>
      <c r="E700" s="130" t="s">
        <v>1304</v>
      </c>
      <c r="F700" s="230">
        <v>3.5999999999999999E-3</v>
      </c>
      <c r="G700" s="494">
        <v>27.12</v>
      </c>
      <c r="H700" s="494">
        <v>0.1</v>
      </c>
    </row>
    <row r="701" spans="1:8" ht="25.5">
      <c r="B701" s="130" t="s">
        <v>1387</v>
      </c>
      <c r="C701" s="229" t="s">
        <v>1388</v>
      </c>
      <c r="D701" s="130" t="s">
        <v>119</v>
      </c>
      <c r="E701" s="130" t="s">
        <v>1307</v>
      </c>
      <c r="F701" s="230">
        <v>3.5999999999999999E-3</v>
      </c>
      <c r="G701" s="494">
        <v>34.299999999999997</v>
      </c>
      <c r="H701" s="494">
        <v>0.12</v>
      </c>
    </row>
    <row r="702" spans="1:8" ht="12.75" customHeight="1">
      <c r="B702" s="105"/>
      <c r="C702" s="105"/>
      <c r="D702" s="105"/>
      <c r="E702" s="105"/>
      <c r="F702" s="629" t="s">
        <v>1308</v>
      </c>
      <c r="G702" s="629"/>
      <c r="H702" s="495">
        <v>0.22</v>
      </c>
    </row>
    <row r="703" spans="1:8" ht="12.75" customHeight="1">
      <c r="B703" s="628" t="s">
        <v>607</v>
      </c>
      <c r="C703" s="628"/>
      <c r="D703" s="103" t="s">
        <v>579</v>
      </c>
      <c r="E703" s="103" t="s">
        <v>580</v>
      </c>
      <c r="F703" s="103" t="s">
        <v>581</v>
      </c>
      <c r="G703" s="103" t="s">
        <v>582</v>
      </c>
      <c r="H703" s="103" t="s">
        <v>583</v>
      </c>
    </row>
    <row r="704" spans="1:8">
      <c r="B704" s="130" t="s">
        <v>639</v>
      </c>
      <c r="C704" s="229" t="s">
        <v>640</v>
      </c>
      <c r="D704" s="130" t="s">
        <v>119</v>
      </c>
      <c r="E704" s="130" t="s">
        <v>121</v>
      </c>
      <c r="F704" s="230">
        <v>0.10199999999999999</v>
      </c>
      <c r="G704" s="494">
        <v>31.34</v>
      </c>
      <c r="H704" s="494">
        <v>3.2</v>
      </c>
    </row>
    <row r="705" spans="1:8">
      <c r="B705" s="130" t="s">
        <v>625</v>
      </c>
      <c r="C705" s="229" t="s">
        <v>626</v>
      </c>
      <c r="D705" s="130" t="s">
        <v>119</v>
      </c>
      <c r="E705" s="130" t="s">
        <v>121</v>
      </c>
      <c r="F705" s="230">
        <v>0.15310000000000001</v>
      </c>
      <c r="G705" s="494">
        <v>23.75</v>
      </c>
      <c r="H705" s="494">
        <v>3.64</v>
      </c>
    </row>
    <row r="706" spans="1:8" ht="12.75" customHeight="1">
      <c r="B706" s="105"/>
      <c r="C706" s="105"/>
      <c r="D706" s="105"/>
      <c r="E706" s="105"/>
      <c r="F706" s="629" t="s">
        <v>610</v>
      </c>
      <c r="G706" s="629"/>
      <c r="H706" s="495">
        <v>6.84</v>
      </c>
    </row>
    <row r="707" spans="1:8" ht="12.75" customHeight="1">
      <c r="B707" s="105"/>
      <c r="C707" s="105"/>
      <c r="D707" s="105"/>
      <c r="E707" s="105"/>
      <c r="F707" s="630" t="s">
        <v>464</v>
      </c>
      <c r="G707" s="630"/>
      <c r="H707" s="102">
        <v>7.03</v>
      </c>
    </row>
    <row r="708" spans="1:8">
      <c r="B708" s="105"/>
      <c r="C708" s="105"/>
      <c r="D708" s="105"/>
      <c r="E708" s="105"/>
      <c r="F708" s="634"/>
      <c r="G708" s="634"/>
      <c r="H708" s="634"/>
    </row>
    <row r="709" spans="1:8" s="220" customFormat="1" ht="27" customHeight="1">
      <c r="A709" s="178" t="str">
        <f>'3 - PLAN. ORÇAMENTÁRIA'!A121</f>
        <v>3.4.1.3.3</v>
      </c>
      <c r="B709" s="242">
        <f>VLOOKUP(A709,'3 - PLAN. ORÇAMENTÁRIA'!$A$16:$B$721,2,FALSE)</f>
        <v>96616</v>
      </c>
      <c r="C709" s="631" t="str">
        <f>VLOOKUP(A709,'3 - PLAN. ORÇAMENTÁRIA'!$A$16:$C$721,3,FALSE)</f>
        <v>LASTRO DE CONCRETO MAGRO, APLICADO EM BLOCOS DE COROAMENTO OU SAPATAS. AF_01/2024</v>
      </c>
      <c r="D709" s="632"/>
      <c r="E709" s="632"/>
      <c r="F709" s="632"/>
      <c r="G709" s="633"/>
      <c r="H709" s="493" t="str">
        <f>VLOOKUP(A709,'3 - PLAN. ORÇAMENTÁRIA'!$A$17:$E$721,5,FALSE)</f>
        <v>M3</v>
      </c>
    </row>
    <row r="710" spans="1:8" ht="12.75" customHeight="1">
      <c r="B710" s="628" t="s">
        <v>607</v>
      </c>
      <c r="C710" s="628"/>
      <c r="D710" s="103" t="s">
        <v>579</v>
      </c>
      <c r="E710" s="103" t="s">
        <v>580</v>
      </c>
      <c r="F710" s="103" t="s">
        <v>581</v>
      </c>
      <c r="G710" s="103" t="s">
        <v>582</v>
      </c>
      <c r="H710" s="103" t="s">
        <v>583</v>
      </c>
    </row>
    <row r="711" spans="1:8">
      <c r="B711" s="130" t="s">
        <v>639</v>
      </c>
      <c r="C711" s="229" t="s">
        <v>640</v>
      </c>
      <c r="D711" s="130" t="s">
        <v>119</v>
      </c>
      <c r="E711" s="130" t="s">
        <v>121</v>
      </c>
      <c r="F711" s="230">
        <v>6.7809999999999997</v>
      </c>
      <c r="G711" s="494">
        <v>31.34</v>
      </c>
      <c r="H711" s="494">
        <v>212.52</v>
      </c>
    </row>
    <row r="712" spans="1:8">
      <c r="B712" s="130" t="s">
        <v>625</v>
      </c>
      <c r="C712" s="229" t="s">
        <v>626</v>
      </c>
      <c r="D712" s="130" t="s">
        <v>119</v>
      </c>
      <c r="E712" s="130" t="s">
        <v>121</v>
      </c>
      <c r="F712" s="230">
        <v>2.4529999999999998</v>
      </c>
      <c r="G712" s="494">
        <v>23.75</v>
      </c>
      <c r="H712" s="494">
        <v>58.26</v>
      </c>
    </row>
    <row r="713" spans="1:8" ht="12.75" customHeight="1">
      <c r="B713" s="105"/>
      <c r="C713" s="105"/>
      <c r="D713" s="105"/>
      <c r="E713" s="105"/>
      <c r="F713" s="629" t="s">
        <v>610</v>
      </c>
      <c r="G713" s="629"/>
      <c r="H713" s="495">
        <v>270.77999999999997</v>
      </c>
    </row>
    <row r="714" spans="1:8">
      <c r="B714" s="628" t="s">
        <v>586</v>
      </c>
      <c r="C714" s="628"/>
      <c r="D714" s="103" t="s">
        <v>579</v>
      </c>
      <c r="E714" s="103" t="s">
        <v>580</v>
      </c>
      <c r="F714" s="103" t="s">
        <v>581</v>
      </c>
      <c r="G714" s="103" t="s">
        <v>582</v>
      </c>
      <c r="H714" s="103" t="s">
        <v>583</v>
      </c>
    </row>
    <row r="715" spans="1:8" ht="25.5">
      <c r="B715" s="130" t="s">
        <v>1389</v>
      </c>
      <c r="C715" s="229" t="s">
        <v>1390</v>
      </c>
      <c r="D715" s="130" t="s">
        <v>119</v>
      </c>
      <c r="E715" s="130" t="s">
        <v>167</v>
      </c>
      <c r="F715" s="230">
        <v>1.38</v>
      </c>
      <c r="G715" s="494">
        <v>427.93</v>
      </c>
      <c r="H715" s="494">
        <v>590.54</v>
      </c>
    </row>
    <row r="716" spans="1:8">
      <c r="B716" s="105"/>
      <c r="C716" s="105"/>
      <c r="D716" s="105"/>
      <c r="E716" s="105"/>
      <c r="F716" s="629" t="s">
        <v>587</v>
      </c>
      <c r="G716" s="629"/>
      <c r="H716" s="495">
        <v>590.54</v>
      </c>
    </row>
    <row r="717" spans="1:8" ht="12.75" customHeight="1">
      <c r="B717" s="105"/>
      <c r="C717" s="105"/>
      <c r="D717" s="105"/>
      <c r="E717" s="105"/>
      <c r="F717" s="630" t="s">
        <v>464</v>
      </c>
      <c r="G717" s="630"/>
      <c r="H717" s="102">
        <v>861.32</v>
      </c>
    </row>
    <row r="718" spans="1:8">
      <c r="B718" s="105"/>
      <c r="C718" s="105"/>
      <c r="D718" s="105"/>
      <c r="E718" s="105"/>
      <c r="F718" s="634"/>
      <c r="G718" s="634"/>
      <c r="H718" s="634"/>
    </row>
    <row r="719" spans="1:8" s="220" customFormat="1" ht="27" customHeight="1">
      <c r="A719" s="178" t="str">
        <f>'3 - PLAN. ORÇAMENTÁRIA'!A122</f>
        <v>3.4.1.3.4</v>
      </c>
      <c r="B719" s="242">
        <f>VLOOKUP(A719,'3 - PLAN. ORÇAMENTÁRIA'!$A$16:$B$721,2,FALSE)</f>
        <v>96542</v>
      </c>
      <c r="C719" s="631" t="str">
        <f>VLOOKUP(A719,'3 - PLAN. ORÇAMENTÁRIA'!$A$16:$C$721,3,FALSE)</f>
        <v>FABRICAÇÃO, MONTAGEM E DESMONTAGEM DE FÔRMA PARA VIGA BALDRAME, EM CHAPA DE MADEIRA COMPENSADA RESINADA, E=17 MM, 4 UTILIZAÇÕES. AF_01/2024</v>
      </c>
      <c r="D719" s="632"/>
      <c r="E719" s="632"/>
      <c r="F719" s="632"/>
      <c r="G719" s="633"/>
      <c r="H719" s="493" t="str">
        <f>VLOOKUP(A719,'3 - PLAN. ORÇAMENTÁRIA'!$A$17:$E$721,5,FALSE)</f>
        <v>M2</v>
      </c>
    </row>
    <row r="720" spans="1:8" ht="12.75" customHeight="1">
      <c r="B720" s="628" t="s">
        <v>1301</v>
      </c>
      <c r="C720" s="628"/>
      <c r="D720" s="103" t="s">
        <v>579</v>
      </c>
      <c r="E720" s="103" t="s">
        <v>580</v>
      </c>
      <c r="F720" s="103" t="s">
        <v>581</v>
      </c>
      <c r="G720" s="103" t="s">
        <v>582</v>
      </c>
      <c r="H720" s="103" t="s">
        <v>583</v>
      </c>
    </row>
    <row r="721" spans="2:8" ht="25.5">
      <c r="B721" s="130" t="s">
        <v>1302</v>
      </c>
      <c r="C721" s="229" t="s">
        <v>1303</v>
      </c>
      <c r="D721" s="130" t="s">
        <v>119</v>
      </c>
      <c r="E721" s="130" t="s">
        <v>1304</v>
      </c>
      <c r="F721" s="230">
        <v>5.6000000000000001E-2</v>
      </c>
      <c r="G721" s="494">
        <v>26.18</v>
      </c>
      <c r="H721" s="494">
        <v>1.47</v>
      </c>
    </row>
    <row r="722" spans="2:8" ht="25.5">
      <c r="B722" s="130" t="s">
        <v>1305</v>
      </c>
      <c r="C722" s="229" t="s">
        <v>1306</v>
      </c>
      <c r="D722" s="130" t="s">
        <v>119</v>
      </c>
      <c r="E722" s="130" t="s">
        <v>1307</v>
      </c>
      <c r="F722" s="230">
        <v>1.4E-2</v>
      </c>
      <c r="G722" s="494">
        <v>27.22</v>
      </c>
      <c r="H722" s="494">
        <v>0.38</v>
      </c>
    </row>
    <row r="723" spans="2:8" ht="12.75" customHeight="1">
      <c r="B723" s="105"/>
      <c r="C723" s="105"/>
      <c r="D723" s="105"/>
      <c r="E723" s="105"/>
      <c r="F723" s="629" t="s">
        <v>1308</v>
      </c>
      <c r="G723" s="629"/>
      <c r="H723" s="495">
        <v>1.85</v>
      </c>
    </row>
    <row r="724" spans="2:8">
      <c r="B724" s="628" t="s">
        <v>593</v>
      </c>
      <c r="C724" s="628"/>
      <c r="D724" s="103" t="s">
        <v>579</v>
      </c>
      <c r="E724" s="103" t="s">
        <v>580</v>
      </c>
      <c r="F724" s="103" t="s">
        <v>581</v>
      </c>
      <c r="G724" s="103" t="s">
        <v>582</v>
      </c>
      <c r="H724" s="103" t="s">
        <v>583</v>
      </c>
    </row>
    <row r="725" spans="2:8" ht="25.5">
      <c r="B725" s="130" t="s">
        <v>641</v>
      </c>
      <c r="C725" s="229" t="s">
        <v>642</v>
      </c>
      <c r="D725" s="130" t="s">
        <v>119</v>
      </c>
      <c r="E725" s="130" t="s">
        <v>139</v>
      </c>
      <c r="F725" s="230">
        <v>0.315</v>
      </c>
      <c r="G725" s="494">
        <v>38.04</v>
      </c>
      <c r="H725" s="494">
        <v>11.98</v>
      </c>
    </row>
    <row r="726" spans="2:8">
      <c r="B726" s="130" t="s">
        <v>643</v>
      </c>
      <c r="C726" s="229" t="s">
        <v>644</v>
      </c>
      <c r="D726" s="130" t="s">
        <v>119</v>
      </c>
      <c r="E726" s="130" t="s">
        <v>107</v>
      </c>
      <c r="F726" s="230">
        <v>9.5499999999999995E-3</v>
      </c>
      <c r="G726" s="494">
        <v>7.16</v>
      </c>
      <c r="H726" s="494">
        <v>7.0000000000000007E-2</v>
      </c>
    </row>
    <row r="727" spans="2:8">
      <c r="B727" s="130" t="s">
        <v>1309</v>
      </c>
      <c r="C727" s="229" t="s">
        <v>1310</v>
      </c>
      <c r="D727" s="130" t="s">
        <v>119</v>
      </c>
      <c r="E727" s="130" t="s">
        <v>173</v>
      </c>
      <c r="F727" s="230">
        <v>1.218</v>
      </c>
      <c r="G727" s="494">
        <v>7.78</v>
      </c>
      <c r="H727" s="494">
        <v>9.48</v>
      </c>
    </row>
    <row r="728" spans="2:8">
      <c r="B728" s="130" t="s">
        <v>1391</v>
      </c>
      <c r="C728" s="229" t="s">
        <v>1392</v>
      </c>
      <c r="D728" s="130" t="s">
        <v>119</v>
      </c>
      <c r="E728" s="130" t="s">
        <v>200</v>
      </c>
      <c r="F728" s="230">
        <v>8.9999999999999993E-3</v>
      </c>
      <c r="G728" s="494">
        <v>20.72</v>
      </c>
      <c r="H728" s="494">
        <v>0.19</v>
      </c>
    </row>
    <row r="729" spans="2:8">
      <c r="B729" s="130" t="s">
        <v>1393</v>
      </c>
      <c r="C729" s="229" t="s">
        <v>1394</v>
      </c>
      <c r="D729" s="130" t="s">
        <v>119</v>
      </c>
      <c r="E729" s="130" t="s">
        <v>200</v>
      </c>
      <c r="F729" s="230">
        <v>8.0000000000000002E-3</v>
      </c>
      <c r="G729" s="494">
        <v>19.079999999999998</v>
      </c>
      <c r="H729" s="494">
        <v>0.15</v>
      </c>
    </row>
    <row r="730" spans="2:8">
      <c r="B730" s="130" t="s">
        <v>1395</v>
      </c>
      <c r="C730" s="229" t="s">
        <v>1396</v>
      </c>
      <c r="D730" s="130" t="s">
        <v>119</v>
      </c>
      <c r="E730" s="130" t="s">
        <v>200</v>
      </c>
      <c r="F730" s="230">
        <v>1.4999999999999999E-2</v>
      </c>
      <c r="G730" s="494">
        <v>23.1</v>
      </c>
      <c r="H730" s="494">
        <v>0.35</v>
      </c>
    </row>
    <row r="731" spans="2:8">
      <c r="B731" s="130" t="s">
        <v>1397</v>
      </c>
      <c r="C731" s="229" t="s">
        <v>1398</v>
      </c>
      <c r="D731" s="130" t="s">
        <v>119</v>
      </c>
      <c r="E731" s="130" t="s">
        <v>173</v>
      </c>
      <c r="F731" s="230">
        <v>0.72199999999999998</v>
      </c>
      <c r="G731" s="494">
        <v>2.72</v>
      </c>
      <c r="H731" s="494">
        <v>1.96</v>
      </c>
    </row>
    <row r="732" spans="2:8">
      <c r="B732" s="105"/>
      <c r="C732" s="105"/>
      <c r="D732" s="105"/>
      <c r="E732" s="105"/>
      <c r="F732" s="629" t="s">
        <v>604</v>
      </c>
      <c r="G732" s="629"/>
      <c r="H732" s="495">
        <v>24.18</v>
      </c>
    </row>
    <row r="733" spans="2:8" ht="12.75" customHeight="1">
      <c r="B733" s="628" t="s">
        <v>607</v>
      </c>
      <c r="C733" s="628"/>
      <c r="D733" s="103" t="s">
        <v>579</v>
      </c>
      <c r="E733" s="103" t="s">
        <v>580</v>
      </c>
      <c r="F733" s="103" t="s">
        <v>581</v>
      </c>
      <c r="G733" s="103" t="s">
        <v>582</v>
      </c>
      <c r="H733" s="103" t="s">
        <v>583</v>
      </c>
    </row>
    <row r="734" spans="2:8">
      <c r="B734" s="130" t="s">
        <v>1315</v>
      </c>
      <c r="C734" s="229" t="s">
        <v>617</v>
      </c>
      <c r="D734" s="130" t="s">
        <v>119</v>
      </c>
      <c r="E734" s="130" t="s">
        <v>121</v>
      </c>
      <c r="F734" s="230">
        <v>0.73099999999999998</v>
      </c>
      <c r="G734" s="494">
        <v>24.4</v>
      </c>
      <c r="H734" s="494">
        <v>17.84</v>
      </c>
    </row>
    <row r="735" spans="2:8">
      <c r="B735" s="130" t="s">
        <v>1316</v>
      </c>
      <c r="C735" s="229" t="s">
        <v>618</v>
      </c>
      <c r="D735" s="130" t="s">
        <v>119</v>
      </c>
      <c r="E735" s="130" t="s">
        <v>121</v>
      </c>
      <c r="F735" s="230">
        <v>1.718</v>
      </c>
      <c r="G735" s="494">
        <v>30.91</v>
      </c>
      <c r="H735" s="494">
        <v>53.1</v>
      </c>
    </row>
    <row r="736" spans="2:8" ht="12.75" customHeight="1">
      <c r="B736" s="105"/>
      <c r="C736" s="105"/>
      <c r="D736" s="105"/>
      <c r="E736" s="105"/>
      <c r="F736" s="629" t="s">
        <v>610</v>
      </c>
      <c r="G736" s="629"/>
      <c r="H736" s="495">
        <v>70.94</v>
      </c>
    </row>
    <row r="737" spans="1:8" ht="12.75" customHeight="1">
      <c r="B737" s="105"/>
      <c r="C737" s="105"/>
      <c r="D737" s="105"/>
      <c r="E737" s="105"/>
      <c r="F737" s="630" t="s">
        <v>464</v>
      </c>
      <c r="G737" s="630"/>
      <c r="H737" s="102">
        <v>96.91</v>
      </c>
    </row>
    <row r="738" spans="1:8">
      <c r="B738" s="105"/>
      <c r="C738" s="105"/>
      <c r="D738" s="105"/>
      <c r="E738" s="105"/>
      <c r="F738" s="634"/>
      <c r="G738" s="634"/>
      <c r="H738" s="634"/>
    </row>
    <row r="739" spans="1:8" s="220" customFormat="1" ht="27" customHeight="1">
      <c r="A739" s="178" t="str">
        <f>'3 - PLAN. ORÇAMENTÁRIA'!A123</f>
        <v>3.4.1.3.5</v>
      </c>
      <c r="B739" s="242">
        <f>VLOOKUP(A739,'3 - PLAN. ORÇAMENTÁRIA'!$A$16:$B$721,2,FALSE)</f>
        <v>96557</v>
      </c>
      <c r="C739" s="631" t="str">
        <f>VLOOKUP(A739,'3 - PLAN. ORÇAMENTÁRIA'!$A$16:$C$721,3,FALSE)</f>
        <v>CONCRETAGEM DE BLOCO DE COROAMENTO OU VIGA BALDRAME, FCK 30 MPA, COM USO DE BOMBA - LANÇAMENTO, ADENSAMENTO E ACABAMENTO. AF_01/2024</v>
      </c>
      <c r="D739" s="632"/>
      <c r="E739" s="632"/>
      <c r="F739" s="632"/>
      <c r="G739" s="633"/>
      <c r="H739" s="493" t="str">
        <f>VLOOKUP(A739,'3 - PLAN. ORÇAMENTÁRIA'!$A$17:$E$721,5,FALSE)</f>
        <v>M3</v>
      </c>
    </row>
    <row r="740" spans="1:8" ht="12.75" customHeight="1">
      <c r="B740" s="628" t="s">
        <v>1301</v>
      </c>
      <c r="C740" s="628"/>
      <c r="D740" s="103" t="s">
        <v>579</v>
      </c>
      <c r="E740" s="103" t="s">
        <v>580</v>
      </c>
      <c r="F740" s="103" t="s">
        <v>581</v>
      </c>
      <c r="G740" s="103" t="s">
        <v>582</v>
      </c>
      <c r="H740" s="103" t="s">
        <v>583</v>
      </c>
    </row>
    <row r="741" spans="1:8" ht="25.5">
      <c r="B741" s="130" t="s">
        <v>1401</v>
      </c>
      <c r="C741" s="229" t="s">
        <v>1402</v>
      </c>
      <c r="D741" s="130" t="s">
        <v>119</v>
      </c>
      <c r="E741" s="130" t="s">
        <v>1304</v>
      </c>
      <c r="F741" s="230">
        <v>7.4999999999999997E-2</v>
      </c>
      <c r="G741" s="494">
        <v>0.53</v>
      </c>
      <c r="H741" s="494">
        <v>0.04</v>
      </c>
    </row>
    <row r="742" spans="1:8" ht="25.5">
      <c r="B742" s="130" t="s">
        <v>1403</v>
      </c>
      <c r="C742" s="229" t="s">
        <v>1404</v>
      </c>
      <c r="D742" s="130" t="s">
        <v>119</v>
      </c>
      <c r="E742" s="130" t="s">
        <v>1307</v>
      </c>
      <c r="F742" s="230">
        <v>9.1999999999999998E-2</v>
      </c>
      <c r="G742" s="494">
        <v>1.23</v>
      </c>
      <c r="H742" s="494">
        <v>0.11</v>
      </c>
    </row>
    <row r="743" spans="1:8" ht="12.75" customHeight="1">
      <c r="B743" s="105"/>
      <c r="C743" s="105"/>
      <c r="D743" s="105"/>
      <c r="E743" s="105"/>
      <c r="F743" s="629" t="s">
        <v>1308</v>
      </c>
      <c r="G743" s="629"/>
      <c r="H743" s="495">
        <v>0.15</v>
      </c>
    </row>
    <row r="744" spans="1:8">
      <c r="B744" s="628" t="s">
        <v>593</v>
      </c>
      <c r="C744" s="628"/>
      <c r="D744" s="103" t="s">
        <v>579</v>
      </c>
      <c r="E744" s="103" t="s">
        <v>580</v>
      </c>
      <c r="F744" s="103" t="s">
        <v>581</v>
      </c>
      <c r="G744" s="103" t="s">
        <v>582</v>
      </c>
      <c r="H744" s="103" t="s">
        <v>583</v>
      </c>
    </row>
    <row r="745" spans="1:8" ht="25.5">
      <c r="B745" s="130" t="s">
        <v>1405</v>
      </c>
      <c r="C745" s="229" t="s">
        <v>1406</v>
      </c>
      <c r="D745" s="130" t="s">
        <v>119</v>
      </c>
      <c r="E745" s="130" t="s">
        <v>167</v>
      </c>
      <c r="F745" s="230">
        <v>1.23</v>
      </c>
      <c r="G745" s="494">
        <v>539.62</v>
      </c>
      <c r="H745" s="494">
        <v>663.73</v>
      </c>
    </row>
    <row r="746" spans="1:8">
      <c r="B746" s="105"/>
      <c r="C746" s="105"/>
      <c r="D746" s="105"/>
      <c r="E746" s="105"/>
      <c r="F746" s="629" t="s">
        <v>604</v>
      </c>
      <c r="G746" s="629"/>
      <c r="H746" s="495">
        <v>663.73</v>
      </c>
    </row>
    <row r="747" spans="1:8" ht="12.75" customHeight="1">
      <c r="B747" s="628" t="s">
        <v>607</v>
      </c>
      <c r="C747" s="628"/>
      <c r="D747" s="103" t="s">
        <v>579</v>
      </c>
      <c r="E747" s="103" t="s">
        <v>580</v>
      </c>
      <c r="F747" s="103" t="s">
        <v>581</v>
      </c>
      <c r="G747" s="103" t="s">
        <v>582</v>
      </c>
      <c r="H747" s="103" t="s">
        <v>583</v>
      </c>
    </row>
    <row r="748" spans="1:8">
      <c r="B748" s="130" t="s">
        <v>639</v>
      </c>
      <c r="C748" s="229" t="s">
        <v>640</v>
      </c>
      <c r="D748" s="130" t="s">
        <v>119</v>
      </c>
      <c r="E748" s="130" t="s">
        <v>121</v>
      </c>
      <c r="F748" s="230">
        <v>0.33400000000000002</v>
      </c>
      <c r="G748" s="494">
        <v>31.34</v>
      </c>
      <c r="H748" s="494">
        <v>10.47</v>
      </c>
    </row>
    <row r="749" spans="1:8">
      <c r="B749" s="130" t="s">
        <v>625</v>
      </c>
      <c r="C749" s="229" t="s">
        <v>626</v>
      </c>
      <c r="D749" s="130" t="s">
        <v>119</v>
      </c>
      <c r="E749" s="130" t="s">
        <v>121</v>
      </c>
      <c r="F749" s="230">
        <v>0.501</v>
      </c>
      <c r="G749" s="494">
        <v>23.75</v>
      </c>
      <c r="H749" s="494">
        <v>11.9</v>
      </c>
    </row>
    <row r="750" spans="1:8" ht="12.75" customHeight="1">
      <c r="B750" s="105"/>
      <c r="C750" s="105"/>
      <c r="D750" s="105"/>
      <c r="E750" s="105"/>
      <c r="F750" s="629" t="s">
        <v>610</v>
      </c>
      <c r="G750" s="629"/>
      <c r="H750" s="495">
        <v>22.37</v>
      </c>
    </row>
    <row r="751" spans="1:8" ht="12.75" customHeight="1">
      <c r="B751" s="105"/>
      <c r="C751" s="105"/>
      <c r="D751" s="105"/>
      <c r="E751" s="105"/>
      <c r="F751" s="630" t="s">
        <v>464</v>
      </c>
      <c r="G751" s="630"/>
      <c r="H751" s="102">
        <v>686.22</v>
      </c>
    </row>
    <row r="752" spans="1:8">
      <c r="B752" s="105"/>
      <c r="C752" s="105"/>
      <c r="D752" s="105"/>
      <c r="E752" s="105"/>
      <c r="F752" s="634"/>
      <c r="G752" s="634"/>
      <c r="H752" s="634"/>
    </row>
    <row r="753" spans="1:8" s="220" customFormat="1" ht="27" customHeight="1">
      <c r="A753" s="178" t="str">
        <f>'3 - PLAN. ORÇAMENTÁRIA'!A124</f>
        <v>3.4.1.3.6</v>
      </c>
      <c r="B753" s="242">
        <f>VLOOKUP(A753,'3 - PLAN. ORÇAMENTÁRIA'!$A$16:$B$721,2,FALSE)</f>
        <v>93382</v>
      </c>
      <c r="C753" s="631" t="str">
        <f>VLOOKUP(A753,'3 - PLAN. ORÇAMENTÁRIA'!$A$16:$C$721,3,FALSE)</f>
        <v>REATERRO MANUAL DE VALAS, COM COMPACTADOR DE SOLOS DE PERCUSSÃO. AF_08/2023</v>
      </c>
      <c r="D753" s="632"/>
      <c r="E753" s="632"/>
      <c r="F753" s="632"/>
      <c r="G753" s="633"/>
      <c r="H753" s="493" t="str">
        <f>VLOOKUP(A753,'3 - PLAN. ORÇAMENTÁRIA'!$A$17:$E$721,5,FALSE)</f>
        <v>M3</v>
      </c>
    </row>
    <row r="754" spans="1:8" ht="12.75" customHeight="1">
      <c r="B754" s="628" t="s">
        <v>1301</v>
      </c>
      <c r="C754" s="628"/>
      <c r="D754" s="103" t="s">
        <v>579</v>
      </c>
      <c r="E754" s="103" t="s">
        <v>580</v>
      </c>
      <c r="F754" s="103" t="s">
        <v>581</v>
      </c>
      <c r="G754" s="103" t="s">
        <v>582</v>
      </c>
      <c r="H754" s="103" t="s">
        <v>583</v>
      </c>
    </row>
    <row r="755" spans="1:8" ht="38.25">
      <c r="B755" s="130" t="s">
        <v>1350</v>
      </c>
      <c r="C755" s="229" t="s">
        <v>1351</v>
      </c>
      <c r="D755" s="130" t="s">
        <v>119</v>
      </c>
      <c r="E755" s="130" t="s">
        <v>1304</v>
      </c>
      <c r="F755" s="230">
        <v>5.9999999999999995E-4</v>
      </c>
      <c r="G755" s="494">
        <v>75.08</v>
      </c>
      <c r="H755" s="494">
        <v>0.05</v>
      </c>
    </row>
    <row r="756" spans="1:8" ht="38.25">
      <c r="B756" s="130" t="s">
        <v>1352</v>
      </c>
      <c r="C756" s="229" t="s">
        <v>1353</v>
      </c>
      <c r="D756" s="130" t="s">
        <v>119</v>
      </c>
      <c r="E756" s="130" t="s">
        <v>1307</v>
      </c>
      <c r="F756" s="230">
        <v>5.4000000000000003E-3</v>
      </c>
      <c r="G756" s="494">
        <v>317.85000000000002</v>
      </c>
      <c r="H756" s="494">
        <v>1.72</v>
      </c>
    </row>
    <row r="757" spans="1:8" ht="25.5">
      <c r="B757" s="130" t="s">
        <v>1387</v>
      </c>
      <c r="C757" s="229" t="s">
        <v>1388</v>
      </c>
      <c r="D757" s="130" t="s">
        <v>119</v>
      </c>
      <c r="E757" s="130" t="s">
        <v>1307</v>
      </c>
      <c r="F757" s="230">
        <v>0.19620000000000001</v>
      </c>
      <c r="G757" s="494">
        <v>34.299999999999997</v>
      </c>
      <c r="H757" s="494">
        <v>6.73</v>
      </c>
    </row>
    <row r="758" spans="1:8" ht="12.75" customHeight="1">
      <c r="B758" s="105"/>
      <c r="C758" s="105"/>
      <c r="D758" s="105"/>
      <c r="E758" s="105"/>
      <c r="F758" s="629" t="s">
        <v>1308</v>
      </c>
      <c r="G758" s="629"/>
      <c r="H758" s="495">
        <v>8.5</v>
      </c>
    </row>
    <row r="759" spans="1:8" ht="12.75" customHeight="1">
      <c r="B759" s="628" t="s">
        <v>607</v>
      </c>
      <c r="C759" s="628"/>
      <c r="D759" s="103" t="s">
        <v>579</v>
      </c>
      <c r="E759" s="103" t="s">
        <v>580</v>
      </c>
      <c r="F759" s="103" t="s">
        <v>581</v>
      </c>
      <c r="G759" s="103" t="s">
        <v>582</v>
      </c>
      <c r="H759" s="103" t="s">
        <v>583</v>
      </c>
    </row>
    <row r="760" spans="1:8">
      <c r="B760" s="130" t="s">
        <v>625</v>
      </c>
      <c r="C760" s="229" t="s">
        <v>626</v>
      </c>
      <c r="D760" s="130" t="s">
        <v>119</v>
      </c>
      <c r="E760" s="130" t="s">
        <v>121</v>
      </c>
      <c r="F760" s="230">
        <v>0.78659999999999997</v>
      </c>
      <c r="G760" s="494">
        <v>23.75</v>
      </c>
      <c r="H760" s="494">
        <v>18.68</v>
      </c>
    </row>
    <row r="761" spans="1:8" ht="12.75" customHeight="1">
      <c r="B761" s="105"/>
      <c r="C761" s="105"/>
      <c r="D761" s="105"/>
      <c r="E761" s="105"/>
      <c r="F761" s="629" t="s">
        <v>610</v>
      </c>
      <c r="G761" s="629"/>
      <c r="H761" s="495">
        <v>18.68</v>
      </c>
    </row>
    <row r="762" spans="1:8" ht="12.75" customHeight="1">
      <c r="B762" s="105"/>
      <c r="C762" s="105"/>
      <c r="D762" s="105"/>
      <c r="E762" s="105"/>
      <c r="F762" s="630" t="s">
        <v>464</v>
      </c>
      <c r="G762" s="630"/>
      <c r="H762" s="102">
        <v>27.15</v>
      </c>
    </row>
    <row r="763" spans="1:8">
      <c r="B763" s="105"/>
      <c r="C763" s="105"/>
      <c r="D763" s="105"/>
      <c r="E763" s="105"/>
      <c r="F763" s="634"/>
      <c r="G763" s="634"/>
      <c r="H763" s="634"/>
    </row>
    <row r="764" spans="1:8" s="220" customFormat="1" ht="27" customHeight="1">
      <c r="A764" s="178" t="str">
        <f>'3 - PLAN. ORÇAMENTÁRIA'!A126</f>
        <v>3.4.1.4.1</v>
      </c>
      <c r="B764" s="242">
        <f>VLOOKUP(A764,'3 - PLAN. ORÇAMENTÁRIA'!$A$16:$B$721,2,FALSE)</f>
        <v>96543</v>
      </c>
      <c r="C764" s="631" t="str">
        <f>VLOOKUP(A764,'3 - PLAN. ORÇAMENTÁRIA'!$A$16:$C$721,3,FALSE)</f>
        <v>ARMAÇÃO DE BLOCO, ESTACA E VIGA BALDRAME UTILIZANDO AÇO CA-60 DE 5 MM - MONTAGEM. AF_01/2024</v>
      </c>
      <c r="D764" s="632"/>
      <c r="E764" s="632"/>
      <c r="F764" s="632"/>
      <c r="G764" s="633"/>
      <c r="H764" s="131" t="str">
        <f>VLOOKUP(A764,'3 - PLAN. ORÇAMENTÁRIA'!$A$17:$E$721,5,FALSE)</f>
        <v>KG</v>
      </c>
    </row>
    <row r="765" spans="1:8">
      <c r="B765" s="628" t="s">
        <v>593</v>
      </c>
      <c r="C765" s="628"/>
      <c r="D765" s="103" t="s">
        <v>579</v>
      </c>
      <c r="E765" s="103" t="s">
        <v>580</v>
      </c>
      <c r="F765" s="103" t="s">
        <v>581</v>
      </c>
      <c r="G765" s="103" t="s">
        <v>582</v>
      </c>
      <c r="H765" s="103" t="s">
        <v>583</v>
      </c>
    </row>
    <row r="766" spans="1:8">
      <c r="B766" s="130" t="s">
        <v>635</v>
      </c>
      <c r="C766" s="229" t="s">
        <v>636</v>
      </c>
      <c r="D766" s="130" t="s">
        <v>119</v>
      </c>
      <c r="E766" s="130" t="s">
        <v>200</v>
      </c>
      <c r="F766" s="230">
        <v>2.5000000000000001E-2</v>
      </c>
      <c r="G766" s="494">
        <v>19.38</v>
      </c>
      <c r="H766" s="494">
        <v>0.48</v>
      </c>
    </row>
    <row r="767" spans="1:8" ht="25.5">
      <c r="B767" s="130" t="s">
        <v>1373</v>
      </c>
      <c r="C767" s="229" t="s">
        <v>1374</v>
      </c>
      <c r="D767" s="130" t="s">
        <v>119</v>
      </c>
      <c r="E767" s="130" t="s">
        <v>144</v>
      </c>
      <c r="F767" s="230">
        <v>1.143</v>
      </c>
      <c r="G767" s="494">
        <v>0.22</v>
      </c>
      <c r="H767" s="494">
        <v>0.25</v>
      </c>
    </row>
    <row r="768" spans="1:8">
      <c r="B768" s="105"/>
      <c r="C768" s="105"/>
      <c r="D768" s="105"/>
      <c r="E768" s="105"/>
      <c r="F768" s="629" t="s">
        <v>604</v>
      </c>
      <c r="G768" s="629"/>
      <c r="H768" s="495">
        <v>0.73</v>
      </c>
    </row>
    <row r="769" spans="1:8" ht="12.75" customHeight="1">
      <c r="B769" s="628" t="s">
        <v>607</v>
      </c>
      <c r="C769" s="628"/>
      <c r="D769" s="103" t="s">
        <v>579</v>
      </c>
      <c r="E769" s="103" t="s">
        <v>580</v>
      </c>
      <c r="F769" s="103" t="s">
        <v>581</v>
      </c>
      <c r="G769" s="103" t="s">
        <v>582</v>
      </c>
      <c r="H769" s="103" t="s">
        <v>583</v>
      </c>
    </row>
    <row r="770" spans="1:8">
      <c r="B770" s="130" t="s">
        <v>1375</v>
      </c>
      <c r="C770" s="229" t="s">
        <v>637</v>
      </c>
      <c r="D770" s="130" t="s">
        <v>119</v>
      </c>
      <c r="E770" s="130" t="s">
        <v>121</v>
      </c>
      <c r="F770" s="230">
        <v>9.7000000000000003E-2</v>
      </c>
      <c r="G770" s="494">
        <v>24.57</v>
      </c>
      <c r="H770" s="494">
        <v>2.38</v>
      </c>
    </row>
    <row r="771" spans="1:8">
      <c r="B771" s="130" t="s">
        <v>1376</v>
      </c>
      <c r="C771" s="229" t="s">
        <v>638</v>
      </c>
      <c r="D771" s="130" t="s">
        <v>119</v>
      </c>
      <c r="E771" s="130" t="s">
        <v>121</v>
      </c>
      <c r="F771" s="230">
        <v>0.252</v>
      </c>
      <c r="G771" s="494">
        <v>31.13</v>
      </c>
      <c r="H771" s="494">
        <v>7.84</v>
      </c>
    </row>
    <row r="772" spans="1:8" ht="12.75" customHeight="1">
      <c r="B772" s="105"/>
      <c r="C772" s="105"/>
      <c r="D772" s="105"/>
      <c r="E772" s="105"/>
      <c r="F772" s="629" t="s">
        <v>610</v>
      </c>
      <c r="G772" s="629"/>
      <c r="H772" s="495">
        <v>10.220000000000001</v>
      </c>
    </row>
    <row r="773" spans="1:8">
      <c r="B773" s="628" t="s">
        <v>586</v>
      </c>
      <c r="C773" s="628"/>
      <c r="D773" s="103" t="s">
        <v>579</v>
      </c>
      <c r="E773" s="103" t="s">
        <v>580</v>
      </c>
      <c r="F773" s="103" t="s">
        <v>581</v>
      </c>
      <c r="G773" s="103" t="s">
        <v>582</v>
      </c>
      <c r="H773" s="103" t="s">
        <v>583</v>
      </c>
    </row>
    <row r="774" spans="1:8">
      <c r="B774" s="130" t="s">
        <v>1414</v>
      </c>
      <c r="C774" s="229" t="s">
        <v>1415</v>
      </c>
      <c r="D774" s="130" t="s">
        <v>119</v>
      </c>
      <c r="E774" s="130" t="s">
        <v>200</v>
      </c>
      <c r="F774" s="230">
        <v>1</v>
      </c>
      <c r="G774" s="494">
        <v>10.85</v>
      </c>
      <c r="H774" s="494">
        <v>10.85</v>
      </c>
    </row>
    <row r="775" spans="1:8">
      <c r="B775" s="105"/>
      <c r="C775" s="105"/>
      <c r="D775" s="105"/>
      <c r="E775" s="105"/>
      <c r="F775" s="629" t="s">
        <v>587</v>
      </c>
      <c r="G775" s="629"/>
      <c r="H775" s="495">
        <v>10.85</v>
      </c>
    </row>
    <row r="776" spans="1:8" ht="12.75" customHeight="1">
      <c r="B776" s="105"/>
      <c r="C776" s="105"/>
      <c r="D776" s="105"/>
      <c r="E776" s="105"/>
      <c r="F776" s="630" t="s">
        <v>464</v>
      </c>
      <c r="G776" s="630"/>
      <c r="H776" s="102">
        <v>21.8</v>
      </c>
    </row>
    <row r="777" spans="1:8">
      <c r="B777" s="105"/>
      <c r="C777" s="105"/>
      <c r="D777" s="105"/>
      <c r="E777" s="105"/>
      <c r="F777" s="634"/>
      <c r="G777" s="634"/>
      <c r="H777" s="634"/>
    </row>
    <row r="778" spans="1:8" s="220" customFormat="1" ht="27" customHeight="1">
      <c r="A778" s="178" t="str">
        <f>'3 - PLAN. ORÇAMENTÁRIA'!A127</f>
        <v>3.4.1.4.2</v>
      </c>
      <c r="B778" s="242">
        <f>VLOOKUP(A778,'3 - PLAN. ORÇAMENTÁRIA'!$A$16:$B$721,2,FALSE)</f>
        <v>96544</v>
      </c>
      <c r="C778" s="631" t="str">
        <f>VLOOKUP(A778,'3 - PLAN. ORÇAMENTÁRIA'!$A$16:$C$721,3,FALSE)</f>
        <v>ARMAÇÃO DE BLOCO, ESTACA E VIGA BALDRAME UTILIZANDO AÇO CA-50 DE 6,3 MM - MONTAGEM. AF_01/2024</v>
      </c>
      <c r="D778" s="632"/>
      <c r="E778" s="632"/>
      <c r="F778" s="632"/>
      <c r="G778" s="633"/>
      <c r="H778" s="493" t="str">
        <f>VLOOKUP(A778,'3 - PLAN. ORÇAMENTÁRIA'!$A$17:$E$721,5,FALSE)</f>
        <v>KG</v>
      </c>
    </row>
    <row r="779" spans="1:8">
      <c r="B779" s="628" t="s">
        <v>593</v>
      </c>
      <c r="C779" s="628"/>
      <c r="D779" s="103" t="s">
        <v>579</v>
      </c>
      <c r="E779" s="103" t="s">
        <v>580</v>
      </c>
      <c r="F779" s="103" t="s">
        <v>581</v>
      </c>
      <c r="G779" s="103" t="s">
        <v>582</v>
      </c>
      <c r="H779" s="103" t="s">
        <v>583</v>
      </c>
    </row>
    <row r="780" spans="1:8">
      <c r="B780" s="130" t="s">
        <v>635</v>
      </c>
      <c r="C780" s="229" t="s">
        <v>636</v>
      </c>
      <c r="D780" s="130" t="s">
        <v>119</v>
      </c>
      <c r="E780" s="130" t="s">
        <v>200</v>
      </c>
      <c r="F780" s="230">
        <v>2.5000000000000001E-2</v>
      </c>
      <c r="G780" s="494">
        <v>19.38</v>
      </c>
      <c r="H780" s="494">
        <v>0.48</v>
      </c>
    </row>
    <row r="781" spans="1:8" ht="25.5">
      <c r="B781" s="130" t="s">
        <v>1373</v>
      </c>
      <c r="C781" s="229" t="s">
        <v>1374</v>
      </c>
      <c r="D781" s="130" t="s">
        <v>119</v>
      </c>
      <c r="E781" s="130" t="s">
        <v>144</v>
      </c>
      <c r="F781" s="230">
        <v>0.85599999999999998</v>
      </c>
      <c r="G781" s="494">
        <v>0.22</v>
      </c>
      <c r="H781" s="494">
        <v>0.19</v>
      </c>
    </row>
    <row r="782" spans="1:8">
      <c r="B782" s="105"/>
      <c r="C782" s="105"/>
      <c r="D782" s="105"/>
      <c r="E782" s="105"/>
      <c r="F782" s="629" t="s">
        <v>604</v>
      </c>
      <c r="G782" s="629"/>
      <c r="H782" s="495">
        <v>0.67</v>
      </c>
    </row>
    <row r="783" spans="1:8" ht="12.75" customHeight="1">
      <c r="B783" s="628" t="s">
        <v>607</v>
      </c>
      <c r="C783" s="628"/>
      <c r="D783" s="103" t="s">
        <v>579</v>
      </c>
      <c r="E783" s="103" t="s">
        <v>580</v>
      </c>
      <c r="F783" s="103" t="s">
        <v>581</v>
      </c>
      <c r="G783" s="103" t="s">
        <v>582</v>
      </c>
      <c r="H783" s="103" t="s">
        <v>583</v>
      </c>
    </row>
    <row r="784" spans="1:8">
      <c r="B784" s="130" t="s">
        <v>1375</v>
      </c>
      <c r="C784" s="229" t="s">
        <v>637</v>
      </c>
      <c r="D784" s="130" t="s">
        <v>119</v>
      </c>
      <c r="E784" s="130" t="s">
        <v>121</v>
      </c>
      <c r="F784" s="230">
        <v>7.4999999999999997E-2</v>
      </c>
      <c r="G784" s="494">
        <v>24.57</v>
      </c>
      <c r="H784" s="494">
        <v>1.84</v>
      </c>
    </row>
    <row r="785" spans="1:8">
      <c r="B785" s="130" t="s">
        <v>1376</v>
      </c>
      <c r="C785" s="229" t="s">
        <v>638</v>
      </c>
      <c r="D785" s="130" t="s">
        <v>119</v>
      </c>
      <c r="E785" s="130" t="s">
        <v>121</v>
      </c>
      <c r="F785" s="230">
        <v>0.19600000000000001</v>
      </c>
      <c r="G785" s="494">
        <v>31.13</v>
      </c>
      <c r="H785" s="494">
        <v>6.1</v>
      </c>
    </row>
    <row r="786" spans="1:8" ht="12.75" customHeight="1">
      <c r="B786" s="105"/>
      <c r="C786" s="105"/>
      <c r="D786" s="105"/>
      <c r="E786" s="105"/>
      <c r="F786" s="629" t="s">
        <v>610</v>
      </c>
      <c r="G786" s="629"/>
      <c r="H786" s="495">
        <v>7.94</v>
      </c>
    </row>
    <row r="787" spans="1:8">
      <c r="B787" s="628" t="s">
        <v>586</v>
      </c>
      <c r="C787" s="628"/>
      <c r="D787" s="103" t="s">
        <v>579</v>
      </c>
      <c r="E787" s="103" t="s">
        <v>580</v>
      </c>
      <c r="F787" s="103" t="s">
        <v>581</v>
      </c>
      <c r="G787" s="103" t="s">
        <v>582</v>
      </c>
      <c r="H787" s="103" t="s">
        <v>583</v>
      </c>
    </row>
    <row r="788" spans="1:8">
      <c r="B788" s="130" t="s">
        <v>1377</v>
      </c>
      <c r="C788" s="229" t="s">
        <v>1378</v>
      </c>
      <c r="D788" s="130" t="s">
        <v>119</v>
      </c>
      <c r="E788" s="130" t="s">
        <v>200</v>
      </c>
      <c r="F788" s="230">
        <v>1</v>
      </c>
      <c r="G788" s="494">
        <v>10.91</v>
      </c>
      <c r="H788" s="494">
        <v>10.91</v>
      </c>
    </row>
    <row r="789" spans="1:8">
      <c r="B789" s="105"/>
      <c r="C789" s="105"/>
      <c r="D789" s="105"/>
      <c r="E789" s="105"/>
      <c r="F789" s="629" t="s">
        <v>587</v>
      </c>
      <c r="G789" s="629"/>
      <c r="H789" s="495">
        <v>10.91</v>
      </c>
    </row>
    <row r="790" spans="1:8" ht="12.75" customHeight="1">
      <c r="B790" s="105"/>
      <c r="C790" s="105"/>
      <c r="D790" s="105"/>
      <c r="E790" s="105"/>
      <c r="F790" s="630" t="s">
        <v>464</v>
      </c>
      <c r="G790" s="630"/>
      <c r="H790" s="102">
        <v>19.510000000000002</v>
      </c>
    </row>
    <row r="791" spans="1:8">
      <c r="B791" s="105"/>
      <c r="C791" s="105"/>
      <c r="D791" s="105"/>
      <c r="E791" s="105"/>
      <c r="F791" s="634"/>
      <c r="G791" s="634"/>
      <c r="H791" s="634"/>
    </row>
    <row r="792" spans="1:8" s="220" customFormat="1" ht="27" customHeight="1">
      <c r="A792" s="178" t="str">
        <f>'3 - PLAN. ORÇAMENTÁRIA'!A128</f>
        <v>3.4.1.4.3</v>
      </c>
      <c r="B792" s="242">
        <f>VLOOKUP(A792,'3 - PLAN. ORÇAMENTÁRIA'!$A$16:$B$721,2,FALSE)</f>
        <v>96545</v>
      </c>
      <c r="C792" s="631" t="str">
        <f>VLOOKUP(A792,'3 - PLAN. ORÇAMENTÁRIA'!$A$16:$C$721,3,FALSE)</f>
        <v>ARMAÇÃO DE BLOCO,ESTACA E VIGA BALDRAME UTILIZANDO AÇO CA-50 DE 8 MM - MONTAGEM. AF_01/2024</v>
      </c>
      <c r="D792" s="632"/>
      <c r="E792" s="632"/>
      <c r="F792" s="632"/>
      <c r="G792" s="633"/>
      <c r="H792" s="493" t="str">
        <f>VLOOKUP(A792,'3 - PLAN. ORÇAMENTÁRIA'!$A$17:$E$721,5,FALSE)</f>
        <v>KG</v>
      </c>
    </row>
    <row r="793" spans="1:8">
      <c r="B793" s="628" t="s">
        <v>593</v>
      </c>
      <c r="C793" s="628"/>
      <c r="D793" s="103" t="s">
        <v>579</v>
      </c>
      <c r="E793" s="103" t="s">
        <v>580</v>
      </c>
      <c r="F793" s="103" t="s">
        <v>581</v>
      </c>
      <c r="G793" s="103" t="s">
        <v>582</v>
      </c>
      <c r="H793" s="103" t="s">
        <v>583</v>
      </c>
    </row>
    <row r="794" spans="1:8">
      <c r="B794" s="130" t="s">
        <v>635</v>
      </c>
      <c r="C794" s="229" t="s">
        <v>636</v>
      </c>
      <c r="D794" s="130" t="s">
        <v>119</v>
      </c>
      <c r="E794" s="130" t="s">
        <v>200</v>
      </c>
      <c r="F794" s="230">
        <v>2.5000000000000001E-2</v>
      </c>
      <c r="G794" s="494">
        <v>19.38</v>
      </c>
      <c r="H794" s="494">
        <v>0.48</v>
      </c>
    </row>
    <row r="795" spans="1:8" ht="25.5">
      <c r="B795" s="130" t="s">
        <v>1373</v>
      </c>
      <c r="C795" s="229" t="s">
        <v>1374</v>
      </c>
      <c r="D795" s="130" t="s">
        <v>119</v>
      </c>
      <c r="E795" s="130" t="s">
        <v>144</v>
      </c>
      <c r="F795" s="230">
        <v>0.63500000000000001</v>
      </c>
      <c r="G795" s="494">
        <v>0.22</v>
      </c>
      <c r="H795" s="494">
        <v>0.14000000000000001</v>
      </c>
    </row>
    <row r="796" spans="1:8">
      <c r="B796" s="105"/>
      <c r="C796" s="105"/>
      <c r="D796" s="105"/>
      <c r="E796" s="105"/>
      <c r="F796" s="629" t="s">
        <v>604</v>
      </c>
      <c r="G796" s="629"/>
      <c r="H796" s="495">
        <v>0.62</v>
      </c>
    </row>
    <row r="797" spans="1:8" ht="12.75" customHeight="1">
      <c r="B797" s="628" t="s">
        <v>607</v>
      </c>
      <c r="C797" s="628"/>
      <c r="D797" s="103" t="s">
        <v>579</v>
      </c>
      <c r="E797" s="103" t="s">
        <v>580</v>
      </c>
      <c r="F797" s="103" t="s">
        <v>581</v>
      </c>
      <c r="G797" s="103" t="s">
        <v>582</v>
      </c>
      <c r="H797" s="103" t="s">
        <v>583</v>
      </c>
    </row>
    <row r="798" spans="1:8">
      <c r="B798" s="130" t="s">
        <v>1375</v>
      </c>
      <c r="C798" s="229" t="s">
        <v>637</v>
      </c>
      <c r="D798" s="130" t="s">
        <v>119</v>
      </c>
      <c r="E798" s="130" t="s">
        <v>121</v>
      </c>
      <c r="F798" s="230">
        <v>5.7000000000000002E-2</v>
      </c>
      <c r="G798" s="494">
        <v>24.57</v>
      </c>
      <c r="H798" s="494">
        <v>1.4</v>
      </c>
    </row>
    <row r="799" spans="1:8">
      <c r="B799" s="130" t="s">
        <v>1376</v>
      </c>
      <c r="C799" s="229" t="s">
        <v>638</v>
      </c>
      <c r="D799" s="130" t="s">
        <v>119</v>
      </c>
      <c r="E799" s="130" t="s">
        <v>121</v>
      </c>
      <c r="F799" s="230">
        <v>0.15</v>
      </c>
      <c r="G799" s="494">
        <v>31.13</v>
      </c>
      <c r="H799" s="494">
        <v>4.67</v>
      </c>
    </row>
    <row r="800" spans="1:8" ht="12.75" customHeight="1">
      <c r="B800" s="105"/>
      <c r="C800" s="105"/>
      <c r="D800" s="105"/>
      <c r="E800" s="105"/>
      <c r="F800" s="629" t="s">
        <v>610</v>
      </c>
      <c r="G800" s="629"/>
      <c r="H800" s="495">
        <v>6.07</v>
      </c>
    </row>
    <row r="801" spans="1:8">
      <c r="B801" s="628" t="s">
        <v>586</v>
      </c>
      <c r="C801" s="628"/>
      <c r="D801" s="103" t="s">
        <v>579</v>
      </c>
      <c r="E801" s="103" t="s">
        <v>580</v>
      </c>
      <c r="F801" s="103" t="s">
        <v>581</v>
      </c>
      <c r="G801" s="103" t="s">
        <v>582</v>
      </c>
      <c r="H801" s="103" t="s">
        <v>583</v>
      </c>
    </row>
    <row r="802" spans="1:8">
      <c r="B802" s="130" t="s">
        <v>1416</v>
      </c>
      <c r="C802" s="229" t="s">
        <v>1417</v>
      </c>
      <c r="D802" s="130" t="s">
        <v>119</v>
      </c>
      <c r="E802" s="130" t="s">
        <v>200</v>
      </c>
      <c r="F802" s="230">
        <v>1</v>
      </c>
      <c r="G802" s="494">
        <v>10.82</v>
      </c>
      <c r="H802" s="494">
        <v>10.82</v>
      </c>
    </row>
    <row r="803" spans="1:8">
      <c r="B803" s="105"/>
      <c r="C803" s="105"/>
      <c r="D803" s="105"/>
      <c r="E803" s="105"/>
      <c r="F803" s="629" t="s">
        <v>587</v>
      </c>
      <c r="G803" s="629"/>
      <c r="H803" s="495">
        <v>10.82</v>
      </c>
    </row>
    <row r="804" spans="1:8" ht="12.75" customHeight="1">
      <c r="B804" s="105"/>
      <c r="C804" s="105"/>
      <c r="D804" s="105"/>
      <c r="E804" s="105"/>
      <c r="F804" s="630" t="s">
        <v>464</v>
      </c>
      <c r="G804" s="630"/>
      <c r="H804" s="102">
        <v>17.489999999999998</v>
      </c>
    </row>
    <row r="805" spans="1:8">
      <c r="B805" s="105"/>
      <c r="C805" s="105"/>
      <c r="D805" s="105"/>
      <c r="E805" s="105"/>
      <c r="F805" s="634"/>
      <c r="G805" s="634"/>
      <c r="H805" s="634"/>
    </row>
    <row r="806" spans="1:8" s="220" customFormat="1" ht="27" customHeight="1">
      <c r="A806" s="178" t="str">
        <f>'3 - PLAN. ORÇAMENTÁRIA'!A129</f>
        <v>3.4.1.4.4</v>
      </c>
      <c r="B806" s="242">
        <f>VLOOKUP(A806,'3 - PLAN. ORÇAMENTÁRIA'!$A$16:$B$721,2,FALSE)</f>
        <v>96546</v>
      </c>
      <c r="C806" s="631" t="str">
        <f>VLOOKUP(A806,'3 - PLAN. ORÇAMENTÁRIA'!$A$16:$C$721,3,FALSE)</f>
        <v>ARMAÇÃO DE BLOCO, ESTACA E VIGA BALDRAME UTILIZANDO AÇO CA-50 DE 10 MM - MONTAGEM. AF_01/2024</v>
      </c>
      <c r="D806" s="632"/>
      <c r="E806" s="632"/>
      <c r="F806" s="632"/>
      <c r="G806" s="633"/>
      <c r="H806" s="493" t="str">
        <f>VLOOKUP(A806,'3 - PLAN. ORÇAMENTÁRIA'!$A$17:$E$721,5,FALSE)</f>
        <v>KG</v>
      </c>
    </row>
    <row r="807" spans="1:8">
      <c r="B807" s="628" t="s">
        <v>593</v>
      </c>
      <c r="C807" s="628"/>
      <c r="D807" s="103" t="s">
        <v>579</v>
      </c>
      <c r="E807" s="103" t="s">
        <v>580</v>
      </c>
      <c r="F807" s="103" t="s">
        <v>581</v>
      </c>
      <c r="G807" s="103" t="s">
        <v>582</v>
      </c>
      <c r="H807" s="103" t="s">
        <v>583</v>
      </c>
    </row>
    <row r="808" spans="1:8">
      <c r="B808" s="130" t="s">
        <v>635</v>
      </c>
      <c r="C808" s="229" t="s">
        <v>636</v>
      </c>
      <c r="D808" s="130" t="s">
        <v>119</v>
      </c>
      <c r="E808" s="130" t="s">
        <v>200</v>
      </c>
      <c r="F808" s="230">
        <v>2.5000000000000001E-2</v>
      </c>
      <c r="G808" s="494">
        <v>19.38</v>
      </c>
      <c r="H808" s="494">
        <v>0.48</v>
      </c>
    </row>
    <row r="809" spans="1:8" ht="25.5">
      <c r="B809" s="130" t="s">
        <v>1373</v>
      </c>
      <c r="C809" s="229" t="s">
        <v>1374</v>
      </c>
      <c r="D809" s="130" t="s">
        <v>119</v>
      </c>
      <c r="E809" s="130" t="s">
        <v>144</v>
      </c>
      <c r="F809" s="230">
        <v>0.48</v>
      </c>
      <c r="G809" s="494">
        <v>0.22</v>
      </c>
      <c r="H809" s="494">
        <v>0.11</v>
      </c>
    </row>
    <row r="810" spans="1:8">
      <c r="B810" s="105"/>
      <c r="C810" s="105"/>
      <c r="D810" s="105"/>
      <c r="E810" s="105"/>
      <c r="F810" s="629" t="s">
        <v>604</v>
      </c>
      <c r="G810" s="629"/>
      <c r="H810" s="495">
        <v>0.59</v>
      </c>
    </row>
    <row r="811" spans="1:8" ht="12.75" customHeight="1">
      <c r="B811" s="628" t="s">
        <v>607</v>
      </c>
      <c r="C811" s="628"/>
      <c r="D811" s="103" t="s">
        <v>579</v>
      </c>
      <c r="E811" s="103" t="s">
        <v>580</v>
      </c>
      <c r="F811" s="103" t="s">
        <v>581</v>
      </c>
      <c r="G811" s="103" t="s">
        <v>582</v>
      </c>
      <c r="H811" s="103" t="s">
        <v>583</v>
      </c>
    </row>
    <row r="812" spans="1:8">
      <c r="B812" s="130" t="s">
        <v>1375</v>
      </c>
      <c r="C812" s="229" t="s">
        <v>637</v>
      </c>
      <c r="D812" s="130" t="s">
        <v>119</v>
      </c>
      <c r="E812" s="130" t="s">
        <v>121</v>
      </c>
      <c r="F812" s="230">
        <v>4.3999999999999997E-2</v>
      </c>
      <c r="G812" s="494">
        <v>24.57</v>
      </c>
      <c r="H812" s="494">
        <v>1.08</v>
      </c>
    </row>
    <row r="813" spans="1:8">
      <c r="B813" s="130" t="s">
        <v>1376</v>
      </c>
      <c r="C813" s="229" t="s">
        <v>638</v>
      </c>
      <c r="D813" s="130" t="s">
        <v>119</v>
      </c>
      <c r="E813" s="130" t="s">
        <v>121</v>
      </c>
      <c r="F813" s="230">
        <v>0.11600000000000001</v>
      </c>
      <c r="G813" s="494">
        <v>31.13</v>
      </c>
      <c r="H813" s="494">
        <v>3.61</v>
      </c>
    </row>
    <row r="814" spans="1:8" ht="12.75" customHeight="1">
      <c r="B814" s="105"/>
      <c r="C814" s="105"/>
      <c r="D814" s="105"/>
      <c r="E814" s="105"/>
      <c r="F814" s="629" t="s">
        <v>610</v>
      </c>
      <c r="G814" s="629"/>
      <c r="H814" s="495">
        <v>4.6900000000000004</v>
      </c>
    </row>
    <row r="815" spans="1:8">
      <c r="B815" s="628" t="s">
        <v>586</v>
      </c>
      <c r="C815" s="628"/>
      <c r="D815" s="103" t="s">
        <v>579</v>
      </c>
      <c r="E815" s="103" t="s">
        <v>580</v>
      </c>
      <c r="F815" s="103" t="s">
        <v>581</v>
      </c>
      <c r="G815" s="103" t="s">
        <v>582</v>
      </c>
      <c r="H815" s="103" t="s">
        <v>583</v>
      </c>
    </row>
    <row r="816" spans="1:8">
      <c r="B816" s="130" t="s">
        <v>1418</v>
      </c>
      <c r="C816" s="229" t="s">
        <v>1419</v>
      </c>
      <c r="D816" s="130" t="s">
        <v>119</v>
      </c>
      <c r="E816" s="130" t="s">
        <v>200</v>
      </c>
      <c r="F816" s="230">
        <v>1</v>
      </c>
      <c r="G816" s="494">
        <v>9.9600000000000009</v>
      </c>
      <c r="H816" s="494">
        <v>9.9600000000000009</v>
      </c>
    </row>
    <row r="817" spans="1:8">
      <c r="B817" s="105"/>
      <c r="C817" s="105"/>
      <c r="D817" s="105"/>
      <c r="E817" s="105"/>
      <c r="F817" s="629" t="s">
        <v>587</v>
      </c>
      <c r="G817" s="629"/>
      <c r="H817" s="495">
        <v>9.9600000000000009</v>
      </c>
    </row>
    <row r="818" spans="1:8" ht="12.75" customHeight="1">
      <c r="B818" s="105"/>
      <c r="C818" s="105"/>
      <c r="D818" s="105"/>
      <c r="E818" s="105"/>
      <c r="F818" s="630" t="s">
        <v>464</v>
      </c>
      <c r="G818" s="630"/>
      <c r="H818" s="102">
        <v>15.23</v>
      </c>
    </row>
    <row r="819" spans="1:8">
      <c r="B819" s="105"/>
      <c r="C819" s="105"/>
      <c r="D819" s="105"/>
      <c r="E819" s="105"/>
      <c r="F819" s="634"/>
      <c r="G819" s="634"/>
      <c r="H819" s="634"/>
    </row>
    <row r="820" spans="1:8" s="220" customFormat="1" ht="27" customHeight="1">
      <c r="A820" s="178" t="str">
        <f>'3 - PLAN. ORÇAMENTÁRIA'!A130</f>
        <v>3.4.1.4.5</v>
      </c>
      <c r="B820" s="242">
        <f>VLOOKUP(A820,'3 - PLAN. ORÇAMENTÁRIA'!$A$16:$B$721,2,FALSE)</f>
        <v>104920</v>
      </c>
      <c r="C820" s="631" t="str">
        <f>VLOOKUP(A820,'3 - PLAN. ORÇAMENTÁRIA'!$A$16:$C$721,3,FALSE)</f>
        <v>ARMAÇÃO DE BLOCO, ESTACA E VIGA BALDRAME UTILIZANDO AÇO CA-50 DE 12,5 MM - MONTAGEM. AF_01/2024</v>
      </c>
      <c r="D820" s="632"/>
      <c r="E820" s="632"/>
      <c r="F820" s="632"/>
      <c r="G820" s="633"/>
      <c r="H820" s="493" t="str">
        <f>VLOOKUP(A820,'3 - PLAN. ORÇAMENTÁRIA'!$A$17:$E$721,5,FALSE)</f>
        <v>KG</v>
      </c>
    </row>
    <row r="821" spans="1:8">
      <c r="B821" s="628" t="s">
        <v>593</v>
      </c>
      <c r="C821" s="628"/>
      <c r="D821" s="103" t="s">
        <v>579</v>
      </c>
      <c r="E821" s="103" t="s">
        <v>580</v>
      </c>
      <c r="F821" s="103" t="s">
        <v>581</v>
      </c>
      <c r="G821" s="103" t="s">
        <v>582</v>
      </c>
      <c r="H821" s="103" t="s">
        <v>583</v>
      </c>
    </row>
    <row r="822" spans="1:8">
      <c r="B822" s="130" t="s">
        <v>635</v>
      </c>
      <c r="C822" s="229" t="s">
        <v>636</v>
      </c>
      <c r="D822" s="130" t="s">
        <v>119</v>
      </c>
      <c r="E822" s="130" t="s">
        <v>200</v>
      </c>
      <c r="F822" s="230">
        <v>2.5000000000000001E-2</v>
      </c>
      <c r="G822" s="494">
        <v>19.38</v>
      </c>
      <c r="H822" s="494">
        <v>0.48</v>
      </c>
    </row>
    <row r="823" spans="1:8" ht="25.5">
      <c r="B823" s="130" t="s">
        <v>1373</v>
      </c>
      <c r="C823" s="229" t="s">
        <v>1374</v>
      </c>
      <c r="D823" s="130" t="s">
        <v>119</v>
      </c>
      <c r="E823" s="130" t="s">
        <v>144</v>
      </c>
      <c r="F823" s="230">
        <v>0.317</v>
      </c>
      <c r="G823" s="494">
        <v>0.22</v>
      </c>
      <c r="H823" s="494">
        <v>7.0000000000000007E-2</v>
      </c>
    </row>
    <row r="824" spans="1:8">
      <c r="B824" s="105"/>
      <c r="C824" s="105"/>
      <c r="D824" s="105"/>
      <c r="E824" s="105"/>
      <c r="F824" s="629" t="s">
        <v>604</v>
      </c>
      <c r="G824" s="629"/>
      <c r="H824" s="495">
        <v>0.55000000000000004</v>
      </c>
    </row>
    <row r="825" spans="1:8" ht="12.75" customHeight="1">
      <c r="B825" s="628" t="s">
        <v>607</v>
      </c>
      <c r="C825" s="628"/>
      <c r="D825" s="103" t="s">
        <v>579</v>
      </c>
      <c r="E825" s="103" t="s">
        <v>580</v>
      </c>
      <c r="F825" s="103" t="s">
        <v>581</v>
      </c>
      <c r="G825" s="103" t="s">
        <v>582</v>
      </c>
      <c r="H825" s="103" t="s">
        <v>583</v>
      </c>
    </row>
    <row r="826" spans="1:8">
      <c r="B826" s="130" t="s">
        <v>1375</v>
      </c>
      <c r="C826" s="229" t="s">
        <v>637</v>
      </c>
      <c r="D826" s="130" t="s">
        <v>119</v>
      </c>
      <c r="E826" s="130" t="s">
        <v>121</v>
      </c>
      <c r="F826" s="230">
        <v>2.5000000000000001E-2</v>
      </c>
      <c r="G826" s="494">
        <v>24.57</v>
      </c>
      <c r="H826" s="494">
        <v>0.61</v>
      </c>
    </row>
    <row r="827" spans="1:8">
      <c r="B827" s="130" t="s">
        <v>1376</v>
      </c>
      <c r="C827" s="229" t="s">
        <v>638</v>
      </c>
      <c r="D827" s="130" t="s">
        <v>119</v>
      </c>
      <c r="E827" s="130" t="s">
        <v>121</v>
      </c>
      <c r="F827" s="230">
        <v>6.4000000000000001E-2</v>
      </c>
      <c r="G827" s="494">
        <v>31.13</v>
      </c>
      <c r="H827" s="494">
        <v>1.99</v>
      </c>
    </row>
    <row r="828" spans="1:8" ht="12.75" customHeight="1">
      <c r="B828" s="105"/>
      <c r="C828" s="105"/>
      <c r="D828" s="105"/>
      <c r="E828" s="105"/>
      <c r="F828" s="629" t="s">
        <v>610</v>
      </c>
      <c r="G828" s="629"/>
      <c r="H828" s="495">
        <v>2.6</v>
      </c>
    </row>
    <row r="829" spans="1:8">
      <c r="B829" s="628" t="s">
        <v>586</v>
      </c>
      <c r="C829" s="628"/>
      <c r="D829" s="103" t="s">
        <v>579</v>
      </c>
      <c r="E829" s="103" t="s">
        <v>580</v>
      </c>
      <c r="F829" s="103" t="s">
        <v>581</v>
      </c>
      <c r="G829" s="103" t="s">
        <v>582</v>
      </c>
      <c r="H829" s="103" t="s">
        <v>583</v>
      </c>
    </row>
    <row r="830" spans="1:8">
      <c r="B830" s="130" t="s">
        <v>1379</v>
      </c>
      <c r="C830" s="229" t="s">
        <v>1380</v>
      </c>
      <c r="D830" s="130" t="s">
        <v>119</v>
      </c>
      <c r="E830" s="130" t="s">
        <v>200</v>
      </c>
      <c r="F830" s="230">
        <v>1</v>
      </c>
      <c r="G830" s="494">
        <v>8.5299999999999994</v>
      </c>
      <c r="H830" s="494">
        <v>8.5299999999999994</v>
      </c>
    </row>
    <row r="831" spans="1:8">
      <c r="B831" s="105"/>
      <c r="C831" s="105"/>
      <c r="D831" s="105"/>
      <c r="E831" s="105"/>
      <c r="F831" s="629" t="s">
        <v>587</v>
      </c>
      <c r="G831" s="629"/>
      <c r="H831" s="495">
        <v>8.5299999999999994</v>
      </c>
    </row>
    <row r="832" spans="1:8" ht="12.75" customHeight="1">
      <c r="B832" s="105"/>
      <c r="C832" s="105"/>
      <c r="D832" s="105"/>
      <c r="E832" s="105"/>
      <c r="F832" s="630" t="s">
        <v>464</v>
      </c>
      <c r="G832" s="630"/>
      <c r="H832" s="102">
        <v>11.67</v>
      </c>
    </row>
    <row r="833" spans="1:8">
      <c r="B833" s="105"/>
      <c r="C833" s="105"/>
      <c r="D833" s="105"/>
      <c r="E833" s="105"/>
      <c r="F833" s="303"/>
      <c r="G833" s="303"/>
      <c r="H833" s="303"/>
    </row>
    <row r="834" spans="1:8" s="220" customFormat="1" ht="27" customHeight="1">
      <c r="A834" s="178" t="str">
        <f>'3 - PLAN. ORÇAMENTÁRIA'!A133</f>
        <v>3.4.2.1.1</v>
      </c>
      <c r="B834" s="242">
        <f>VLOOKUP(A834,'3 - PLAN. ORÇAMENTÁRIA'!$A$16:$B$721,2,FALSE)</f>
        <v>92431</v>
      </c>
      <c r="C834" s="631" t="str">
        <f>VLOOKUP(A834,'3 - PLAN. ORÇAMENTÁRIA'!$A$16:$C$721,3,FALSE)</f>
        <v>MONTAGEM E DESMONTAGEM DE FÔRMA DE PILARES RETANGULARES E ESTRUTURAS SIMILARES, PÉ-DIREITO SIMPLES, EM CHAPA DE MADEIRA COMPENSADA PLASTIFICADA, 10 UTILIZAÇÕES. AF_09/2020</v>
      </c>
      <c r="D834" s="632"/>
      <c r="E834" s="632"/>
      <c r="F834" s="632"/>
      <c r="G834" s="633"/>
      <c r="H834" s="131" t="str">
        <f>VLOOKUP(A834,'3 - PLAN. ORÇAMENTÁRIA'!$A$17:$E$721,5,FALSE)</f>
        <v>M2</v>
      </c>
    </row>
    <row r="835" spans="1:8">
      <c r="B835" s="628" t="s">
        <v>588</v>
      </c>
      <c r="C835" s="628"/>
      <c r="D835" s="103" t="s">
        <v>579</v>
      </c>
      <c r="E835" s="103" t="s">
        <v>580</v>
      </c>
      <c r="F835" s="103" t="s">
        <v>581</v>
      </c>
      <c r="G835" s="103" t="s">
        <v>582</v>
      </c>
      <c r="H835" s="103" t="s">
        <v>583</v>
      </c>
    </row>
    <row r="836" spans="1:8" ht="25.5">
      <c r="B836" s="130" t="s">
        <v>1420</v>
      </c>
      <c r="C836" s="229" t="s">
        <v>1421</v>
      </c>
      <c r="D836" s="130" t="s">
        <v>119</v>
      </c>
      <c r="E836" s="130" t="s">
        <v>1422</v>
      </c>
      <c r="F836" s="230">
        <v>0.19600000000000001</v>
      </c>
      <c r="G836" s="494">
        <v>23.06</v>
      </c>
      <c r="H836" s="494">
        <v>4.5199999999999996</v>
      </c>
    </row>
    <row r="837" spans="1:8" ht="25.5">
      <c r="B837" s="130" t="s">
        <v>1423</v>
      </c>
      <c r="C837" s="229" t="s">
        <v>1424</v>
      </c>
      <c r="D837" s="130" t="s">
        <v>119</v>
      </c>
      <c r="E837" s="130" t="s">
        <v>123</v>
      </c>
      <c r="F837" s="230">
        <v>0.78500000000000003</v>
      </c>
      <c r="G837" s="494">
        <v>8.8800000000000008</v>
      </c>
      <c r="H837" s="494">
        <v>6.97</v>
      </c>
    </row>
    <row r="838" spans="1:8" ht="25.5">
      <c r="B838" s="130" t="s">
        <v>1425</v>
      </c>
      <c r="C838" s="229" t="s">
        <v>1426</v>
      </c>
      <c r="D838" s="130" t="s">
        <v>119</v>
      </c>
      <c r="E838" s="130" t="s">
        <v>1422</v>
      </c>
      <c r="F838" s="230">
        <v>0.39300000000000002</v>
      </c>
      <c r="G838" s="494">
        <v>24.1</v>
      </c>
      <c r="H838" s="494">
        <v>9.4700000000000006</v>
      </c>
    </row>
    <row r="839" spans="1:8" ht="12.75" customHeight="1">
      <c r="B839" s="105"/>
      <c r="C839" s="105"/>
      <c r="D839" s="105"/>
      <c r="E839" s="105"/>
      <c r="F839" s="629" t="s">
        <v>589</v>
      </c>
      <c r="G839" s="629"/>
      <c r="H839" s="495">
        <v>20.96</v>
      </c>
    </row>
    <row r="840" spans="1:8">
      <c r="B840" s="628" t="s">
        <v>593</v>
      </c>
      <c r="C840" s="628"/>
      <c r="D840" s="103" t="s">
        <v>579</v>
      </c>
      <c r="E840" s="103" t="s">
        <v>580</v>
      </c>
      <c r="F840" s="103" t="s">
        <v>581</v>
      </c>
      <c r="G840" s="103" t="s">
        <v>582</v>
      </c>
      <c r="H840" s="103" t="s">
        <v>583</v>
      </c>
    </row>
    <row r="841" spans="1:8">
      <c r="B841" s="130" t="s">
        <v>643</v>
      </c>
      <c r="C841" s="229" t="s">
        <v>644</v>
      </c>
      <c r="D841" s="130" t="s">
        <v>119</v>
      </c>
      <c r="E841" s="130" t="s">
        <v>107</v>
      </c>
      <c r="F841" s="230">
        <v>4.0000000000000001E-3</v>
      </c>
      <c r="G841" s="494">
        <v>7.16</v>
      </c>
      <c r="H841" s="494">
        <v>0.03</v>
      </c>
    </row>
    <row r="842" spans="1:8">
      <c r="B842" s="130" t="s">
        <v>1395</v>
      </c>
      <c r="C842" s="229" t="s">
        <v>1396</v>
      </c>
      <c r="D842" s="130" t="s">
        <v>119</v>
      </c>
      <c r="E842" s="130" t="s">
        <v>200</v>
      </c>
      <c r="F842" s="230">
        <v>1.9E-2</v>
      </c>
      <c r="G842" s="494">
        <v>23.1</v>
      </c>
      <c r="H842" s="494">
        <v>0.44</v>
      </c>
    </row>
    <row r="843" spans="1:8">
      <c r="B843" s="105"/>
      <c r="C843" s="105"/>
      <c r="D843" s="105"/>
      <c r="E843" s="105"/>
      <c r="F843" s="629" t="s">
        <v>604</v>
      </c>
      <c r="G843" s="629"/>
      <c r="H843" s="495">
        <v>0.47</v>
      </c>
    </row>
    <row r="844" spans="1:8" ht="12.75" customHeight="1">
      <c r="B844" s="628" t="s">
        <v>607</v>
      </c>
      <c r="C844" s="628"/>
      <c r="D844" s="103" t="s">
        <v>579</v>
      </c>
      <c r="E844" s="103" t="s">
        <v>580</v>
      </c>
      <c r="F844" s="103" t="s">
        <v>581</v>
      </c>
      <c r="G844" s="103" t="s">
        <v>582</v>
      </c>
      <c r="H844" s="103" t="s">
        <v>583</v>
      </c>
    </row>
    <row r="845" spans="1:8">
      <c r="B845" s="130" t="s">
        <v>1315</v>
      </c>
      <c r="C845" s="229" t="s">
        <v>617</v>
      </c>
      <c r="D845" s="130" t="s">
        <v>119</v>
      </c>
      <c r="E845" s="130" t="s">
        <v>121</v>
      </c>
      <c r="F845" s="230">
        <v>0.121</v>
      </c>
      <c r="G845" s="494">
        <v>24.4</v>
      </c>
      <c r="H845" s="494">
        <v>2.95</v>
      </c>
    </row>
    <row r="846" spans="1:8">
      <c r="B846" s="130" t="s">
        <v>1316</v>
      </c>
      <c r="C846" s="229" t="s">
        <v>618</v>
      </c>
      <c r="D846" s="130" t="s">
        <v>119</v>
      </c>
      <c r="E846" s="130" t="s">
        <v>121</v>
      </c>
      <c r="F846" s="230">
        <v>0.66100000000000003</v>
      </c>
      <c r="G846" s="494">
        <v>30.91</v>
      </c>
      <c r="H846" s="494">
        <v>20.43</v>
      </c>
    </row>
    <row r="847" spans="1:8" ht="12.75" customHeight="1">
      <c r="B847" s="105"/>
      <c r="C847" s="105"/>
      <c r="D847" s="105"/>
      <c r="E847" s="105"/>
      <c r="F847" s="629" t="s">
        <v>610</v>
      </c>
      <c r="G847" s="629"/>
      <c r="H847" s="495">
        <v>23.38</v>
      </c>
    </row>
    <row r="848" spans="1:8">
      <c r="B848" s="628" t="s">
        <v>586</v>
      </c>
      <c r="C848" s="628"/>
      <c r="D848" s="103" t="s">
        <v>579</v>
      </c>
      <c r="E848" s="103" t="s">
        <v>580</v>
      </c>
      <c r="F848" s="103" t="s">
        <v>581</v>
      </c>
      <c r="G848" s="103" t="s">
        <v>582</v>
      </c>
      <c r="H848" s="103" t="s">
        <v>583</v>
      </c>
    </row>
    <row r="849" spans="1:8" ht="25.5">
      <c r="B849" s="130" t="s">
        <v>1427</v>
      </c>
      <c r="C849" s="229" t="s">
        <v>1428</v>
      </c>
      <c r="D849" s="130" t="s">
        <v>119</v>
      </c>
      <c r="E849" s="130" t="s">
        <v>139</v>
      </c>
      <c r="F849" s="230">
        <v>0.105</v>
      </c>
      <c r="G849" s="494">
        <v>183.98</v>
      </c>
      <c r="H849" s="494">
        <v>19.32</v>
      </c>
    </row>
    <row r="850" spans="1:8">
      <c r="B850" s="105"/>
      <c r="C850" s="105"/>
      <c r="D850" s="105"/>
      <c r="E850" s="105"/>
      <c r="F850" s="629" t="s">
        <v>587</v>
      </c>
      <c r="G850" s="629"/>
      <c r="H850" s="495">
        <v>19.32</v>
      </c>
    </row>
    <row r="851" spans="1:8" ht="12.75" customHeight="1">
      <c r="B851" s="105"/>
      <c r="C851" s="105"/>
      <c r="D851" s="105"/>
      <c r="E851" s="105"/>
      <c r="F851" s="630" t="s">
        <v>464</v>
      </c>
      <c r="G851" s="630"/>
      <c r="H851" s="102">
        <v>64.09</v>
      </c>
    </row>
    <row r="852" spans="1:8">
      <c r="B852" s="105"/>
      <c r="C852" s="105"/>
      <c r="D852" s="105"/>
      <c r="E852" s="105"/>
      <c r="F852" s="634"/>
      <c r="G852" s="634"/>
      <c r="H852" s="634"/>
    </row>
    <row r="853" spans="1:8" s="220" customFormat="1" ht="27" customHeight="1">
      <c r="A853" s="178" t="str">
        <f>'3 - PLAN. ORÇAMENTÁRIA'!A136</f>
        <v>3.4.2.2.1</v>
      </c>
      <c r="B853" s="242">
        <f>VLOOKUP(A853,'3 - PLAN. ORÇAMENTÁRIA'!$A$16:$B$721,2,FALSE)</f>
        <v>92759</v>
      </c>
      <c r="C853" s="631" t="str">
        <f>VLOOKUP(A853,'3 - PLAN. ORÇAMENTÁRIA'!$A$16:$C$721,3,FALSE)</f>
        <v>ARMAÇÃO DE PILAR OU VIGA DE ESTRUTURA CONVENCIONAL DE CONCRETO ARMADO UTILIZANDO AÇO CA-60 DE 5,0 MM - MONTAGEM. AF_06/2022</v>
      </c>
      <c r="D853" s="632"/>
      <c r="E853" s="632"/>
      <c r="F853" s="632"/>
      <c r="G853" s="633"/>
      <c r="H853" s="131" t="str">
        <f>VLOOKUP(A853,'3 - PLAN. ORÇAMENTÁRIA'!$A$17:$E$721,5,FALSE)</f>
        <v>KG</v>
      </c>
    </row>
    <row r="854" spans="1:8">
      <c r="B854" s="628" t="s">
        <v>593</v>
      </c>
      <c r="C854" s="628"/>
      <c r="D854" s="103" t="s">
        <v>579</v>
      </c>
      <c r="E854" s="103" t="s">
        <v>580</v>
      </c>
      <c r="F854" s="103" t="s">
        <v>581</v>
      </c>
      <c r="G854" s="103" t="s">
        <v>582</v>
      </c>
      <c r="H854" s="103" t="s">
        <v>583</v>
      </c>
    </row>
    <row r="855" spans="1:8">
      <c r="B855" s="130" t="s">
        <v>635</v>
      </c>
      <c r="C855" s="229" t="s">
        <v>636</v>
      </c>
      <c r="D855" s="130" t="s">
        <v>119</v>
      </c>
      <c r="E855" s="130" t="s">
        <v>200</v>
      </c>
      <c r="F855" s="230">
        <v>2.5000000000000001E-2</v>
      </c>
      <c r="G855" s="494">
        <v>19.38</v>
      </c>
      <c r="H855" s="494">
        <v>0.48</v>
      </c>
    </row>
    <row r="856" spans="1:8" ht="25.5">
      <c r="B856" s="130" t="s">
        <v>1373</v>
      </c>
      <c r="C856" s="229" t="s">
        <v>1374</v>
      </c>
      <c r="D856" s="130" t="s">
        <v>119</v>
      </c>
      <c r="E856" s="130" t="s">
        <v>144</v>
      </c>
      <c r="F856" s="230">
        <v>1.19</v>
      </c>
      <c r="G856" s="494">
        <v>0.22</v>
      </c>
      <c r="H856" s="494">
        <v>0.26</v>
      </c>
    </row>
    <row r="857" spans="1:8">
      <c r="B857" s="105"/>
      <c r="C857" s="105"/>
      <c r="D857" s="105"/>
      <c r="E857" s="105"/>
      <c r="F857" s="629" t="s">
        <v>604</v>
      </c>
      <c r="G857" s="629"/>
      <c r="H857" s="495">
        <v>0.74</v>
      </c>
    </row>
    <row r="858" spans="1:8" ht="12.75" customHeight="1">
      <c r="B858" s="628" t="s">
        <v>607</v>
      </c>
      <c r="C858" s="628"/>
      <c r="D858" s="103" t="s">
        <v>579</v>
      </c>
      <c r="E858" s="103" t="s">
        <v>580</v>
      </c>
      <c r="F858" s="103" t="s">
        <v>581</v>
      </c>
      <c r="G858" s="103" t="s">
        <v>582</v>
      </c>
      <c r="H858" s="103" t="s">
        <v>583</v>
      </c>
    </row>
    <row r="859" spans="1:8">
      <c r="B859" s="130" t="s">
        <v>1375</v>
      </c>
      <c r="C859" s="229" t="s">
        <v>637</v>
      </c>
      <c r="D859" s="130" t="s">
        <v>119</v>
      </c>
      <c r="E859" s="130" t="s">
        <v>121</v>
      </c>
      <c r="F859" s="230">
        <v>1.7500000000000002E-2</v>
      </c>
      <c r="G859" s="494">
        <v>24.57</v>
      </c>
      <c r="H859" s="494">
        <v>0.43</v>
      </c>
    </row>
    <row r="860" spans="1:8">
      <c r="B860" s="130" t="s">
        <v>1376</v>
      </c>
      <c r="C860" s="229" t="s">
        <v>638</v>
      </c>
      <c r="D860" s="130" t="s">
        <v>119</v>
      </c>
      <c r="E860" s="130" t="s">
        <v>121</v>
      </c>
      <c r="F860" s="230">
        <v>0.1069</v>
      </c>
      <c r="G860" s="494">
        <v>31.13</v>
      </c>
      <c r="H860" s="494">
        <v>3.33</v>
      </c>
    </row>
    <row r="861" spans="1:8" ht="12.75" customHeight="1">
      <c r="B861" s="105"/>
      <c r="C861" s="105"/>
      <c r="D861" s="105"/>
      <c r="E861" s="105"/>
      <c r="F861" s="629" t="s">
        <v>610</v>
      </c>
      <c r="G861" s="629"/>
      <c r="H861" s="495">
        <v>3.76</v>
      </c>
    </row>
    <row r="862" spans="1:8">
      <c r="B862" s="628" t="s">
        <v>586</v>
      </c>
      <c r="C862" s="628"/>
      <c r="D862" s="103" t="s">
        <v>579</v>
      </c>
      <c r="E862" s="103" t="s">
        <v>580</v>
      </c>
      <c r="F862" s="103" t="s">
        <v>581</v>
      </c>
      <c r="G862" s="103" t="s">
        <v>582</v>
      </c>
      <c r="H862" s="103" t="s">
        <v>583</v>
      </c>
    </row>
    <row r="863" spans="1:8">
      <c r="B863" s="130" t="s">
        <v>1414</v>
      </c>
      <c r="C863" s="229" t="s">
        <v>1415</v>
      </c>
      <c r="D863" s="130" t="s">
        <v>119</v>
      </c>
      <c r="E863" s="130" t="s">
        <v>200</v>
      </c>
      <c r="F863" s="230">
        <v>1</v>
      </c>
      <c r="G863" s="494">
        <v>10.85</v>
      </c>
      <c r="H863" s="494">
        <v>10.85</v>
      </c>
    </row>
    <row r="864" spans="1:8">
      <c r="B864" s="105"/>
      <c r="C864" s="105"/>
      <c r="D864" s="105"/>
      <c r="E864" s="105"/>
      <c r="F864" s="629" t="s">
        <v>587</v>
      </c>
      <c r="G864" s="629"/>
      <c r="H864" s="495">
        <v>10.85</v>
      </c>
    </row>
    <row r="865" spans="1:8" ht="12.75" customHeight="1">
      <c r="B865" s="105"/>
      <c r="C865" s="105"/>
      <c r="D865" s="105"/>
      <c r="E865" s="105"/>
      <c r="F865" s="630" t="s">
        <v>464</v>
      </c>
      <c r="G865" s="630"/>
      <c r="H865" s="102">
        <v>15.33</v>
      </c>
    </row>
    <row r="866" spans="1:8">
      <c r="B866" s="105"/>
      <c r="C866" s="105"/>
      <c r="D866" s="105"/>
      <c r="E866" s="105"/>
      <c r="F866" s="634"/>
      <c r="G866" s="634"/>
      <c r="H866" s="634"/>
    </row>
    <row r="867" spans="1:8" s="220" customFormat="1" ht="27" customHeight="1">
      <c r="A867" s="178" t="str">
        <f>'3 - PLAN. ORÇAMENTÁRIA'!A137</f>
        <v>3.4.2.2.2</v>
      </c>
      <c r="B867" s="242">
        <f>VLOOKUP(A867,'3 - PLAN. ORÇAMENTÁRIA'!$A$16:$B$721,2,FALSE)</f>
        <v>92762</v>
      </c>
      <c r="C867" s="638" t="str">
        <f>VLOOKUP(A867,'3 - PLAN. ORÇAMENTÁRIA'!$A$16:$C$721,3,FALSE)</f>
        <v>ARMAÇÃO DE PILAR OU VIGA DE ESTRUTURA CONVENCIONAL DE CONCRETO ARMADO UTILIZANDO AÇO CA-50 DE 10,0 MM - MONTAGEM. AF_06/2022</v>
      </c>
      <c r="D867" s="632"/>
      <c r="E867" s="632"/>
      <c r="F867" s="632"/>
      <c r="G867" s="633"/>
      <c r="H867" s="131" t="str">
        <f>VLOOKUP(A867,'3 - PLAN. ORÇAMENTÁRIA'!$A$17:$E$721,5,FALSE)</f>
        <v>KG</v>
      </c>
    </row>
    <row r="868" spans="1:8" ht="12.75" customHeight="1">
      <c r="B868" s="628" t="s">
        <v>593</v>
      </c>
      <c r="C868" s="628"/>
      <c r="D868" s="103" t="s">
        <v>579</v>
      </c>
      <c r="E868" s="103" t="s">
        <v>580</v>
      </c>
      <c r="F868" s="103" t="s">
        <v>581</v>
      </c>
      <c r="G868" s="103" t="s">
        <v>582</v>
      </c>
      <c r="H868" s="103" t="s">
        <v>583</v>
      </c>
    </row>
    <row r="869" spans="1:8">
      <c r="B869" s="130" t="s">
        <v>635</v>
      </c>
      <c r="C869" s="229" t="s">
        <v>636</v>
      </c>
      <c r="D869" s="130" t="s">
        <v>119</v>
      </c>
      <c r="E869" s="130" t="s">
        <v>200</v>
      </c>
      <c r="F869" s="230">
        <v>2.5000000000000001E-2</v>
      </c>
      <c r="G869" s="494">
        <v>19.38</v>
      </c>
      <c r="H869" s="494">
        <v>0.48</v>
      </c>
    </row>
    <row r="870" spans="1:8" ht="25.5">
      <c r="B870" s="130" t="s">
        <v>1373</v>
      </c>
      <c r="C870" s="229" t="s">
        <v>1374</v>
      </c>
      <c r="D870" s="130" t="s">
        <v>119</v>
      </c>
      <c r="E870" s="130" t="s">
        <v>144</v>
      </c>
      <c r="F870" s="230">
        <v>0.54300000000000004</v>
      </c>
      <c r="G870" s="494">
        <v>0.22</v>
      </c>
      <c r="H870" s="494">
        <v>0.12</v>
      </c>
    </row>
    <row r="871" spans="1:8" ht="12.75" customHeight="1">
      <c r="B871" s="105"/>
      <c r="C871" s="105"/>
      <c r="D871" s="105"/>
      <c r="E871" s="105"/>
      <c r="F871" s="629" t="s">
        <v>604</v>
      </c>
      <c r="G871" s="629"/>
      <c r="H871" s="495">
        <v>0.6</v>
      </c>
    </row>
    <row r="872" spans="1:8" ht="12.75" customHeight="1">
      <c r="B872" s="628" t="s">
        <v>607</v>
      </c>
      <c r="C872" s="628"/>
      <c r="D872" s="103" t="s">
        <v>579</v>
      </c>
      <c r="E872" s="103" t="s">
        <v>580</v>
      </c>
      <c r="F872" s="103" t="s">
        <v>581</v>
      </c>
      <c r="G872" s="103" t="s">
        <v>582</v>
      </c>
      <c r="H872" s="103" t="s">
        <v>583</v>
      </c>
    </row>
    <row r="873" spans="1:8">
      <c r="B873" s="130" t="s">
        <v>1375</v>
      </c>
      <c r="C873" s="229" t="s">
        <v>637</v>
      </c>
      <c r="D873" s="130" t="s">
        <v>119</v>
      </c>
      <c r="E873" s="130" t="s">
        <v>121</v>
      </c>
      <c r="F873" s="230">
        <v>6.4000000000000003E-3</v>
      </c>
      <c r="G873" s="494">
        <v>24.57</v>
      </c>
      <c r="H873" s="494">
        <v>0.16</v>
      </c>
    </row>
    <row r="874" spans="1:8">
      <c r="B874" s="130" t="s">
        <v>1376</v>
      </c>
      <c r="C874" s="229" t="s">
        <v>638</v>
      </c>
      <c r="D874" s="130" t="s">
        <v>119</v>
      </c>
      <c r="E874" s="130" t="s">
        <v>121</v>
      </c>
      <c r="F874" s="230">
        <v>3.9199999999999999E-2</v>
      </c>
      <c r="G874" s="494">
        <v>31.13</v>
      </c>
      <c r="H874" s="494">
        <v>1.22</v>
      </c>
    </row>
    <row r="875" spans="1:8" ht="12.75" customHeight="1">
      <c r="B875" s="105"/>
      <c r="C875" s="105"/>
      <c r="D875" s="105"/>
      <c r="E875" s="105"/>
      <c r="F875" s="629" t="s">
        <v>610</v>
      </c>
      <c r="G875" s="629"/>
      <c r="H875" s="495">
        <v>1.38</v>
      </c>
    </row>
    <row r="876" spans="1:8">
      <c r="B876" s="628" t="s">
        <v>586</v>
      </c>
      <c r="C876" s="628"/>
      <c r="D876" s="103" t="s">
        <v>579</v>
      </c>
      <c r="E876" s="103" t="s">
        <v>580</v>
      </c>
      <c r="F876" s="103" t="s">
        <v>581</v>
      </c>
      <c r="G876" s="103" t="s">
        <v>582</v>
      </c>
      <c r="H876" s="103" t="s">
        <v>583</v>
      </c>
    </row>
    <row r="877" spans="1:8">
      <c r="B877" s="130" t="s">
        <v>1418</v>
      </c>
      <c r="C877" s="229" t="s">
        <v>1419</v>
      </c>
      <c r="D877" s="130" t="s">
        <v>119</v>
      </c>
      <c r="E877" s="130" t="s">
        <v>200</v>
      </c>
      <c r="F877" s="230">
        <v>1</v>
      </c>
      <c r="G877" s="494">
        <v>9.9600000000000009</v>
      </c>
      <c r="H877" s="494">
        <v>9.9600000000000009</v>
      </c>
    </row>
    <row r="878" spans="1:8" ht="12.75" customHeight="1">
      <c r="B878" s="105"/>
      <c r="C878" s="105"/>
      <c r="D878" s="105"/>
      <c r="E878" s="105"/>
      <c r="F878" s="629" t="s">
        <v>587</v>
      </c>
      <c r="G878" s="629"/>
      <c r="H878" s="495">
        <v>9.9600000000000009</v>
      </c>
    </row>
    <row r="879" spans="1:8" ht="12.75" customHeight="1">
      <c r="B879" s="105"/>
      <c r="C879" s="105"/>
      <c r="D879" s="105"/>
      <c r="E879" s="105"/>
      <c r="F879" s="630" t="s">
        <v>464</v>
      </c>
      <c r="G879" s="630"/>
      <c r="H879" s="102">
        <v>11.92</v>
      </c>
    </row>
    <row r="880" spans="1:8">
      <c r="B880" s="105"/>
      <c r="C880" s="105"/>
      <c r="D880" s="105"/>
      <c r="E880" s="105"/>
      <c r="F880" s="639"/>
      <c r="G880" s="639"/>
      <c r="H880" s="639"/>
    </row>
    <row r="881" spans="1:8" s="220" customFormat="1" ht="27" customHeight="1">
      <c r="A881" s="178" t="str">
        <f>'3 - PLAN. ORÇAMENTÁRIA'!A139</f>
        <v>3.4.3.1</v>
      </c>
      <c r="B881" s="242">
        <f>VLOOKUP(A881,'3 - PLAN. ORÇAMENTÁRIA'!$A$16:$B$721,2,FALSE)</f>
        <v>103316</v>
      </c>
      <c r="C881" s="631" t="str">
        <f>VLOOKUP(A881,'3 - PLAN. ORÇAMENTÁRIA'!$A$16:$C$721,3,FALSE)</f>
        <v>ALVENARIA DE VEDAÇÃO DE BLOCOS VAZADOS DE CONCRETO DE 9X19X39 CM (ESPESSURA 9 CM) E ARGAMASSA DE ASSENTAMENTO COM PREPARO EM BETONEIRA. AF_12/2021</v>
      </c>
      <c r="D881" s="632"/>
      <c r="E881" s="632"/>
      <c r="F881" s="632"/>
      <c r="G881" s="633"/>
      <c r="H881" s="131" t="str">
        <f>VLOOKUP(A881,'3 - PLAN. ORÇAMENTÁRIA'!$A$17:$E$721,5,FALSE)</f>
        <v>M2</v>
      </c>
    </row>
    <row r="882" spans="1:8">
      <c r="B882" s="628" t="s">
        <v>593</v>
      </c>
      <c r="C882" s="628"/>
      <c r="D882" s="103" t="s">
        <v>579</v>
      </c>
      <c r="E882" s="103" t="s">
        <v>580</v>
      </c>
      <c r="F882" s="103" t="s">
        <v>581</v>
      </c>
      <c r="G882" s="103" t="s">
        <v>582</v>
      </c>
      <c r="H882" s="103" t="s">
        <v>583</v>
      </c>
    </row>
    <row r="883" spans="1:8">
      <c r="B883" s="130" t="s">
        <v>648</v>
      </c>
      <c r="C883" s="229" t="s">
        <v>649</v>
      </c>
      <c r="D883" s="130" t="s">
        <v>119</v>
      </c>
      <c r="E883" s="130" t="s">
        <v>144</v>
      </c>
      <c r="F883" s="230">
        <v>13.6</v>
      </c>
      <c r="G883" s="494">
        <v>3.59</v>
      </c>
      <c r="H883" s="494">
        <v>48.82</v>
      </c>
    </row>
    <row r="884" spans="1:8">
      <c r="B884" s="130" t="s">
        <v>1455</v>
      </c>
      <c r="C884" s="229" t="s">
        <v>1456</v>
      </c>
      <c r="D884" s="130" t="s">
        <v>119</v>
      </c>
      <c r="E884" s="130" t="s">
        <v>1457</v>
      </c>
      <c r="F884" s="230">
        <v>5.0000000000000001E-3</v>
      </c>
      <c r="G884" s="494">
        <v>44.78</v>
      </c>
      <c r="H884" s="494">
        <v>0.22</v>
      </c>
    </row>
    <row r="885" spans="1:8" ht="25.5">
      <c r="B885" s="130" t="s">
        <v>1470</v>
      </c>
      <c r="C885" s="229" t="s">
        <v>1471</v>
      </c>
      <c r="D885" s="130" t="s">
        <v>119</v>
      </c>
      <c r="E885" s="130" t="s">
        <v>173</v>
      </c>
      <c r="F885" s="230">
        <v>0.42</v>
      </c>
      <c r="G885" s="494">
        <v>2.4500000000000002</v>
      </c>
      <c r="H885" s="494">
        <v>1.03</v>
      </c>
    </row>
    <row r="886" spans="1:8">
      <c r="B886" s="105"/>
      <c r="C886" s="105"/>
      <c r="D886" s="105"/>
      <c r="E886" s="105"/>
      <c r="F886" s="629" t="s">
        <v>604</v>
      </c>
      <c r="G886" s="629"/>
      <c r="H886" s="495">
        <v>50.07</v>
      </c>
    </row>
    <row r="887" spans="1:8" ht="12.75" customHeight="1">
      <c r="B887" s="628" t="s">
        <v>607</v>
      </c>
      <c r="C887" s="628"/>
      <c r="D887" s="103" t="s">
        <v>579</v>
      </c>
      <c r="E887" s="103" t="s">
        <v>580</v>
      </c>
      <c r="F887" s="103" t="s">
        <v>581</v>
      </c>
      <c r="G887" s="103" t="s">
        <v>582</v>
      </c>
      <c r="H887" s="103" t="s">
        <v>583</v>
      </c>
    </row>
    <row r="888" spans="1:8">
      <c r="B888" s="130" t="s">
        <v>639</v>
      </c>
      <c r="C888" s="229" t="s">
        <v>640</v>
      </c>
      <c r="D888" s="130" t="s">
        <v>119</v>
      </c>
      <c r="E888" s="130" t="s">
        <v>121</v>
      </c>
      <c r="F888" s="230">
        <v>0.73</v>
      </c>
      <c r="G888" s="494">
        <v>31.34</v>
      </c>
      <c r="H888" s="494">
        <v>22.88</v>
      </c>
    </row>
    <row r="889" spans="1:8">
      <c r="B889" s="130" t="s">
        <v>625</v>
      </c>
      <c r="C889" s="229" t="s">
        <v>626</v>
      </c>
      <c r="D889" s="130" t="s">
        <v>119</v>
      </c>
      <c r="E889" s="130" t="s">
        <v>121</v>
      </c>
      <c r="F889" s="230">
        <v>0.36499999999999999</v>
      </c>
      <c r="G889" s="494">
        <v>23.75</v>
      </c>
      <c r="H889" s="494">
        <v>8.67</v>
      </c>
    </row>
    <row r="890" spans="1:8" ht="12.75" customHeight="1">
      <c r="B890" s="105"/>
      <c r="C890" s="105"/>
      <c r="D890" s="105"/>
      <c r="E890" s="105"/>
      <c r="F890" s="629" t="s">
        <v>610</v>
      </c>
      <c r="G890" s="629"/>
      <c r="H890" s="495">
        <v>31.55</v>
      </c>
    </row>
    <row r="891" spans="1:8">
      <c r="B891" s="628" t="s">
        <v>586</v>
      </c>
      <c r="C891" s="628"/>
      <c r="D891" s="103" t="s">
        <v>579</v>
      </c>
      <c r="E891" s="103" t="s">
        <v>580</v>
      </c>
      <c r="F891" s="103" t="s">
        <v>581</v>
      </c>
      <c r="G891" s="103" t="s">
        <v>582</v>
      </c>
      <c r="H891" s="103" t="s">
        <v>583</v>
      </c>
    </row>
    <row r="892" spans="1:8" ht="38.25">
      <c r="B892" s="130" t="s">
        <v>1460</v>
      </c>
      <c r="C892" s="229" t="s">
        <v>1461</v>
      </c>
      <c r="D892" s="130" t="s">
        <v>119</v>
      </c>
      <c r="E892" s="130" t="s">
        <v>167</v>
      </c>
      <c r="F892" s="230">
        <v>8.6999999999999994E-3</v>
      </c>
      <c r="G892" s="494">
        <v>627.42999999999995</v>
      </c>
      <c r="H892" s="494">
        <v>5.46</v>
      </c>
    </row>
    <row r="893" spans="1:8">
      <c r="B893" s="105"/>
      <c r="C893" s="105"/>
      <c r="D893" s="105"/>
      <c r="E893" s="105"/>
      <c r="F893" s="629" t="s">
        <v>587</v>
      </c>
      <c r="G893" s="629"/>
      <c r="H893" s="495">
        <v>5.46</v>
      </c>
    </row>
    <row r="894" spans="1:8" ht="12.75" customHeight="1">
      <c r="B894" s="105"/>
      <c r="C894" s="105"/>
      <c r="D894" s="105"/>
      <c r="E894" s="105"/>
      <c r="F894" s="630" t="s">
        <v>464</v>
      </c>
      <c r="G894" s="630"/>
      <c r="H894" s="102">
        <v>87.08</v>
      </c>
    </row>
    <row r="895" spans="1:8">
      <c r="B895" s="105"/>
      <c r="C895" s="105"/>
      <c r="D895" s="105"/>
      <c r="E895" s="105"/>
      <c r="F895" s="634"/>
      <c r="G895" s="634"/>
      <c r="H895" s="634"/>
    </row>
    <row r="896" spans="1:8" s="220" customFormat="1" ht="27" customHeight="1">
      <c r="A896" s="178" t="str">
        <f>'3 - PLAN. ORÇAMENTÁRIA'!A140</f>
        <v>3.4.3.2</v>
      </c>
      <c r="B896" s="242">
        <f>VLOOKUP(A896,'3 - PLAN. ORÇAMENTÁRIA'!$A$16:$B$721,2,FALSE)</f>
        <v>103342</v>
      </c>
      <c r="C896" s="631" t="str">
        <f>VLOOKUP(A896,'3 - PLAN. ORÇAMENTÁRIA'!$A$16:$C$721,3,FALSE)</f>
        <v>ALVENARIA DE VEDAÇÃO DE BLOCOS VAZADOS DE CONCRETO DE 14X19X29 CM (ESPESSURA 14 CM) E ARGAMASSA DE ASSENTAMENTO COM PREPARO EM BETONEIRA. AF_12/2021</v>
      </c>
      <c r="D896" s="632"/>
      <c r="E896" s="632"/>
      <c r="F896" s="632"/>
      <c r="G896" s="633"/>
      <c r="H896" s="493" t="str">
        <f>VLOOKUP(A896,'3 - PLAN. ORÇAMENTÁRIA'!$A$17:$E$721,5,FALSE)</f>
        <v>M2</v>
      </c>
    </row>
    <row r="897" spans="1:8">
      <c r="B897" s="628" t="s">
        <v>593</v>
      </c>
      <c r="C897" s="628"/>
      <c r="D897" s="103" t="s">
        <v>579</v>
      </c>
      <c r="E897" s="103" t="s">
        <v>580</v>
      </c>
      <c r="F897" s="103" t="s">
        <v>581</v>
      </c>
      <c r="G897" s="103" t="s">
        <v>582</v>
      </c>
      <c r="H897" s="103" t="s">
        <v>583</v>
      </c>
    </row>
    <row r="898" spans="1:8">
      <c r="B898" s="130" t="s">
        <v>1453</v>
      </c>
      <c r="C898" s="229" t="s">
        <v>1454</v>
      </c>
      <c r="D898" s="130" t="s">
        <v>119</v>
      </c>
      <c r="E898" s="130" t="s">
        <v>144</v>
      </c>
      <c r="F898" s="230">
        <v>18.14</v>
      </c>
      <c r="G898" s="494">
        <v>4.07</v>
      </c>
      <c r="H898" s="494">
        <v>73.83</v>
      </c>
    </row>
    <row r="899" spans="1:8">
      <c r="B899" s="130" t="s">
        <v>1455</v>
      </c>
      <c r="C899" s="229" t="s">
        <v>1456</v>
      </c>
      <c r="D899" s="130" t="s">
        <v>119</v>
      </c>
      <c r="E899" s="130" t="s">
        <v>1457</v>
      </c>
      <c r="F899" s="230">
        <v>0.01</v>
      </c>
      <c r="G899" s="494">
        <v>44.78</v>
      </c>
      <c r="H899" s="494">
        <v>0.45</v>
      </c>
    </row>
    <row r="900" spans="1:8" ht="25.5">
      <c r="B900" s="130" t="s">
        <v>1458</v>
      </c>
      <c r="C900" s="229" t="s">
        <v>1459</v>
      </c>
      <c r="D900" s="130" t="s">
        <v>119</v>
      </c>
      <c r="E900" s="130" t="s">
        <v>173</v>
      </c>
      <c r="F900" s="230">
        <v>0.42</v>
      </c>
      <c r="G900" s="494">
        <v>3.87</v>
      </c>
      <c r="H900" s="494">
        <v>1.63</v>
      </c>
    </row>
    <row r="901" spans="1:8">
      <c r="B901" s="105"/>
      <c r="C901" s="105"/>
      <c r="D901" s="105"/>
      <c r="E901" s="105"/>
      <c r="F901" s="629" t="s">
        <v>604</v>
      </c>
      <c r="G901" s="629"/>
      <c r="H901" s="495">
        <v>75.91</v>
      </c>
    </row>
    <row r="902" spans="1:8" ht="12.75" customHeight="1">
      <c r="B902" s="628" t="s">
        <v>607</v>
      </c>
      <c r="C902" s="628"/>
      <c r="D902" s="103" t="s">
        <v>579</v>
      </c>
      <c r="E902" s="103" t="s">
        <v>580</v>
      </c>
      <c r="F902" s="103" t="s">
        <v>581</v>
      </c>
      <c r="G902" s="103" t="s">
        <v>582</v>
      </c>
      <c r="H902" s="103" t="s">
        <v>583</v>
      </c>
    </row>
    <row r="903" spans="1:8">
      <c r="B903" s="130" t="s">
        <v>639</v>
      </c>
      <c r="C903" s="229" t="s">
        <v>640</v>
      </c>
      <c r="D903" s="130" t="s">
        <v>119</v>
      </c>
      <c r="E903" s="130" t="s">
        <v>121</v>
      </c>
      <c r="F903" s="230">
        <v>1.1299999999999999</v>
      </c>
      <c r="G903" s="494">
        <v>31.34</v>
      </c>
      <c r="H903" s="494">
        <v>35.409999999999997</v>
      </c>
    </row>
    <row r="904" spans="1:8">
      <c r="B904" s="130" t="s">
        <v>625</v>
      </c>
      <c r="C904" s="229" t="s">
        <v>626</v>
      </c>
      <c r="D904" s="130" t="s">
        <v>119</v>
      </c>
      <c r="E904" s="130" t="s">
        <v>121</v>
      </c>
      <c r="F904" s="230">
        <v>0.56499999999999995</v>
      </c>
      <c r="G904" s="494">
        <v>23.75</v>
      </c>
      <c r="H904" s="494">
        <v>13.42</v>
      </c>
    </row>
    <row r="905" spans="1:8" ht="12.75" customHeight="1">
      <c r="B905" s="105"/>
      <c r="C905" s="105"/>
      <c r="D905" s="105"/>
      <c r="E905" s="105"/>
      <c r="F905" s="629" t="s">
        <v>610</v>
      </c>
      <c r="G905" s="629"/>
      <c r="H905" s="495">
        <v>48.83</v>
      </c>
    </row>
    <row r="906" spans="1:8">
      <c r="B906" s="628" t="s">
        <v>586</v>
      </c>
      <c r="C906" s="628"/>
      <c r="D906" s="103" t="s">
        <v>579</v>
      </c>
      <c r="E906" s="103" t="s">
        <v>580</v>
      </c>
      <c r="F906" s="103" t="s">
        <v>581</v>
      </c>
      <c r="G906" s="103" t="s">
        <v>582</v>
      </c>
      <c r="H906" s="103" t="s">
        <v>583</v>
      </c>
    </row>
    <row r="907" spans="1:8" ht="38.25">
      <c r="B907" s="130" t="s">
        <v>1460</v>
      </c>
      <c r="C907" s="229" t="s">
        <v>1461</v>
      </c>
      <c r="D907" s="130" t="s">
        <v>119</v>
      </c>
      <c r="E907" s="130" t="s">
        <v>167</v>
      </c>
      <c r="F907" s="230">
        <v>1.1299999999999999E-2</v>
      </c>
      <c r="G907" s="494">
        <v>627.42999999999995</v>
      </c>
      <c r="H907" s="494">
        <v>7.09</v>
      </c>
    </row>
    <row r="908" spans="1:8">
      <c r="B908" s="105"/>
      <c r="C908" s="105"/>
      <c r="D908" s="105"/>
      <c r="E908" s="105"/>
      <c r="F908" s="629" t="s">
        <v>587</v>
      </c>
      <c r="G908" s="629"/>
      <c r="H908" s="495">
        <v>7.09</v>
      </c>
    </row>
    <row r="909" spans="1:8" ht="12.75" customHeight="1">
      <c r="B909" s="105"/>
      <c r="C909" s="105"/>
      <c r="D909" s="105"/>
      <c r="E909" s="105"/>
      <c r="F909" s="630" t="s">
        <v>464</v>
      </c>
      <c r="G909" s="630"/>
      <c r="H909" s="102">
        <v>131.83000000000001</v>
      </c>
    </row>
    <row r="910" spans="1:8">
      <c r="B910" s="105"/>
      <c r="C910" s="105"/>
      <c r="D910" s="105"/>
      <c r="E910" s="105"/>
      <c r="F910" s="634"/>
      <c r="G910" s="634"/>
      <c r="H910" s="634"/>
    </row>
    <row r="911" spans="1:8" s="220" customFormat="1" ht="27" customHeight="1">
      <c r="A911" s="178" t="str">
        <f>'3 - PLAN. ORÇAMENTÁRIA'!A141</f>
        <v>3.4.3.3</v>
      </c>
      <c r="B911" s="242">
        <f>VLOOKUP(A911,'3 - PLAN. ORÇAMENTÁRIA'!$A$16:$B$721,2,FALSE)</f>
        <v>87879</v>
      </c>
      <c r="C911" s="631" t="str">
        <f>VLOOKUP(A911,'3 - PLAN. ORÇAMENTÁRIA'!$A$16:$C$721,3,FALSE)</f>
        <v>CHAPISCO APLICADO EM ALVENARIAS E ESTRUTURAS DE CONCRETO INTERNAS, COM COLHER DE PEDREIRO. ARGAMASSA TRAÇO 1:3 COM PREPARO EM BETONEIRA 400L. AF_10/2022</v>
      </c>
      <c r="D911" s="632"/>
      <c r="E911" s="632"/>
      <c r="F911" s="632"/>
      <c r="G911" s="633"/>
      <c r="H911" s="493" t="str">
        <f>VLOOKUP(A911,'3 - PLAN. ORÇAMENTÁRIA'!$A$17:$E$721,5,FALSE)</f>
        <v>M2</v>
      </c>
    </row>
    <row r="912" spans="1:8" ht="12.75" customHeight="1">
      <c r="B912" s="628" t="s">
        <v>607</v>
      </c>
      <c r="C912" s="628"/>
      <c r="D912" s="103" t="s">
        <v>579</v>
      </c>
      <c r="E912" s="103" t="s">
        <v>580</v>
      </c>
      <c r="F912" s="103" t="s">
        <v>581</v>
      </c>
      <c r="G912" s="103" t="s">
        <v>582</v>
      </c>
      <c r="H912" s="103" t="s">
        <v>583</v>
      </c>
    </row>
    <row r="913" spans="1:8">
      <c r="B913" s="130" t="s">
        <v>639</v>
      </c>
      <c r="C913" s="229" t="s">
        <v>640</v>
      </c>
      <c r="D913" s="130" t="s">
        <v>119</v>
      </c>
      <c r="E913" s="130" t="s">
        <v>121</v>
      </c>
      <c r="F913" s="230">
        <v>6.8099999999999994E-2</v>
      </c>
      <c r="G913" s="494">
        <v>31.34</v>
      </c>
      <c r="H913" s="494">
        <v>2.13</v>
      </c>
    </row>
    <row r="914" spans="1:8">
      <c r="B914" s="130" t="s">
        <v>625</v>
      </c>
      <c r="C914" s="229" t="s">
        <v>626</v>
      </c>
      <c r="D914" s="130" t="s">
        <v>119</v>
      </c>
      <c r="E914" s="130" t="s">
        <v>121</v>
      </c>
      <c r="F914" s="230">
        <v>2.5499999999999998E-2</v>
      </c>
      <c r="G914" s="494">
        <v>23.75</v>
      </c>
      <c r="H914" s="494">
        <v>0.61</v>
      </c>
    </row>
    <row r="915" spans="1:8" ht="12.75" customHeight="1">
      <c r="B915" s="105"/>
      <c r="C915" s="105"/>
      <c r="D915" s="105"/>
      <c r="E915" s="105"/>
      <c r="F915" s="629" t="s">
        <v>610</v>
      </c>
      <c r="G915" s="629"/>
      <c r="H915" s="495">
        <v>2.74</v>
      </c>
    </row>
    <row r="916" spans="1:8">
      <c r="B916" s="628" t="s">
        <v>586</v>
      </c>
      <c r="C916" s="628"/>
      <c r="D916" s="103" t="s">
        <v>579</v>
      </c>
      <c r="E916" s="103" t="s">
        <v>580</v>
      </c>
      <c r="F916" s="103" t="s">
        <v>581</v>
      </c>
      <c r="G916" s="103" t="s">
        <v>582</v>
      </c>
      <c r="H916" s="103" t="s">
        <v>583</v>
      </c>
    </row>
    <row r="917" spans="1:8" ht="25.5">
      <c r="B917" s="130">
        <v>87313</v>
      </c>
      <c r="C917" s="229" t="s">
        <v>3974</v>
      </c>
      <c r="D917" s="130" t="s">
        <v>119</v>
      </c>
      <c r="E917" s="130" t="s">
        <v>167</v>
      </c>
      <c r="F917" s="230">
        <v>3.7000000000000002E-3</v>
      </c>
      <c r="G917" s="494">
        <v>589.76</v>
      </c>
      <c r="H917" s="494">
        <v>2.1800000000000002</v>
      </c>
    </row>
    <row r="918" spans="1:8">
      <c r="B918" s="105"/>
      <c r="C918" s="105"/>
      <c r="D918" s="105"/>
      <c r="E918" s="105"/>
      <c r="F918" s="629" t="s">
        <v>587</v>
      </c>
      <c r="G918" s="629"/>
      <c r="H918" s="495">
        <v>2.1800000000000002</v>
      </c>
    </row>
    <row r="919" spans="1:8" ht="12.75" customHeight="1">
      <c r="B919" s="105"/>
      <c r="C919" s="105"/>
      <c r="D919" s="105"/>
      <c r="E919" s="105"/>
      <c r="F919" s="630" t="s">
        <v>464</v>
      </c>
      <c r="G919" s="630"/>
      <c r="H919" s="102">
        <v>4.91</v>
      </c>
    </row>
    <row r="920" spans="1:8">
      <c r="B920" s="105"/>
      <c r="C920" s="105"/>
      <c r="D920" s="105"/>
      <c r="E920" s="105"/>
      <c r="F920" s="634"/>
      <c r="G920" s="634"/>
      <c r="H920" s="634"/>
    </row>
    <row r="921" spans="1:8" s="220" customFormat="1" ht="27" customHeight="1">
      <c r="A921" s="178" t="str">
        <f>'3 - PLAN. ORÇAMENTÁRIA'!A142</f>
        <v>3.4.3.4</v>
      </c>
      <c r="B921" s="242">
        <f>VLOOKUP(A921,'3 - PLAN. ORÇAMENTÁRIA'!$A$16:$B$721,2,FALSE)</f>
        <v>87547</v>
      </c>
      <c r="C921" s="631" t="str">
        <f>VLOOKUP(A921,'3 - PLAN. ORÇAMENTÁRIA'!$A$16:$C$721,3,FALSE)</f>
        <v>REBOCO, EM ARGAMASSA TRAÇO 1:2:8, PREPARO MECÂNICO, APLICADA MANUALMENTE EM PAREDES INTERNAS DE AMBIENTES COM ÁREA MENOR OU IGUAL A 10M², E = 10MM, COM TALISCAS. AF_03/2024</v>
      </c>
      <c r="D921" s="632"/>
      <c r="E921" s="632"/>
      <c r="F921" s="632"/>
      <c r="G921" s="633"/>
      <c r="H921" s="493" t="str">
        <f>VLOOKUP(A921,'3 - PLAN. ORÇAMENTÁRIA'!$A$17:$E$721,5,FALSE)</f>
        <v>M2</v>
      </c>
    </row>
    <row r="922" spans="1:8" ht="12.75" customHeight="1">
      <c r="B922" s="628" t="s">
        <v>607</v>
      </c>
      <c r="C922" s="628"/>
      <c r="D922" s="103" t="s">
        <v>579</v>
      </c>
      <c r="E922" s="103" t="s">
        <v>580</v>
      </c>
      <c r="F922" s="103" t="s">
        <v>581</v>
      </c>
      <c r="G922" s="103" t="s">
        <v>582</v>
      </c>
      <c r="H922" s="103" t="s">
        <v>583</v>
      </c>
    </row>
    <row r="923" spans="1:8">
      <c r="B923" s="130" t="s">
        <v>639</v>
      </c>
      <c r="C923" s="229" t="s">
        <v>640</v>
      </c>
      <c r="D923" s="130" t="s">
        <v>119</v>
      </c>
      <c r="E923" s="130" t="s">
        <v>121</v>
      </c>
      <c r="F923" s="230">
        <v>0.37890000000000001</v>
      </c>
      <c r="G923" s="494">
        <v>31.34</v>
      </c>
      <c r="H923" s="494">
        <v>11.87</v>
      </c>
    </row>
    <row r="924" spans="1:8">
      <c r="B924" s="130" t="s">
        <v>625</v>
      </c>
      <c r="C924" s="229" t="s">
        <v>626</v>
      </c>
      <c r="D924" s="130" t="s">
        <v>119</v>
      </c>
      <c r="E924" s="130" t="s">
        <v>121</v>
      </c>
      <c r="F924" s="230">
        <v>0.18940000000000001</v>
      </c>
      <c r="G924" s="494">
        <v>23.75</v>
      </c>
      <c r="H924" s="494">
        <v>4.5</v>
      </c>
    </row>
    <row r="925" spans="1:8" ht="12.75" customHeight="1">
      <c r="B925" s="105"/>
      <c r="C925" s="105"/>
      <c r="D925" s="105"/>
      <c r="E925" s="105"/>
      <c r="F925" s="629" t="s">
        <v>610</v>
      </c>
      <c r="G925" s="629"/>
      <c r="H925" s="495">
        <v>16.37</v>
      </c>
    </row>
    <row r="926" spans="1:8">
      <c r="B926" s="628" t="s">
        <v>586</v>
      </c>
      <c r="C926" s="628"/>
      <c r="D926" s="103" t="s">
        <v>579</v>
      </c>
      <c r="E926" s="103" t="s">
        <v>580</v>
      </c>
      <c r="F926" s="103" t="s">
        <v>581</v>
      </c>
      <c r="G926" s="103" t="s">
        <v>582</v>
      </c>
      <c r="H926" s="103" t="s">
        <v>583</v>
      </c>
    </row>
    <row r="927" spans="1:8" ht="38.25">
      <c r="B927" s="130">
        <v>87292</v>
      </c>
      <c r="C927" s="229" t="s">
        <v>1461</v>
      </c>
      <c r="D927" s="130" t="s">
        <v>119</v>
      </c>
      <c r="E927" s="130" t="s">
        <v>167</v>
      </c>
      <c r="F927" s="230">
        <v>1.9400000000000001E-2</v>
      </c>
      <c r="G927" s="494">
        <v>627.42999999999995</v>
      </c>
      <c r="H927" s="494">
        <v>12.17</v>
      </c>
    </row>
    <row r="928" spans="1:8">
      <c r="B928" s="105"/>
      <c r="C928" s="105"/>
      <c r="D928" s="105"/>
      <c r="E928" s="105"/>
      <c r="F928" s="629" t="s">
        <v>587</v>
      </c>
      <c r="G928" s="629"/>
      <c r="H928" s="495">
        <v>12.17</v>
      </c>
    </row>
    <row r="929" spans="1:8" ht="12.75" customHeight="1">
      <c r="B929" s="105"/>
      <c r="C929" s="105"/>
      <c r="D929" s="105"/>
      <c r="E929" s="105"/>
      <c r="F929" s="630" t="s">
        <v>464</v>
      </c>
      <c r="G929" s="630"/>
      <c r="H929" s="102">
        <v>28.54</v>
      </c>
    </row>
    <row r="930" spans="1:8">
      <c r="B930" s="105"/>
      <c r="C930" s="105"/>
      <c r="D930" s="105"/>
      <c r="E930" s="105"/>
      <c r="F930" s="634"/>
      <c r="G930" s="634"/>
      <c r="H930" s="634"/>
    </row>
    <row r="931" spans="1:8" s="220" customFormat="1" ht="27" customHeight="1">
      <c r="A931" s="178" t="str">
        <f>'3 - PLAN. ORÇAMENTÁRIA'!A143</f>
        <v>3.4.3.5</v>
      </c>
      <c r="B931" s="242">
        <f>VLOOKUP(A931,'3 - PLAN. ORÇAMENTÁRIA'!$A$16:$B$721,2,FALSE)</f>
        <v>98557</v>
      </c>
      <c r="C931" s="631" t="str">
        <f>VLOOKUP(A931,'3 - PLAN. ORÇAMENTÁRIA'!$A$16:$C$721,3,FALSE)</f>
        <v>IMPERMEABILIZAÇÃO DE SUPERFÍCIE COM EMULSÃO ASFÁLTICA, 2 DEMÃOS. AF_09/2023</v>
      </c>
      <c r="D931" s="632"/>
      <c r="E931" s="632"/>
      <c r="F931" s="632"/>
      <c r="G931" s="633"/>
      <c r="H931" s="493" t="str">
        <f>VLOOKUP(A931,'3 - PLAN. ORÇAMENTÁRIA'!$A$17:$E$721,5,FALSE)</f>
        <v>M2</v>
      </c>
    </row>
    <row r="932" spans="1:8">
      <c r="B932" s="628" t="s">
        <v>593</v>
      </c>
      <c r="C932" s="628"/>
      <c r="D932" s="103" t="s">
        <v>579</v>
      </c>
      <c r="E932" s="103" t="s">
        <v>580</v>
      </c>
      <c r="F932" s="103" t="s">
        <v>581</v>
      </c>
      <c r="G932" s="103" t="s">
        <v>582</v>
      </c>
      <c r="H932" s="103" t="s">
        <v>583</v>
      </c>
    </row>
    <row r="933" spans="1:8" ht="38.25">
      <c r="B933" s="130" t="s">
        <v>1407</v>
      </c>
      <c r="C933" s="229" t="s">
        <v>2420</v>
      </c>
      <c r="D933" s="130" t="s">
        <v>119</v>
      </c>
      <c r="E933" s="130" t="s">
        <v>200</v>
      </c>
      <c r="F933" s="230">
        <v>1.5</v>
      </c>
      <c r="G933" s="494">
        <v>18.489999999999998</v>
      </c>
      <c r="H933" s="494">
        <v>27.74</v>
      </c>
    </row>
    <row r="934" spans="1:8">
      <c r="B934" s="105"/>
      <c r="C934" s="105"/>
      <c r="D934" s="105"/>
      <c r="E934" s="105"/>
      <c r="F934" s="629" t="s">
        <v>604</v>
      </c>
      <c r="G934" s="629"/>
      <c r="H934" s="495">
        <v>27.74</v>
      </c>
    </row>
    <row r="935" spans="1:8" ht="12.75" customHeight="1">
      <c r="B935" s="628" t="s">
        <v>607</v>
      </c>
      <c r="C935" s="628"/>
      <c r="D935" s="103" t="s">
        <v>579</v>
      </c>
      <c r="E935" s="103" t="s">
        <v>580</v>
      </c>
      <c r="F935" s="103" t="s">
        <v>581</v>
      </c>
      <c r="G935" s="103" t="s">
        <v>582</v>
      </c>
      <c r="H935" s="103" t="s">
        <v>583</v>
      </c>
    </row>
    <row r="936" spans="1:8">
      <c r="B936" s="130" t="s">
        <v>1408</v>
      </c>
      <c r="C936" s="229" t="s">
        <v>1409</v>
      </c>
      <c r="D936" s="130" t="s">
        <v>119</v>
      </c>
      <c r="E936" s="130" t="s">
        <v>121</v>
      </c>
      <c r="F936" s="230">
        <v>9.69E-2</v>
      </c>
      <c r="G936" s="494">
        <v>24.4</v>
      </c>
      <c r="H936" s="494">
        <v>2.36</v>
      </c>
    </row>
    <row r="937" spans="1:8">
      <c r="B937" s="130" t="s">
        <v>1410</v>
      </c>
      <c r="C937" s="229" t="s">
        <v>1411</v>
      </c>
      <c r="D937" s="130" t="s">
        <v>119</v>
      </c>
      <c r="E937" s="130" t="s">
        <v>121</v>
      </c>
      <c r="F937" s="230">
        <v>0.4299</v>
      </c>
      <c r="G937" s="494">
        <v>31.34</v>
      </c>
      <c r="H937" s="494">
        <v>13.47</v>
      </c>
    </row>
    <row r="938" spans="1:8" ht="12.75" customHeight="1">
      <c r="B938" s="105"/>
      <c r="C938" s="105"/>
      <c r="D938" s="105"/>
      <c r="E938" s="105"/>
      <c r="F938" s="629" t="s">
        <v>610</v>
      </c>
      <c r="G938" s="629"/>
      <c r="H938" s="495">
        <v>15.83</v>
      </c>
    </row>
    <row r="939" spans="1:8" ht="12.75" customHeight="1">
      <c r="B939" s="105"/>
      <c r="C939" s="105"/>
      <c r="D939" s="105"/>
      <c r="E939" s="105"/>
      <c r="F939" s="630" t="s">
        <v>464</v>
      </c>
      <c r="G939" s="630"/>
      <c r="H939" s="102">
        <v>43.56</v>
      </c>
    </row>
    <row r="940" spans="1:8">
      <c r="B940" s="105"/>
      <c r="C940" s="105"/>
      <c r="D940" s="105"/>
      <c r="E940" s="105"/>
      <c r="F940" s="634"/>
      <c r="G940" s="634"/>
      <c r="H940" s="634"/>
    </row>
    <row r="941" spans="1:8" s="220" customFormat="1" ht="27" customHeight="1">
      <c r="A941" s="178" t="str">
        <f>'3 - PLAN. ORÇAMENTÁRIA'!A145</f>
        <v>3.4.3.7</v>
      </c>
      <c r="B941" s="242">
        <f>VLOOKUP(A941,'3 - PLAN. ORÇAMENTÁRIA'!$A$16:$B$721,2,FALSE)</f>
        <v>88485</v>
      </c>
      <c r="C941" s="631" t="str">
        <f>VLOOKUP(A941,'3 - PLAN. ORÇAMENTÁRIA'!$A$16:$C$721,3,FALSE)</f>
        <v>FUNDO SELADOR ACRÍLICO, APLICAÇÃO MANUAL EM PAREDE, UMA DEMÃO. AF_04/2023</v>
      </c>
      <c r="D941" s="632"/>
      <c r="E941" s="632"/>
      <c r="F941" s="632"/>
      <c r="G941" s="633"/>
      <c r="H941" s="437" t="str">
        <f>VLOOKUP(A941,'3 - PLAN. ORÇAMENTÁRIA'!$A$17:$E$721,5,FALSE)</f>
        <v>M2</v>
      </c>
    </row>
    <row r="942" spans="1:8">
      <c r="B942" s="628" t="s">
        <v>593</v>
      </c>
      <c r="C942" s="628"/>
      <c r="D942" s="103" t="s">
        <v>579</v>
      </c>
      <c r="E942" s="103" t="s">
        <v>580</v>
      </c>
      <c r="F942" s="103" t="s">
        <v>581</v>
      </c>
      <c r="G942" s="103" t="s">
        <v>582</v>
      </c>
      <c r="H942" s="103" t="s">
        <v>583</v>
      </c>
    </row>
    <row r="943" spans="1:8">
      <c r="B943" s="130" t="s">
        <v>1464</v>
      </c>
      <c r="C943" s="229" t="s">
        <v>1465</v>
      </c>
      <c r="D943" s="130" t="s">
        <v>119</v>
      </c>
      <c r="E943" s="130" t="s">
        <v>107</v>
      </c>
      <c r="F943" s="230">
        <v>0.1666</v>
      </c>
      <c r="G943" s="494">
        <v>12.45</v>
      </c>
      <c r="H943" s="494">
        <v>2.0699999999999998</v>
      </c>
    </row>
    <row r="944" spans="1:8">
      <c r="B944" s="105"/>
      <c r="C944" s="105"/>
      <c r="D944" s="105"/>
      <c r="E944" s="105"/>
      <c r="F944" s="629" t="s">
        <v>604</v>
      </c>
      <c r="G944" s="629"/>
      <c r="H944" s="495">
        <v>2.0699999999999998</v>
      </c>
    </row>
    <row r="945" spans="1:8" ht="12.75" customHeight="1">
      <c r="B945" s="628" t="s">
        <v>607</v>
      </c>
      <c r="C945" s="628"/>
      <c r="D945" s="103" t="s">
        <v>579</v>
      </c>
      <c r="E945" s="103" t="s">
        <v>580</v>
      </c>
      <c r="F945" s="103" t="s">
        <v>581</v>
      </c>
      <c r="G945" s="103" t="s">
        <v>582</v>
      </c>
      <c r="H945" s="103" t="s">
        <v>583</v>
      </c>
    </row>
    <row r="946" spans="1:8">
      <c r="B946" s="130" t="s">
        <v>1450</v>
      </c>
      <c r="C946" s="229" t="s">
        <v>663</v>
      </c>
      <c r="D946" s="130" t="s">
        <v>119</v>
      </c>
      <c r="E946" s="130" t="s">
        <v>121</v>
      </c>
      <c r="F946" s="230">
        <v>6.6600000000000006E-2</v>
      </c>
      <c r="G946" s="494">
        <v>33.01</v>
      </c>
      <c r="H946" s="494">
        <v>2.2000000000000002</v>
      </c>
    </row>
    <row r="947" spans="1:8">
      <c r="B947" s="130" t="s">
        <v>625</v>
      </c>
      <c r="C947" s="229" t="s">
        <v>626</v>
      </c>
      <c r="D947" s="130" t="s">
        <v>119</v>
      </c>
      <c r="E947" s="130" t="s">
        <v>121</v>
      </c>
      <c r="F947" s="230">
        <v>2.2200000000000001E-2</v>
      </c>
      <c r="G947" s="494">
        <v>23.75</v>
      </c>
      <c r="H947" s="494">
        <v>0.53</v>
      </c>
    </row>
    <row r="948" spans="1:8" ht="12.75" customHeight="1">
      <c r="B948" s="105"/>
      <c r="C948" s="105"/>
      <c r="D948" s="105"/>
      <c r="E948" s="105"/>
      <c r="F948" s="629" t="s">
        <v>610</v>
      </c>
      <c r="G948" s="629"/>
      <c r="H948" s="495">
        <v>2.73</v>
      </c>
    </row>
    <row r="949" spans="1:8" ht="12.75" customHeight="1">
      <c r="B949" s="105"/>
      <c r="C949" s="105"/>
      <c r="D949" s="105"/>
      <c r="E949" s="105"/>
      <c r="F949" s="630" t="s">
        <v>464</v>
      </c>
      <c r="G949" s="630"/>
      <c r="H949" s="102">
        <v>4.78</v>
      </c>
    </row>
    <row r="950" spans="1:8">
      <c r="B950" s="105"/>
      <c r="C950" s="105"/>
      <c r="D950" s="105"/>
      <c r="E950" s="105"/>
      <c r="F950" s="634"/>
      <c r="G950" s="634"/>
      <c r="H950" s="634"/>
    </row>
    <row r="951" spans="1:8" s="220" customFormat="1" ht="27" customHeight="1">
      <c r="A951" s="178" t="str">
        <f>'3 - PLAN. ORÇAMENTÁRIA'!A146</f>
        <v>3.4.3.8</v>
      </c>
      <c r="B951" s="242">
        <f>VLOOKUP(A951,'3 - PLAN. ORÇAMENTÁRIA'!$A$16:$B$721,2,FALSE)</f>
        <v>88489</v>
      </c>
      <c r="C951" s="631" t="str">
        <f>VLOOKUP(A951,'3 - PLAN. ORÇAMENTÁRIA'!$A$16:$C$721,3,FALSE)</f>
        <v>PINTURA LÁTEX ACRÍLICA PREMIUM, APLICAÇÃO MANUAL EM PAREDES, DUAS DEMÃOS. AF_04/2023</v>
      </c>
      <c r="D951" s="632"/>
      <c r="E951" s="632"/>
      <c r="F951" s="632"/>
      <c r="G951" s="633"/>
      <c r="H951" s="493" t="str">
        <f>VLOOKUP(A951,'3 - PLAN. ORÇAMENTÁRIA'!$A$17:$E$721,5,FALSE)</f>
        <v>M2</v>
      </c>
    </row>
    <row r="952" spans="1:8">
      <c r="B952" s="628" t="s">
        <v>593</v>
      </c>
      <c r="C952" s="628"/>
      <c r="D952" s="103" t="s">
        <v>579</v>
      </c>
      <c r="E952" s="103" t="s">
        <v>580</v>
      </c>
      <c r="F952" s="103" t="s">
        <v>581</v>
      </c>
      <c r="G952" s="103" t="s">
        <v>582</v>
      </c>
      <c r="H952" s="103" t="s">
        <v>583</v>
      </c>
    </row>
    <row r="953" spans="1:8">
      <c r="B953" s="130" t="s">
        <v>632</v>
      </c>
      <c r="C953" s="229" t="s">
        <v>633</v>
      </c>
      <c r="D953" s="130" t="s">
        <v>119</v>
      </c>
      <c r="E953" s="130" t="s">
        <v>107</v>
      </c>
      <c r="F953" s="230">
        <v>0.22850000000000001</v>
      </c>
      <c r="G953" s="494">
        <v>31.4</v>
      </c>
      <c r="H953" s="494">
        <v>7.17</v>
      </c>
    </row>
    <row r="954" spans="1:8">
      <c r="B954" s="105"/>
      <c r="C954" s="105"/>
      <c r="D954" s="105"/>
      <c r="E954" s="105"/>
      <c r="F954" s="629" t="s">
        <v>604</v>
      </c>
      <c r="G954" s="629"/>
      <c r="H954" s="495">
        <v>7.17</v>
      </c>
    </row>
    <row r="955" spans="1:8" ht="12.75" customHeight="1">
      <c r="B955" s="628" t="s">
        <v>607</v>
      </c>
      <c r="C955" s="628"/>
      <c r="D955" s="103" t="s">
        <v>579</v>
      </c>
      <c r="E955" s="103" t="s">
        <v>580</v>
      </c>
      <c r="F955" s="103" t="s">
        <v>581</v>
      </c>
      <c r="G955" s="103" t="s">
        <v>582</v>
      </c>
      <c r="H955" s="103" t="s">
        <v>583</v>
      </c>
    </row>
    <row r="956" spans="1:8">
      <c r="B956" s="130" t="s">
        <v>1450</v>
      </c>
      <c r="C956" s="229" t="s">
        <v>663</v>
      </c>
      <c r="D956" s="130" t="s">
        <v>119</v>
      </c>
      <c r="E956" s="130" t="s">
        <v>121</v>
      </c>
      <c r="F956" s="230">
        <v>0.16309999999999999</v>
      </c>
      <c r="G956" s="494">
        <v>33.01</v>
      </c>
      <c r="H956" s="494">
        <v>5.38</v>
      </c>
    </row>
    <row r="957" spans="1:8">
      <c r="B957" s="130" t="s">
        <v>625</v>
      </c>
      <c r="C957" s="229" t="s">
        <v>626</v>
      </c>
      <c r="D957" s="130" t="s">
        <v>119</v>
      </c>
      <c r="E957" s="130" t="s">
        <v>121</v>
      </c>
      <c r="F957" s="230">
        <v>5.4399999999999997E-2</v>
      </c>
      <c r="G957" s="494">
        <v>23.75</v>
      </c>
      <c r="H957" s="494">
        <v>1.29</v>
      </c>
    </row>
    <row r="958" spans="1:8" ht="12.75" customHeight="1">
      <c r="B958" s="105"/>
      <c r="C958" s="105"/>
      <c r="D958" s="105"/>
      <c r="E958" s="105"/>
      <c r="F958" s="629" t="s">
        <v>610</v>
      </c>
      <c r="G958" s="629"/>
      <c r="H958" s="495">
        <v>6.67</v>
      </c>
    </row>
    <row r="959" spans="1:8" ht="12.75" customHeight="1">
      <c r="B959" s="105"/>
      <c r="C959" s="105"/>
      <c r="D959" s="105"/>
      <c r="E959" s="105"/>
      <c r="F959" s="630" t="s">
        <v>464</v>
      </c>
      <c r="G959" s="630"/>
      <c r="H959" s="102">
        <v>13.84</v>
      </c>
    </row>
    <row r="960" spans="1:8">
      <c r="B960" s="105"/>
      <c r="C960" s="105"/>
      <c r="D960" s="105"/>
      <c r="E960" s="105"/>
      <c r="F960" s="634"/>
      <c r="G960" s="634"/>
      <c r="H960" s="634"/>
    </row>
    <row r="961" spans="1:8" s="220" customFormat="1" ht="27" customHeight="1">
      <c r="A961" s="178" t="str">
        <f>'3 - PLAN. ORÇAMENTÁRIA'!A147</f>
        <v>3.4.3.9</v>
      </c>
      <c r="B961" s="242">
        <f>VLOOKUP(A961,'3 - PLAN. ORÇAMENTÁRIA'!$A$16:$B$721,2,FALSE)</f>
        <v>105034</v>
      </c>
      <c r="C961" s="631" t="str">
        <f>VLOOKUP(A961,'3 - PLAN. ORÇAMENTÁRIA'!$A$16:$C$721,3,FALSE)</f>
        <v>CINTA DE AMARRAÇÃO DE ALVENARIA MOLDADA IN LOCO COM UTILIZAÇÃO DE BLOCOS CANALETA, ESPESSURA DE *10* CM. AF_03/2024</v>
      </c>
      <c r="D961" s="632"/>
      <c r="E961" s="632"/>
      <c r="F961" s="632"/>
      <c r="G961" s="633"/>
      <c r="H961" s="493" t="str">
        <f>VLOOKUP(A961,'3 - PLAN. ORÇAMENTÁRIA'!$A$17:$E$721,5,FALSE)</f>
        <v>M</v>
      </c>
    </row>
    <row r="962" spans="1:8" ht="12.75" customHeight="1">
      <c r="B962" s="628" t="s">
        <v>593</v>
      </c>
      <c r="C962" s="628"/>
      <c r="D962" s="103" t="s">
        <v>579</v>
      </c>
      <c r="E962" s="103" t="s">
        <v>580</v>
      </c>
      <c r="F962" s="103" t="s">
        <v>581</v>
      </c>
      <c r="G962" s="103" t="s">
        <v>582</v>
      </c>
      <c r="H962" s="103" t="s">
        <v>583</v>
      </c>
    </row>
    <row r="963" spans="1:8">
      <c r="B963" s="130" t="s">
        <v>1476</v>
      </c>
      <c r="C963" s="229" t="s">
        <v>1477</v>
      </c>
      <c r="D963" s="130" t="s">
        <v>119</v>
      </c>
      <c r="E963" s="130" t="s">
        <v>144</v>
      </c>
      <c r="F963" s="230">
        <v>5.34</v>
      </c>
      <c r="G963" s="494">
        <v>2.2400000000000002</v>
      </c>
      <c r="H963" s="494">
        <v>11.96</v>
      </c>
    </row>
    <row r="964" spans="1:8">
      <c r="B964" s="105"/>
      <c r="C964" s="105"/>
      <c r="D964" s="105"/>
      <c r="E964" s="105"/>
      <c r="F964" s="629" t="s">
        <v>604</v>
      </c>
      <c r="G964" s="629"/>
      <c r="H964" s="495">
        <v>11.96</v>
      </c>
    </row>
    <row r="965" spans="1:8" ht="12.75" customHeight="1">
      <c r="B965" s="628" t="s">
        <v>607</v>
      </c>
      <c r="C965" s="628"/>
      <c r="D965" s="103" t="s">
        <v>579</v>
      </c>
      <c r="E965" s="103" t="s">
        <v>580</v>
      </c>
      <c r="F965" s="103" t="s">
        <v>581</v>
      </c>
      <c r="G965" s="103" t="s">
        <v>582</v>
      </c>
      <c r="H965" s="103" t="s">
        <v>583</v>
      </c>
    </row>
    <row r="966" spans="1:8">
      <c r="B966" s="130" t="s">
        <v>639</v>
      </c>
      <c r="C966" s="229" t="s">
        <v>640</v>
      </c>
      <c r="D966" s="130" t="s">
        <v>119</v>
      </c>
      <c r="E966" s="130" t="s">
        <v>121</v>
      </c>
      <c r="F966" s="230">
        <v>0.188</v>
      </c>
      <c r="G966" s="494">
        <v>31.34</v>
      </c>
      <c r="H966" s="494">
        <v>5.89</v>
      </c>
    </row>
    <row r="967" spans="1:8">
      <c r="B967" s="130" t="s">
        <v>625</v>
      </c>
      <c r="C967" s="229" t="s">
        <v>626</v>
      </c>
      <c r="D967" s="130" t="s">
        <v>119</v>
      </c>
      <c r="E967" s="130" t="s">
        <v>121</v>
      </c>
      <c r="F967" s="230">
        <v>9.4E-2</v>
      </c>
      <c r="G967" s="494">
        <v>23.75</v>
      </c>
      <c r="H967" s="494">
        <v>2.23</v>
      </c>
    </row>
    <row r="968" spans="1:8" ht="12.75" customHeight="1">
      <c r="B968" s="105"/>
      <c r="C968" s="105"/>
      <c r="D968" s="105"/>
      <c r="E968" s="105"/>
      <c r="F968" s="629" t="s">
        <v>610</v>
      </c>
      <c r="G968" s="629"/>
      <c r="H968" s="495">
        <v>8.1199999999999992</v>
      </c>
    </row>
    <row r="969" spans="1:8">
      <c r="B969" s="628" t="s">
        <v>586</v>
      </c>
      <c r="C969" s="628"/>
      <c r="D969" s="103" t="s">
        <v>579</v>
      </c>
      <c r="E969" s="103" t="s">
        <v>580</v>
      </c>
      <c r="F969" s="103" t="s">
        <v>581</v>
      </c>
      <c r="G969" s="103" t="s">
        <v>582</v>
      </c>
      <c r="H969" s="103" t="s">
        <v>583</v>
      </c>
    </row>
    <row r="970" spans="1:8" ht="38.25">
      <c r="B970" s="130" t="s">
        <v>1474</v>
      </c>
      <c r="C970" s="229" t="s">
        <v>1475</v>
      </c>
      <c r="D970" s="130" t="s">
        <v>119</v>
      </c>
      <c r="E970" s="130" t="s">
        <v>167</v>
      </c>
      <c r="F970" s="230">
        <v>1.2999999999999999E-3</v>
      </c>
      <c r="G970" s="494">
        <v>594.48</v>
      </c>
      <c r="H970" s="494">
        <v>0.77</v>
      </c>
    </row>
    <row r="971" spans="1:8">
      <c r="B971" s="130" t="s">
        <v>3810</v>
      </c>
      <c r="C971" s="229" t="s">
        <v>2909</v>
      </c>
      <c r="D971" s="130" t="s">
        <v>119</v>
      </c>
      <c r="E971" s="130" t="s">
        <v>200</v>
      </c>
      <c r="F971" s="230">
        <v>1.234</v>
      </c>
      <c r="G971" s="494">
        <v>11.01</v>
      </c>
      <c r="H971" s="494">
        <v>13.59</v>
      </c>
    </row>
    <row r="972" spans="1:8" ht="12.75" customHeight="1">
      <c r="B972" s="130" t="s">
        <v>1478</v>
      </c>
      <c r="C972" s="229" t="s">
        <v>1479</v>
      </c>
      <c r="D972" s="130" t="s">
        <v>119</v>
      </c>
      <c r="E972" s="130" t="s">
        <v>167</v>
      </c>
      <c r="F972" s="230">
        <v>1.0999999999999999E-2</v>
      </c>
      <c r="G972" s="494">
        <v>1028.6300000000001</v>
      </c>
      <c r="H972" s="494">
        <v>11.31</v>
      </c>
    </row>
    <row r="973" spans="1:8">
      <c r="B973" s="105"/>
      <c r="C973" s="105"/>
      <c r="D973" s="105"/>
      <c r="E973" s="105"/>
      <c r="F973" s="629" t="s">
        <v>587</v>
      </c>
      <c r="G973" s="629"/>
      <c r="H973" s="495">
        <v>25.67</v>
      </c>
    </row>
    <row r="974" spans="1:8" ht="12.75" customHeight="1">
      <c r="B974" s="105"/>
      <c r="C974" s="105"/>
      <c r="D974" s="105"/>
      <c r="E974" s="105"/>
      <c r="F974" s="630" t="s">
        <v>464</v>
      </c>
      <c r="G974" s="630"/>
      <c r="H974" s="102">
        <v>45.75</v>
      </c>
    </row>
    <row r="975" spans="1:8" ht="12.75" customHeight="1">
      <c r="B975" s="105"/>
      <c r="C975" s="105"/>
      <c r="D975" s="105"/>
      <c r="E975" s="105"/>
      <c r="F975" s="634"/>
      <c r="G975" s="634"/>
      <c r="H975" s="634"/>
    </row>
    <row r="976" spans="1:8" s="220" customFormat="1" ht="27" customHeight="1">
      <c r="A976" s="178" t="str">
        <f>'3 - PLAN. ORÇAMENTÁRIA'!A148</f>
        <v>3.4.3.10</v>
      </c>
      <c r="B976" s="242">
        <f>VLOOKUP(A976,'3 - PLAN. ORÇAMENTÁRIA'!$A$16:$B$721,2,FALSE)</f>
        <v>105033</v>
      </c>
      <c r="C976" s="631" t="str">
        <f>VLOOKUP(A976,'3 - PLAN. ORÇAMENTÁRIA'!$A$16:$C$721,3,FALSE)</f>
        <v>CINTA DE AMARRAÇÃO DE ALVENARIA MOLDADA IN LOCO COM UTILIZAÇÃO DE BLOCOS CANALETA, ESPESSURA DE *15* CM. AF_03/2024</v>
      </c>
      <c r="D976" s="632"/>
      <c r="E976" s="632"/>
      <c r="F976" s="632"/>
      <c r="G976" s="633"/>
      <c r="H976" s="493" t="str">
        <f>VLOOKUP(A976,'3 - PLAN. ORÇAMENTÁRIA'!$A$17:$E$721,5,FALSE)</f>
        <v>M</v>
      </c>
    </row>
    <row r="977" spans="1:8">
      <c r="B977" s="628" t="s">
        <v>593</v>
      </c>
      <c r="C977" s="628"/>
      <c r="D977" s="103" t="s">
        <v>579</v>
      </c>
      <c r="E977" s="103" t="s">
        <v>580</v>
      </c>
      <c r="F977" s="103" t="s">
        <v>581</v>
      </c>
      <c r="G977" s="103" t="s">
        <v>582</v>
      </c>
      <c r="H977" s="103" t="s">
        <v>583</v>
      </c>
    </row>
    <row r="978" spans="1:8" s="220" customFormat="1" ht="27" customHeight="1">
      <c r="A978" s="106"/>
      <c r="B978" s="130" t="s">
        <v>2910</v>
      </c>
      <c r="C978" s="229" t="s">
        <v>2911</v>
      </c>
      <c r="D978" s="130" t="s">
        <v>119</v>
      </c>
      <c r="E978" s="130" t="s">
        <v>144</v>
      </c>
      <c r="F978" s="230">
        <v>5.34</v>
      </c>
      <c r="G978" s="494">
        <v>3.32</v>
      </c>
      <c r="H978" s="494">
        <v>17.73</v>
      </c>
    </row>
    <row r="979" spans="1:8">
      <c r="B979" s="105"/>
      <c r="C979" s="105"/>
      <c r="D979" s="105"/>
      <c r="E979" s="105"/>
      <c r="F979" s="629" t="s">
        <v>604</v>
      </c>
      <c r="G979" s="629"/>
      <c r="H979" s="495">
        <v>17.73</v>
      </c>
    </row>
    <row r="980" spans="1:8" ht="12.75" customHeight="1">
      <c r="B980" s="628" t="s">
        <v>607</v>
      </c>
      <c r="C980" s="628"/>
      <c r="D980" s="103" t="s">
        <v>579</v>
      </c>
      <c r="E980" s="103" t="s">
        <v>580</v>
      </c>
      <c r="F980" s="103" t="s">
        <v>581</v>
      </c>
      <c r="G980" s="103" t="s">
        <v>582</v>
      </c>
      <c r="H980" s="103" t="s">
        <v>583</v>
      </c>
    </row>
    <row r="981" spans="1:8">
      <c r="B981" s="130" t="s">
        <v>639</v>
      </c>
      <c r="C981" s="229" t="s">
        <v>640</v>
      </c>
      <c r="D981" s="130" t="s">
        <v>119</v>
      </c>
      <c r="E981" s="130" t="s">
        <v>121</v>
      </c>
      <c r="F981" s="230">
        <v>0.24099999999999999</v>
      </c>
      <c r="G981" s="494">
        <v>31.34</v>
      </c>
      <c r="H981" s="494">
        <v>7.55</v>
      </c>
    </row>
    <row r="982" spans="1:8" ht="12.75" customHeight="1">
      <c r="B982" s="130" t="s">
        <v>625</v>
      </c>
      <c r="C982" s="229" t="s">
        <v>626</v>
      </c>
      <c r="D982" s="130" t="s">
        <v>119</v>
      </c>
      <c r="E982" s="130" t="s">
        <v>121</v>
      </c>
      <c r="F982" s="230">
        <v>0.121</v>
      </c>
      <c r="G982" s="494">
        <v>23.75</v>
      </c>
      <c r="H982" s="494">
        <v>2.87</v>
      </c>
    </row>
    <row r="983" spans="1:8" ht="12.75" customHeight="1">
      <c r="B983" s="105"/>
      <c r="C983" s="105"/>
      <c r="D983" s="105"/>
      <c r="E983" s="105"/>
      <c r="F983" s="629" t="s">
        <v>610</v>
      </c>
      <c r="G983" s="629"/>
      <c r="H983" s="495">
        <v>10.42</v>
      </c>
    </row>
    <row r="984" spans="1:8">
      <c r="B984" s="628" t="s">
        <v>586</v>
      </c>
      <c r="C984" s="628"/>
      <c r="D984" s="103" t="s">
        <v>579</v>
      </c>
      <c r="E984" s="103" t="s">
        <v>580</v>
      </c>
      <c r="F984" s="103" t="s">
        <v>581</v>
      </c>
      <c r="G984" s="103" t="s">
        <v>582</v>
      </c>
      <c r="H984" s="103" t="s">
        <v>583</v>
      </c>
    </row>
    <row r="985" spans="1:8" ht="12.75" customHeight="1">
      <c r="B985" s="130" t="s">
        <v>1474</v>
      </c>
      <c r="C985" s="229" t="s">
        <v>1475</v>
      </c>
      <c r="D985" s="130" t="s">
        <v>119</v>
      </c>
      <c r="E985" s="130" t="s">
        <v>167</v>
      </c>
      <c r="F985" s="230">
        <v>1.5E-3</v>
      </c>
      <c r="G985" s="494">
        <v>594.48</v>
      </c>
      <c r="H985" s="494">
        <v>0.89</v>
      </c>
    </row>
    <row r="986" spans="1:8" ht="12.75" customHeight="1">
      <c r="B986" s="130" t="s">
        <v>3810</v>
      </c>
      <c r="C986" s="229" t="s">
        <v>2909</v>
      </c>
      <c r="D986" s="130" t="s">
        <v>119</v>
      </c>
      <c r="E986" s="130" t="s">
        <v>200</v>
      </c>
      <c r="F986" s="230">
        <v>1.234</v>
      </c>
      <c r="G986" s="494">
        <v>11.01</v>
      </c>
      <c r="H986" s="494">
        <v>13.59</v>
      </c>
    </row>
    <row r="987" spans="1:8" ht="25.5">
      <c r="B987" s="130" t="s">
        <v>1478</v>
      </c>
      <c r="C987" s="229" t="s">
        <v>1479</v>
      </c>
      <c r="D987" s="130" t="s">
        <v>119</v>
      </c>
      <c r="E987" s="130" t="s">
        <v>167</v>
      </c>
      <c r="F987" s="230">
        <v>2.1000000000000001E-2</v>
      </c>
      <c r="G987" s="494">
        <v>1028.6300000000001</v>
      </c>
      <c r="H987" s="494">
        <v>21.6</v>
      </c>
    </row>
    <row r="988" spans="1:8">
      <c r="B988" s="105"/>
      <c r="C988" s="105"/>
      <c r="D988" s="105"/>
      <c r="E988" s="105"/>
      <c r="F988" s="629" t="s">
        <v>587</v>
      </c>
      <c r="G988" s="629"/>
      <c r="H988" s="495">
        <v>36.08</v>
      </c>
    </row>
    <row r="989" spans="1:8" ht="12.75" customHeight="1">
      <c r="B989" s="105"/>
      <c r="C989" s="105"/>
      <c r="D989" s="105"/>
      <c r="E989" s="105"/>
      <c r="F989" s="630" t="s">
        <v>464</v>
      </c>
      <c r="G989" s="630"/>
      <c r="H989" s="102">
        <v>64.23</v>
      </c>
    </row>
    <row r="990" spans="1:8">
      <c r="B990" s="105"/>
      <c r="C990" s="105"/>
      <c r="D990" s="105"/>
      <c r="E990" s="105"/>
      <c r="F990" s="634"/>
      <c r="G990" s="634"/>
      <c r="H990" s="634"/>
    </row>
    <row r="991" spans="1:8" s="220" customFormat="1" ht="27" customHeight="1">
      <c r="A991" s="178" t="str">
        <f>'3 - PLAN. ORÇAMENTÁRIA'!A149</f>
        <v>3.4.3.11</v>
      </c>
      <c r="B991" s="242">
        <f>VLOOKUP(A991,'3 - PLAN. ORÇAMENTÁRIA'!$A$16:$B$721,2,FALSE)</f>
        <v>89993</v>
      </c>
      <c r="C991" s="631" t="str">
        <f>VLOOKUP(A991,'3 - PLAN. ORÇAMENTÁRIA'!$A$16:$C$721,3,FALSE)</f>
        <v>GRAUTEAMENTO VERTICAL EM ALVENARIA ESTRUTURAL, A CADA 1,80 M. AF_09/2021</v>
      </c>
      <c r="D991" s="632"/>
      <c r="E991" s="632"/>
      <c r="F991" s="632"/>
      <c r="G991" s="633"/>
      <c r="H991" s="493" t="str">
        <f>VLOOKUP(A991,'3 - PLAN. ORÇAMENTÁRIA'!$A$17:$E$721,5,FALSE)</f>
        <v>M3</v>
      </c>
    </row>
    <row r="992" spans="1:8" ht="12.75" customHeight="1">
      <c r="B992" s="628" t="s">
        <v>607</v>
      </c>
      <c r="C992" s="628"/>
      <c r="D992" s="103" t="s">
        <v>579</v>
      </c>
      <c r="E992" s="103" t="s">
        <v>580</v>
      </c>
      <c r="F992" s="103" t="s">
        <v>581</v>
      </c>
      <c r="G992" s="103" t="s">
        <v>582</v>
      </c>
      <c r="H992" s="103" t="s">
        <v>583</v>
      </c>
    </row>
    <row r="993" spans="1:8">
      <c r="B993" s="130" t="s">
        <v>639</v>
      </c>
      <c r="C993" s="229" t="s">
        <v>640</v>
      </c>
      <c r="D993" s="130" t="s">
        <v>119</v>
      </c>
      <c r="E993" s="130" t="s">
        <v>121</v>
      </c>
      <c r="F993" s="230">
        <v>8.2972999999999999</v>
      </c>
      <c r="G993" s="494">
        <v>31.34</v>
      </c>
      <c r="H993" s="494">
        <v>260.04000000000002</v>
      </c>
    </row>
    <row r="994" spans="1:8">
      <c r="B994" s="130" t="s">
        <v>625</v>
      </c>
      <c r="C994" s="229" t="s">
        <v>626</v>
      </c>
      <c r="D994" s="130" t="s">
        <v>119</v>
      </c>
      <c r="E994" s="130" t="s">
        <v>121</v>
      </c>
      <c r="F994" s="230">
        <v>5.5315000000000003</v>
      </c>
      <c r="G994" s="494">
        <v>23.75</v>
      </c>
      <c r="H994" s="494">
        <v>131.37</v>
      </c>
    </row>
    <row r="995" spans="1:8" ht="12.75" customHeight="1">
      <c r="B995" s="105"/>
      <c r="C995" s="105"/>
      <c r="D995" s="105"/>
      <c r="E995" s="105"/>
      <c r="F995" s="629" t="s">
        <v>610</v>
      </c>
      <c r="G995" s="629"/>
      <c r="H995" s="495">
        <v>391.41</v>
      </c>
    </row>
    <row r="996" spans="1:8">
      <c r="B996" s="628" t="s">
        <v>586</v>
      </c>
      <c r="C996" s="628"/>
      <c r="D996" s="103" t="s">
        <v>579</v>
      </c>
      <c r="E996" s="103" t="s">
        <v>580</v>
      </c>
      <c r="F996" s="103" t="s">
        <v>581</v>
      </c>
      <c r="G996" s="103" t="s">
        <v>582</v>
      </c>
      <c r="H996" s="103" t="s">
        <v>583</v>
      </c>
    </row>
    <row r="997" spans="1:8" ht="25.5">
      <c r="B997" s="130" t="s">
        <v>3811</v>
      </c>
      <c r="C997" s="229" t="s">
        <v>2920</v>
      </c>
      <c r="D997" s="130" t="s">
        <v>119</v>
      </c>
      <c r="E997" s="130" t="s">
        <v>167</v>
      </c>
      <c r="F997" s="230">
        <v>1.2030000000000001</v>
      </c>
      <c r="G997" s="494">
        <v>665</v>
      </c>
      <c r="H997" s="494">
        <v>800</v>
      </c>
    </row>
    <row r="998" spans="1:8">
      <c r="B998" s="105"/>
      <c r="C998" s="105"/>
      <c r="D998" s="105"/>
      <c r="E998" s="105"/>
      <c r="F998" s="629" t="s">
        <v>587</v>
      </c>
      <c r="G998" s="629"/>
      <c r="H998" s="495">
        <v>800</v>
      </c>
    </row>
    <row r="999" spans="1:8" ht="12.75" customHeight="1">
      <c r="B999" s="105"/>
      <c r="C999" s="105"/>
      <c r="D999" s="105"/>
      <c r="E999" s="105"/>
      <c r="F999" s="630" t="s">
        <v>464</v>
      </c>
      <c r="G999" s="630"/>
      <c r="H999" s="102">
        <v>1191.3900000000001</v>
      </c>
    </row>
    <row r="1000" spans="1:8">
      <c r="B1000" s="105"/>
      <c r="C1000" s="105"/>
      <c r="D1000" s="105"/>
      <c r="E1000" s="105"/>
      <c r="F1000" s="634"/>
      <c r="G1000" s="634"/>
      <c r="H1000" s="634"/>
    </row>
    <row r="1001" spans="1:8" s="220" customFormat="1" ht="27" customHeight="1">
      <c r="A1001" s="178" t="str">
        <f>'3 - PLAN. ORÇAMENTÁRIA'!A150</f>
        <v>3.4.3.12</v>
      </c>
      <c r="B1001" s="242">
        <f>VLOOKUP(A1001,'3 - PLAN. ORÇAMENTÁRIA'!$A$16:$B$721,2,FALSE)</f>
        <v>97083</v>
      </c>
      <c r="C1001" s="631" t="str">
        <f>VLOOKUP(A1001,'3 - PLAN. ORÇAMENTÁRIA'!$A$16:$C$721,3,FALSE)</f>
        <v>COMPACTAÇÃO MECÂNICA DE SOLO PARA EXECUÇÃO DE RADIER, PISO DE CONCRETO OU LAJE SOBRE SOLO, COM COMPACTADOR DE SOLOS A PERCUSSÃO (RAMPA INTERNA) AF_09/2021</v>
      </c>
      <c r="D1001" s="632"/>
      <c r="E1001" s="632"/>
      <c r="F1001" s="632"/>
      <c r="G1001" s="633"/>
      <c r="H1001" s="493" t="str">
        <f>VLOOKUP(A1001,'3 - PLAN. ORÇAMENTÁRIA'!$A$17:$E$721,5,FALSE)</f>
        <v>M2</v>
      </c>
    </row>
    <row r="1002" spans="1:8" ht="12.75" customHeight="1">
      <c r="B1002" s="628" t="s">
        <v>1301</v>
      </c>
      <c r="C1002" s="628"/>
      <c r="D1002" s="103" t="s">
        <v>579</v>
      </c>
      <c r="E1002" s="103" t="s">
        <v>580</v>
      </c>
      <c r="F1002" s="103" t="s">
        <v>581</v>
      </c>
      <c r="G1002" s="103" t="s">
        <v>582</v>
      </c>
      <c r="H1002" s="103" t="s">
        <v>583</v>
      </c>
    </row>
    <row r="1003" spans="1:8" ht="25.5">
      <c r="B1003" s="130" t="s">
        <v>1585</v>
      </c>
      <c r="C1003" s="229" t="s">
        <v>1586</v>
      </c>
      <c r="D1003" s="130" t="s">
        <v>119</v>
      </c>
      <c r="E1003" s="130" t="s">
        <v>1304</v>
      </c>
      <c r="F1003" s="230">
        <v>4.2000000000000003E-2</v>
      </c>
      <c r="G1003" s="494">
        <v>0.86</v>
      </c>
      <c r="H1003" s="494">
        <v>0.04</v>
      </c>
    </row>
    <row r="1004" spans="1:8" ht="25.5">
      <c r="B1004" s="130" t="s">
        <v>1587</v>
      </c>
      <c r="C1004" s="229" t="s">
        <v>1588</v>
      </c>
      <c r="D1004" s="130" t="s">
        <v>119</v>
      </c>
      <c r="E1004" s="130" t="s">
        <v>1307</v>
      </c>
      <c r="F1004" s="230">
        <v>2.5000000000000001E-2</v>
      </c>
      <c r="G1004" s="494">
        <v>6.35</v>
      </c>
      <c r="H1004" s="494">
        <v>0.16</v>
      </c>
    </row>
    <row r="1005" spans="1:8" ht="12.75" customHeight="1">
      <c r="B1005" s="105"/>
      <c r="C1005" s="105"/>
      <c r="D1005" s="105"/>
      <c r="E1005" s="105"/>
      <c r="F1005" s="629" t="s">
        <v>1308</v>
      </c>
      <c r="G1005" s="629"/>
      <c r="H1005" s="495">
        <v>0.2</v>
      </c>
    </row>
    <row r="1006" spans="1:8" ht="12.75" customHeight="1">
      <c r="B1006" s="628" t="s">
        <v>607</v>
      </c>
      <c r="C1006" s="628"/>
      <c r="D1006" s="103" t="s">
        <v>579</v>
      </c>
      <c r="E1006" s="103" t="s">
        <v>580</v>
      </c>
      <c r="F1006" s="103" t="s">
        <v>581</v>
      </c>
      <c r="G1006" s="103" t="s">
        <v>582</v>
      </c>
      <c r="H1006" s="103" t="s">
        <v>583</v>
      </c>
    </row>
    <row r="1007" spans="1:8">
      <c r="B1007" s="130" t="s">
        <v>639</v>
      </c>
      <c r="C1007" s="229" t="s">
        <v>640</v>
      </c>
      <c r="D1007" s="130" t="s">
        <v>119</v>
      </c>
      <c r="E1007" s="130" t="s">
        <v>121</v>
      </c>
      <c r="F1007" s="230">
        <v>4.4999999999999998E-2</v>
      </c>
      <c r="G1007" s="494">
        <v>31.34</v>
      </c>
      <c r="H1007" s="494">
        <v>1.41</v>
      </c>
    </row>
    <row r="1008" spans="1:8">
      <c r="B1008" s="130" t="s">
        <v>625</v>
      </c>
      <c r="C1008" s="229" t="s">
        <v>626</v>
      </c>
      <c r="D1008" s="130" t="s">
        <v>119</v>
      </c>
      <c r="E1008" s="130" t="s">
        <v>121</v>
      </c>
      <c r="F1008" s="230">
        <v>8.8999999999999996E-2</v>
      </c>
      <c r="G1008" s="494">
        <v>23.75</v>
      </c>
      <c r="H1008" s="494">
        <v>2.11</v>
      </c>
    </row>
    <row r="1009" spans="1:8" ht="12.75" customHeight="1">
      <c r="B1009" s="105"/>
      <c r="C1009" s="105"/>
      <c r="D1009" s="105"/>
      <c r="E1009" s="105"/>
      <c r="F1009" s="629" t="s">
        <v>610</v>
      </c>
      <c r="G1009" s="629"/>
      <c r="H1009" s="495">
        <v>3.52</v>
      </c>
    </row>
    <row r="1010" spans="1:8" ht="12.75" customHeight="1">
      <c r="B1010" s="105"/>
      <c r="C1010" s="105"/>
      <c r="D1010" s="105"/>
      <c r="E1010" s="105"/>
      <c r="F1010" s="630" t="s">
        <v>464</v>
      </c>
      <c r="G1010" s="630"/>
      <c r="H1010" s="102">
        <v>3.7</v>
      </c>
    </row>
    <row r="1011" spans="1:8">
      <c r="B1011" s="105"/>
      <c r="C1011" s="105"/>
      <c r="D1011" s="105"/>
      <c r="E1011" s="105"/>
      <c r="F1011" s="634"/>
      <c r="G1011" s="634"/>
      <c r="H1011" s="634"/>
    </row>
    <row r="1012" spans="1:8" s="220" customFormat="1" ht="27" customHeight="1">
      <c r="A1012" s="178" t="str">
        <f>'3 - PLAN. ORÇAMENTÁRIA'!A151</f>
        <v>3.4.3.13</v>
      </c>
      <c r="B1012" s="242">
        <f>VLOOKUP(A1012,'3 - PLAN. ORÇAMENTÁRIA'!$A$16:$B$721,2,FALSE)</f>
        <v>94995</v>
      </c>
      <c r="C1012" s="631" t="str">
        <f>VLOOKUP(A1012,'3 - PLAN. ORÇAMENTÁRIA'!$A$16:$C$721,3,FALSE)</f>
        <v>EXECUÇÃO DE PASSEIO (CALÇADA) OU PISO DE CONCRETO COM CONCRETO MOLDADO IN LOCO, USINADO, ACABAMENTO CONVENCIONAL, ESPESSURA 8 CM, ARMADO (RAMPA INTERNA) AF_08/2022</v>
      </c>
      <c r="D1012" s="632"/>
      <c r="E1012" s="632"/>
      <c r="F1012" s="632"/>
      <c r="G1012" s="633"/>
      <c r="H1012" s="493" t="str">
        <f>VLOOKUP(A1012,'3 - PLAN. ORÇAMENTÁRIA'!$A$17:$E$721,5,FALSE)</f>
        <v>M2</v>
      </c>
    </row>
    <row r="1013" spans="1:8">
      <c r="B1013" s="628" t="s">
        <v>593</v>
      </c>
      <c r="C1013" s="628"/>
      <c r="D1013" s="103" t="s">
        <v>579</v>
      </c>
      <c r="E1013" s="103" t="s">
        <v>580</v>
      </c>
      <c r="F1013" s="103" t="s">
        <v>581</v>
      </c>
      <c r="G1013" s="103" t="s">
        <v>582</v>
      </c>
      <c r="H1013" s="103" t="s">
        <v>583</v>
      </c>
    </row>
    <row r="1014" spans="1:8" ht="25.5">
      <c r="B1014" s="130" t="s">
        <v>1523</v>
      </c>
      <c r="C1014" s="229" t="s">
        <v>1524</v>
      </c>
      <c r="D1014" s="130" t="s">
        <v>119</v>
      </c>
      <c r="E1014" s="130" t="s">
        <v>167</v>
      </c>
      <c r="F1014" s="230">
        <v>9.8500000000000004E-2</v>
      </c>
      <c r="G1014" s="494">
        <v>470</v>
      </c>
      <c r="H1014" s="494">
        <v>46.3</v>
      </c>
    </row>
    <row r="1015" spans="1:8">
      <c r="B1015" s="130" t="s">
        <v>643</v>
      </c>
      <c r="C1015" s="229" t="s">
        <v>644</v>
      </c>
      <c r="D1015" s="130" t="s">
        <v>119</v>
      </c>
      <c r="E1015" s="130" t="s">
        <v>107</v>
      </c>
      <c r="F1015" s="230">
        <v>1.6999999999999999E-3</v>
      </c>
      <c r="G1015" s="494">
        <v>7.16</v>
      </c>
      <c r="H1015" s="494">
        <v>0.01</v>
      </c>
    </row>
    <row r="1016" spans="1:8">
      <c r="B1016" s="130" t="s">
        <v>1333</v>
      </c>
      <c r="C1016" s="229" t="s">
        <v>1334</v>
      </c>
      <c r="D1016" s="130" t="s">
        <v>119</v>
      </c>
      <c r="E1016" s="130" t="s">
        <v>200</v>
      </c>
      <c r="F1016" s="230">
        <v>2.4E-2</v>
      </c>
      <c r="G1016" s="494">
        <v>18.72</v>
      </c>
      <c r="H1016" s="494">
        <v>0.45</v>
      </c>
    </row>
    <row r="1017" spans="1:8">
      <c r="B1017" s="130" t="s">
        <v>1325</v>
      </c>
      <c r="C1017" s="229" t="s">
        <v>1326</v>
      </c>
      <c r="D1017" s="130" t="s">
        <v>119</v>
      </c>
      <c r="E1017" s="130" t="s">
        <v>173</v>
      </c>
      <c r="F1017" s="230">
        <v>0.25</v>
      </c>
      <c r="G1017" s="494">
        <v>3.94</v>
      </c>
      <c r="H1017" s="494">
        <v>0.99</v>
      </c>
    </row>
    <row r="1018" spans="1:8">
      <c r="B1018" s="130" t="s">
        <v>1397</v>
      </c>
      <c r="C1018" s="229" t="s">
        <v>1398</v>
      </c>
      <c r="D1018" s="130" t="s">
        <v>119</v>
      </c>
      <c r="E1018" s="130" t="s">
        <v>173</v>
      </c>
      <c r="F1018" s="230">
        <v>0.2</v>
      </c>
      <c r="G1018" s="494">
        <v>2.72</v>
      </c>
      <c r="H1018" s="494">
        <v>0.54</v>
      </c>
    </row>
    <row r="1019" spans="1:8" ht="25.5">
      <c r="B1019" s="130" t="s">
        <v>1431</v>
      </c>
      <c r="C1019" s="229" t="s">
        <v>1222</v>
      </c>
      <c r="D1019" s="130" t="s">
        <v>119</v>
      </c>
      <c r="E1019" s="130" t="s">
        <v>139</v>
      </c>
      <c r="F1019" s="230">
        <v>1.0815999999999999</v>
      </c>
      <c r="G1019" s="494">
        <v>27.68</v>
      </c>
      <c r="H1019" s="494">
        <v>29.94</v>
      </c>
    </row>
    <row r="1020" spans="1:8">
      <c r="B1020" s="105"/>
      <c r="C1020" s="105"/>
      <c r="D1020" s="105"/>
      <c r="E1020" s="105"/>
      <c r="F1020" s="629" t="s">
        <v>604</v>
      </c>
      <c r="G1020" s="629"/>
      <c r="H1020" s="495">
        <v>78.23</v>
      </c>
    </row>
    <row r="1021" spans="1:8" ht="12.75" customHeight="1">
      <c r="B1021" s="628" t="s">
        <v>607</v>
      </c>
      <c r="C1021" s="628"/>
      <c r="D1021" s="103" t="s">
        <v>579</v>
      </c>
      <c r="E1021" s="103" t="s">
        <v>580</v>
      </c>
      <c r="F1021" s="103" t="s">
        <v>581</v>
      </c>
      <c r="G1021" s="103" t="s">
        <v>582</v>
      </c>
      <c r="H1021" s="103" t="s">
        <v>583</v>
      </c>
    </row>
    <row r="1022" spans="1:8">
      <c r="B1022" s="130" t="s">
        <v>1316</v>
      </c>
      <c r="C1022" s="229" t="s">
        <v>618</v>
      </c>
      <c r="D1022" s="130" t="s">
        <v>119</v>
      </c>
      <c r="E1022" s="130" t="s">
        <v>121</v>
      </c>
      <c r="F1022" s="230">
        <v>0.13009999999999999</v>
      </c>
      <c r="G1022" s="494">
        <v>30.91</v>
      </c>
      <c r="H1022" s="494">
        <v>4.0199999999999996</v>
      </c>
    </row>
    <row r="1023" spans="1:8">
      <c r="B1023" s="130" t="s">
        <v>639</v>
      </c>
      <c r="C1023" s="229" t="s">
        <v>640</v>
      </c>
      <c r="D1023" s="130" t="s">
        <v>119</v>
      </c>
      <c r="E1023" s="130" t="s">
        <v>121</v>
      </c>
      <c r="F1023" s="230">
        <v>8.7400000000000005E-2</v>
      </c>
      <c r="G1023" s="494">
        <v>31.34</v>
      </c>
      <c r="H1023" s="494">
        <v>2.74</v>
      </c>
    </row>
    <row r="1024" spans="1:8">
      <c r="B1024" s="130" t="s">
        <v>625</v>
      </c>
      <c r="C1024" s="229" t="s">
        <v>626</v>
      </c>
      <c r="D1024" s="130" t="s">
        <v>119</v>
      </c>
      <c r="E1024" s="130" t="s">
        <v>121</v>
      </c>
      <c r="F1024" s="230">
        <v>0.21759999999999999</v>
      </c>
      <c r="G1024" s="494">
        <v>23.75</v>
      </c>
      <c r="H1024" s="494">
        <v>5.17</v>
      </c>
    </row>
    <row r="1025" spans="1:8" ht="12.75" customHeight="1">
      <c r="B1025" s="105"/>
      <c r="C1025" s="105"/>
      <c r="D1025" s="105"/>
      <c r="E1025" s="105"/>
      <c r="F1025" s="629" t="s">
        <v>610</v>
      </c>
      <c r="G1025" s="629"/>
      <c r="H1025" s="495">
        <v>11.93</v>
      </c>
    </row>
    <row r="1026" spans="1:8" ht="12.75" customHeight="1">
      <c r="B1026" s="105"/>
      <c r="C1026" s="105"/>
      <c r="D1026" s="105"/>
      <c r="E1026" s="105"/>
      <c r="F1026" s="630" t="s">
        <v>464</v>
      </c>
      <c r="G1026" s="630"/>
      <c r="H1026" s="102">
        <v>90.1</v>
      </c>
    </row>
    <row r="1027" spans="1:8">
      <c r="B1027" s="105"/>
      <c r="C1027" s="105"/>
      <c r="D1027" s="105"/>
      <c r="E1027" s="105"/>
      <c r="F1027" s="323"/>
      <c r="G1027" s="323"/>
      <c r="H1027" s="323"/>
    </row>
    <row r="1028" spans="1:8" s="220" customFormat="1" ht="27" customHeight="1">
      <c r="A1028" s="178" t="str">
        <f>'3 - PLAN. ORÇAMENTÁRIA'!A153</f>
        <v>3.4.4.1</v>
      </c>
      <c r="B1028" s="178">
        <f>VLOOKUP(A1028,'3 - PLAN. ORÇAMENTÁRIA'!$A$16:$B$721,2,FALSE)</f>
        <v>102723</v>
      </c>
      <c r="C1028" s="631" t="str">
        <f>VLOOKUP(A1028,'3 - PLAN. ORÇAMENTÁRIA'!$A$16:$C$721,3,FALSE)</f>
        <v>DRENO EM MURO DE CONTENÇÃO, EXECUTADO NO PÉ DO MURO, COM TUBO DE PVC CORRUGADO RÍGIDO PERFURADO, ENCHIMENTO COM BRITA, ENVOLVIDO COM MANTA GEOTÊXTIL. AF_07/2021</v>
      </c>
      <c r="D1028" s="632"/>
      <c r="E1028" s="632"/>
      <c r="F1028" s="632"/>
      <c r="G1028" s="633"/>
      <c r="H1028" s="433" t="str">
        <f>VLOOKUP(A1028,'3 - PLAN. ORÇAMENTÁRIA'!$A$17:$E$721,5,FALSE)</f>
        <v>M</v>
      </c>
    </row>
    <row r="1029" spans="1:8">
      <c r="B1029" s="628" t="s">
        <v>593</v>
      </c>
      <c r="C1029" s="628"/>
      <c r="D1029" s="103" t="s">
        <v>579</v>
      </c>
      <c r="E1029" s="103" t="s">
        <v>580</v>
      </c>
      <c r="F1029" s="103" t="s">
        <v>581</v>
      </c>
      <c r="G1029" s="103" t="s">
        <v>582</v>
      </c>
      <c r="H1029" s="103" t="s">
        <v>583</v>
      </c>
    </row>
    <row r="1030" spans="1:8" ht="25.5">
      <c r="B1030" s="130" t="s">
        <v>1466</v>
      </c>
      <c r="C1030" s="229" t="s">
        <v>1467</v>
      </c>
      <c r="D1030" s="130" t="s">
        <v>119</v>
      </c>
      <c r="E1030" s="130" t="s">
        <v>139</v>
      </c>
      <c r="F1030" s="230">
        <v>2.2999999999999998</v>
      </c>
      <c r="G1030" s="494">
        <v>9.11</v>
      </c>
      <c r="H1030" s="494">
        <v>20.95</v>
      </c>
    </row>
    <row r="1031" spans="1:8">
      <c r="B1031" s="130" t="s">
        <v>661</v>
      </c>
      <c r="C1031" s="229" t="s">
        <v>662</v>
      </c>
      <c r="D1031" s="130" t="s">
        <v>119</v>
      </c>
      <c r="E1031" s="130" t="s">
        <v>167</v>
      </c>
      <c r="F1031" s="230">
        <v>8.2100000000000006E-2</v>
      </c>
      <c r="G1031" s="494">
        <v>198.43</v>
      </c>
      <c r="H1031" s="494">
        <v>16.29</v>
      </c>
    </row>
    <row r="1032" spans="1:8">
      <c r="B1032" s="130" t="s">
        <v>1468</v>
      </c>
      <c r="C1032" s="229" t="s">
        <v>1469</v>
      </c>
      <c r="D1032" s="130" t="s">
        <v>119</v>
      </c>
      <c r="E1032" s="130" t="s">
        <v>173</v>
      </c>
      <c r="F1032" s="230">
        <v>1.05</v>
      </c>
      <c r="G1032" s="494">
        <v>62.02</v>
      </c>
      <c r="H1032" s="494">
        <v>65.12</v>
      </c>
    </row>
    <row r="1033" spans="1:8">
      <c r="B1033" s="105"/>
      <c r="C1033" s="105"/>
      <c r="D1033" s="105"/>
      <c r="E1033" s="105"/>
      <c r="F1033" s="629" t="s">
        <v>604</v>
      </c>
      <c r="G1033" s="629"/>
      <c r="H1033" s="495">
        <v>102.36</v>
      </c>
    </row>
    <row r="1034" spans="1:8" ht="12.75" customHeight="1">
      <c r="B1034" s="628" t="s">
        <v>607</v>
      </c>
      <c r="C1034" s="628"/>
      <c r="D1034" s="103" t="s">
        <v>579</v>
      </c>
      <c r="E1034" s="103" t="s">
        <v>580</v>
      </c>
      <c r="F1034" s="103" t="s">
        <v>581</v>
      </c>
      <c r="G1034" s="103" t="s">
        <v>582</v>
      </c>
      <c r="H1034" s="103" t="s">
        <v>583</v>
      </c>
    </row>
    <row r="1035" spans="1:8">
      <c r="B1035" s="130" t="s">
        <v>639</v>
      </c>
      <c r="C1035" s="229" t="s">
        <v>640</v>
      </c>
      <c r="D1035" s="130" t="s">
        <v>119</v>
      </c>
      <c r="E1035" s="130" t="s">
        <v>121</v>
      </c>
      <c r="F1035" s="230">
        <v>4.0399999999999998E-2</v>
      </c>
      <c r="G1035" s="494">
        <v>31.34</v>
      </c>
      <c r="H1035" s="494">
        <v>1.27</v>
      </c>
    </row>
    <row r="1036" spans="1:8">
      <c r="B1036" s="130" t="s">
        <v>625</v>
      </c>
      <c r="C1036" s="229" t="s">
        <v>626</v>
      </c>
      <c r="D1036" s="130" t="s">
        <v>119</v>
      </c>
      <c r="E1036" s="130" t="s">
        <v>121</v>
      </c>
      <c r="F1036" s="230">
        <v>0.1211</v>
      </c>
      <c r="G1036" s="494">
        <v>23.75</v>
      </c>
      <c r="H1036" s="494">
        <v>2.88</v>
      </c>
    </row>
    <row r="1037" spans="1:8" ht="12.75" customHeight="1">
      <c r="B1037" s="105"/>
      <c r="C1037" s="105"/>
      <c r="D1037" s="105"/>
      <c r="E1037" s="105"/>
      <c r="F1037" s="629" t="s">
        <v>610</v>
      </c>
      <c r="G1037" s="629"/>
      <c r="H1037" s="495">
        <v>4.1500000000000004</v>
      </c>
    </row>
    <row r="1038" spans="1:8">
      <c r="B1038" s="628" t="s">
        <v>586</v>
      </c>
      <c r="C1038" s="628"/>
      <c r="D1038" s="103" t="s">
        <v>579</v>
      </c>
      <c r="E1038" s="103" t="s">
        <v>580</v>
      </c>
      <c r="F1038" s="103" t="s">
        <v>581</v>
      </c>
      <c r="G1038" s="103" t="s">
        <v>582</v>
      </c>
      <c r="H1038" s="103" t="s">
        <v>583</v>
      </c>
    </row>
    <row r="1039" spans="1:8">
      <c r="B1039" s="130" t="s">
        <v>406</v>
      </c>
      <c r="C1039" s="229" t="s">
        <v>2724</v>
      </c>
      <c r="D1039" s="130" t="s">
        <v>119</v>
      </c>
      <c r="E1039" s="130" t="s">
        <v>167</v>
      </c>
      <c r="F1039" s="230">
        <v>0.09</v>
      </c>
      <c r="G1039" s="494">
        <v>93.94</v>
      </c>
      <c r="H1039" s="494">
        <v>8.4499999999999993</v>
      </c>
    </row>
    <row r="1040" spans="1:8">
      <c r="B1040" s="105"/>
      <c r="C1040" s="105"/>
      <c r="D1040" s="105"/>
      <c r="E1040" s="105"/>
      <c r="F1040" s="629" t="s">
        <v>587</v>
      </c>
      <c r="G1040" s="629"/>
      <c r="H1040" s="495">
        <v>8.4499999999999993</v>
      </c>
    </row>
    <row r="1041" spans="1:8" ht="12.75" customHeight="1">
      <c r="B1041" s="105"/>
      <c r="C1041" s="105"/>
      <c r="D1041" s="105"/>
      <c r="E1041" s="105"/>
      <c r="F1041" s="630" t="s">
        <v>464</v>
      </c>
      <c r="G1041" s="630"/>
      <c r="H1041" s="102">
        <v>114.94</v>
      </c>
    </row>
    <row r="1042" spans="1:8">
      <c r="B1042" s="105"/>
      <c r="C1042" s="105"/>
      <c r="D1042" s="105"/>
      <c r="E1042" s="105"/>
      <c r="F1042" s="634"/>
      <c r="G1042" s="634"/>
      <c r="H1042" s="634"/>
    </row>
    <row r="1043" spans="1:8" s="220" customFormat="1" ht="27" customHeight="1">
      <c r="A1043" s="178" t="str">
        <f>'3 - PLAN. ORÇAMENTÁRIA'!A156</f>
        <v>3.5.1.1</v>
      </c>
      <c r="B1043" s="178">
        <f>VLOOKUP(A1043,'3 - PLAN. ORÇAMENTÁRIA'!$A$16:$B$721,2,FALSE)</f>
        <v>98557</v>
      </c>
      <c r="C1043" s="631" t="str">
        <f>VLOOKUP(A1043,'3 - PLAN. ORÇAMENTÁRIA'!$A$16:$C$721,3,FALSE)</f>
        <v>IMPERMEABILIZAÇÃO DE SUPERFÍCIE COM EMULSÃO ASFÁLTICA, 2 DEMÃOS. AF_09/2023</v>
      </c>
      <c r="D1043" s="632"/>
      <c r="E1043" s="632"/>
      <c r="F1043" s="632"/>
      <c r="G1043" s="633"/>
      <c r="H1043" s="435" t="str">
        <f>VLOOKUP(A1043,'3 - PLAN. ORÇAMENTÁRIA'!$A$17:$E$721,5,FALSE)</f>
        <v>M2</v>
      </c>
    </row>
    <row r="1044" spans="1:8">
      <c r="B1044" s="628" t="s">
        <v>593</v>
      </c>
      <c r="C1044" s="628"/>
      <c r="D1044" s="103" t="s">
        <v>579</v>
      </c>
      <c r="E1044" s="103" t="s">
        <v>580</v>
      </c>
      <c r="F1044" s="103" t="s">
        <v>581</v>
      </c>
      <c r="G1044" s="103" t="s">
        <v>582</v>
      </c>
      <c r="H1044" s="103" t="s">
        <v>583</v>
      </c>
    </row>
    <row r="1045" spans="1:8" ht="38.25">
      <c r="B1045" s="130" t="s">
        <v>1407</v>
      </c>
      <c r="C1045" s="229" t="s">
        <v>2420</v>
      </c>
      <c r="D1045" s="130" t="s">
        <v>119</v>
      </c>
      <c r="E1045" s="130" t="s">
        <v>200</v>
      </c>
      <c r="F1045" s="230">
        <v>1.5</v>
      </c>
      <c r="G1045" s="494">
        <v>18.489999999999998</v>
      </c>
      <c r="H1045" s="494">
        <v>27.74</v>
      </c>
    </row>
    <row r="1046" spans="1:8">
      <c r="B1046" s="105"/>
      <c r="C1046" s="105"/>
      <c r="D1046" s="105"/>
      <c r="E1046" s="105"/>
      <c r="F1046" s="629" t="s">
        <v>604</v>
      </c>
      <c r="G1046" s="629"/>
      <c r="H1046" s="495">
        <v>27.74</v>
      </c>
    </row>
    <row r="1047" spans="1:8" ht="12.75" customHeight="1">
      <c r="B1047" s="628" t="s">
        <v>607</v>
      </c>
      <c r="C1047" s="628"/>
      <c r="D1047" s="103" t="s">
        <v>579</v>
      </c>
      <c r="E1047" s="103" t="s">
        <v>580</v>
      </c>
      <c r="F1047" s="103" t="s">
        <v>581</v>
      </c>
      <c r="G1047" s="103" t="s">
        <v>582</v>
      </c>
      <c r="H1047" s="103" t="s">
        <v>583</v>
      </c>
    </row>
    <row r="1048" spans="1:8">
      <c r="B1048" s="130" t="s">
        <v>1408</v>
      </c>
      <c r="C1048" s="229" t="s">
        <v>1409</v>
      </c>
      <c r="D1048" s="130" t="s">
        <v>119</v>
      </c>
      <c r="E1048" s="130" t="s">
        <v>121</v>
      </c>
      <c r="F1048" s="230">
        <v>9.69E-2</v>
      </c>
      <c r="G1048" s="494">
        <v>24.4</v>
      </c>
      <c r="H1048" s="494">
        <v>2.36</v>
      </c>
    </row>
    <row r="1049" spans="1:8">
      <c r="B1049" s="130" t="s">
        <v>1410</v>
      </c>
      <c r="C1049" s="229" t="s">
        <v>1411</v>
      </c>
      <c r="D1049" s="130" t="s">
        <v>119</v>
      </c>
      <c r="E1049" s="130" t="s">
        <v>121</v>
      </c>
      <c r="F1049" s="230">
        <v>0.4299</v>
      </c>
      <c r="G1049" s="494">
        <v>31.34</v>
      </c>
      <c r="H1049" s="494">
        <v>13.47</v>
      </c>
    </row>
    <row r="1050" spans="1:8" ht="12.75" customHeight="1">
      <c r="B1050" s="105"/>
      <c r="C1050" s="105"/>
      <c r="D1050" s="105"/>
      <c r="E1050" s="105"/>
      <c r="F1050" s="629" t="s">
        <v>610</v>
      </c>
      <c r="G1050" s="629"/>
      <c r="H1050" s="495">
        <v>15.83</v>
      </c>
    </row>
    <row r="1051" spans="1:8" ht="12.75" customHeight="1">
      <c r="B1051" s="105"/>
      <c r="C1051" s="105"/>
      <c r="D1051" s="105"/>
      <c r="E1051" s="105"/>
      <c r="F1051" s="630" t="s">
        <v>464</v>
      </c>
      <c r="G1051" s="630"/>
      <c r="H1051" s="102">
        <v>43.56</v>
      </c>
    </row>
    <row r="1052" spans="1:8">
      <c r="B1052" s="105"/>
      <c r="C1052" s="105"/>
      <c r="D1052" s="105"/>
      <c r="E1052" s="105"/>
      <c r="F1052" s="434"/>
      <c r="G1052" s="434"/>
      <c r="H1052" s="434"/>
    </row>
    <row r="1053" spans="1:8" s="220" customFormat="1" ht="27" customHeight="1">
      <c r="A1053" s="178" t="str">
        <f>'3 - PLAN. ORÇAMENTÁRIA'!A158</f>
        <v>3.5.2.1</v>
      </c>
      <c r="B1053" s="178">
        <f>VLOOKUP(A1053,'3 - PLAN. ORÇAMENTÁRIA'!$A$16:$B$721,2,FALSE)</f>
        <v>98547</v>
      </c>
      <c r="C1053" s="631" t="str">
        <f>VLOOKUP(A1053,'3 - PLAN. ORÇAMENTÁRIA'!$A$16:$C$721,3,FALSE)</f>
        <v>IMPERMEABILIZAÇÃO DE SUPERFÍCIE COM MANTA ASFÁLTICA, DUAS CAMADAS, INCLUSIVE APLICAÇÃO DE PRIMER ASFÁLTICO, E=3MM E E=4MM. AF_09/2023</v>
      </c>
      <c r="D1053" s="632"/>
      <c r="E1053" s="632"/>
      <c r="F1053" s="632"/>
      <c r="G1053" s="633"/>
      <c r="H1053" s="435" t="str">
        <f>VLOOKUP(A1053,'3 - PLAN. ORÇAMENTÁRIA'!$A$17:$E$721,5,FALSE)</f>
        <v>M2</v>
      </c>
    </row>
    <row r="1054" spans="1:8">
      <c r="B1054" s="628" t="s">
        <v>593</v>
      </c>
      <c r="C1054" s="628"/>
      <c r="D1054" s="103" t="s">
        <v>579</v>
      </c>
      <c r="E1054" s="103" t="s">
        <v>580</v>
      </c>
      <c r="F1054" s="103" t="s">
        <v>581</v>
      </c>
      <c r="G1054" s="103" t="s">
        <v>582</v>
      </c>
      <c r="H1054" s="103" t="s">
        <v>583</v>
      </c>
    </row>
    <row r="1055" spans="1:8">
      <c r="B1055" s="130" t="s">
        <v>1436</v>
      </c>
      <c r="C1055" s="229" t="s">
        <v>1437</v>
      </c>
      <c r="D1055" s="130" t="s">
        <v>119</v>
      </c>
      <c r="E1055" s="130" t="s">
        <v>200</v>
      </c>
      <c r="F1055" s="230">
        <v>0.52</v>
      </c>
      <c r="G1055" s="494">
        <v>7.78</v>
      </c>
      <c r="H1055" s="494">
        <v>4.05</v>
      </c>
    </row>
    <row r="1056" spans="1:8" ht="25.5">
      <c r="B1056" s="130" t="s">
        <v>1583</v>
      </c>
      <c r="C1056" s="229" t="s">
        <v>1584</v>
      </c>
      <c r="D1056" s="130" t="s">
        <v>119</v>
      </c>
      <c r="E1056" s="130" t="s">
        <v>139</v>
      </c>
      <c r="F1056" s="230">
        <v>1.1318999999999999</v>
      </c>
      <c r="G1056" s="494">
        <v>51.7</v>
      </c>
      <c r="H1056" s="494">
        <v>58.52</v>
      </c>
    </row>
    <row r="1057" spans="1:8" ht="25.5">
      <c r="B1057" s="130" t="s">
        <v>1438</v>
      </c>
      <c r="C1057" s="229" t="s">
        <v>1439</v>
      </c>
      <c r="D1057" s="130" t="s">
        <v>119</v>
      </c>
      <c r="E1057" s="130" t="s">
        <v>139</v>
      </c>
      <c r="F1057" s="230">
        <v>1.1318999999999999</v>
      </c>
      <c r="G1057" s="494">
        <v>63.49</v>
      </c>
      <c r="H1057" s="494">
        <v>71.86</v>
      </c>
    </row>
    <row r="1058" spans="1:8" ht="25.5">
      <c r="B1058" s="130" t="s">
        <v>1440</v>
      </c>
      <c r="C1058" s="229" t="s">
        <v>1441</v>
      </c>
      <c r="D1058" s="130" t="s">
        <v>119</v>
      </c>
      <c r="E1058" s="130" t="s">
        <v>107</v>
      </c>
      <c r="F1058" s="230">
        <v>0.58720000000000006</v>
      </c>
      <c r="G1058" s="494">
        <v>19.61</v>
      </c>
      <c r="H1058" s="494">
        <v>11.51</v>
      </c>
    </row>
    <row r="1059" spans="1:8">
      <c r="B1059" s="105"/>
      <c r="C1059" s="105"/>
      <c r="D1059" s="105"/>
      <c r="E1059" s="105"/>
      <c r="F1059" s="629" t="s">
        <v>604</v>
      </c>
      <c r="G1059" s="629"/>
      <c r="H1059" s="495">
        <v>145.94</v>
      </c>
    </row>
    <row r="1060" spans="1:8" ht="12.75" customHeight="1">
      <c r="B1060" s="628" t="s">
        <v>607</v>
      </c>
      <c r="C1060" s="628"/>
      <c r="D1060" s="103" t="s">
        <v>579</v>
      </c>
      <c r="E1060" s="103" t="s">
        <v>580</v>
      </c>
      <c r="F1060" s="103" t="s">
        <v>581</v>
      </c>
      <c r="G1060" s="103" t="s">
        <v>582</v>
      </c>
      <c r="H1060" s="103" t="s">
        <v>583</v>
      </c>
    </row>
    <row r="1061" spans="1:8">
      <c r="B1061" s="130" t="s">
        <v>1408</v>
      </c>
      <c r="C1061" s="229" t="s">
        <v>1409</v>
      </c>
      <c r="D1061" s="130" t="s">
        <v>119</v>
      </c>
      <c r="E1061" s="130" t="s">
        <v>121</v>
      </c>
      <c r="F1061" s="230">
        <v>0.33479999999999999</v>
      </c>
      <c r="G1061" s="494">
        <v>24.4</v>
      </c>
      <c r="H1061" s="494">
        <v>8.17</v>
      </c>
    </row>
    <row r="1062" spans="1:8">
      <c r="B1062" s="130" t="s">
        <v>1410</v>
      </c>
      <c r="C1062" s="229" t="s">
        <v>1411</v>
      </c>
      <c r="D1062" s="130" t="s">
        <v>119</v>
      </c>
      <c r="E1062" s="130" t="s">
        <v>121</v>
      </c>
      <c r="F1062" s="230">
        <v>1.4849000000000001</v>
      </c>
      <c r="G1062" s="494">
        <v>31.34</v>
      </c>
      <c r="H1062" s="494">
        <v>46.54</v>
      </c>
    </row>
    <row r="1063" spans="1:8" ht="12.75" customHeight="1">
      <c r="B1063" s="105"/>
      <c r="C1063" s="105"/>
      <c r="D1063" s="105"/>
      <c r="E1063" s="105"/>
      <c r="F1063" s="629" t="s">
        <v>610</v>
      </c>
      <c r="G1063" s="629"/>
      <c r="H1063" s="495">
        <v>54.71</v>
      </c>
    </row>
    <row r="1064" spans="1:8" ht="12.75" customHeight="1">
      <c r="B1064" s="105"/>
      <c r="C1064" s="105"/>
      <c r="D1064" s="105"/>
      <c r="E1064" s="105"/>
      <c r="F1064" s="630" t="s">
        <v>464</v>
      </c>
      <c r="G1064" s="630"/>
      <c r="H1064" s="102">
        <v>200.61</v>
      </c>
    </row>
    <row r="1065" spans="1:8">
      <c r="B1065" s="105"/>
      <c r="C1065" s="105"/>
      <c r="D1065" s="105"/>
      <c r="E1065" s="105"/>
      <c r="F1065" s="434"/>
      <c r="G1065" s="434"/>
      <c r="H1065" s="434"/>
    </row>
    <row r="1066" spans="1:8" s="220" customFormat="1" ht="27" customHeight="1">
      <c r="A1066" s="178" t="str">
        <f>'3 - PLAN. ORÇAMENTÁRIA'!A159</f>
        <v>3.5.2.2</v>
      </c>
      <c r="B1066" s="178">
        <f>VLOOKUP(A1066,'3 - PLAN. ORÇAMENTÁRIA'!$A$16:$B$721,2,FALSE)</f>
        <v>98565</v>
      </c>
      <c r="C1066" s="631" t="str">
        <f>VLOOKUP(A1066,'3 - PLAN. ORÇAMENTÁRIA'!$A$16:$C$721,3,FALSE)</f>
        <v>PROTEÇÃO MECÂNICA DE SUPERFICIE HORIZONTAL COM ARGAMASSA DE CIMENTO E AREIA, TRAÇO 1:3, E=3CM. AF_09/2023</v>
      </c>
      <c r="D1066" s="632"/>
      <c r="E1066" s="632"/>
      <c r="F1066" s="632"/>
      <c r="G1066" s="633"/>
      <c r="H1066" s="435" t="str">
        <f>VLOOKUP(A1066,'3 - PLAN. ORÇAMENTÁRIA'!$A$17:$E$721,5,FALSE)</f>
        <v>M2</v>
      </c>
    </row>
    <row r="1067" spans="1:8">
      <c r="B1067" s="628" t="s">
        <v>593</v>
      </c>
      <c r="C1067" s="628"/>
      <c r="D1067" s="103" t="s">
        <v>579</v>
      </c>
      <c r="E1067" s="103" t="s">
        <v>580</v>
      </c>
      <c r="F1067" s="103" t="s">
        <v>581</v>
      </c>
      <c r="G1067" s="103" t="s">
        <v>582</v>
      </c>
      <c r="H1067" s="103" t="s">
        <v>583</v>
      </c>
    </row>
    <row r="1068" spans="1:8">
      <c r="B1068" s="130" t="s">
        <v>1442</v>
      </c>
      <c r="C1068" s="229" t="s">
        <v>1443</v>
      </c>
      <c r="D1068" s="130" t="s">
        <v>119</v>
      </c>
      <c r="E1068" s="130" t="s">
        <v>139</v>
      </c>
      <c r="F1068" s="230">
        <v>1.04</v>
      </c>
      <c r="G1068" s="494">
        <v>2</v>
      </c>
      <c r="H1068" s="494">
        <v>2.08</v>
      </c>
    </row>
    <row r="1069" spans="1:8">
      <c r="B1069" s="105"/>
      <c r="C1069" s="105"/>
      <c r="D1069" s="105"/>
      <c r="E1069" s="105"/>
      <c r="F1069" s="629" t="s">
        <v>604</v>
      </c>
      <c r="G1069" s="629"/>
      <c r="H1069" s="495">
        <v>2.08</v>
      </c>
    </row>
    <row r="1070" spans="1:8" ht="12.75" customHeight="1">
      <c r="B1070" s="628" t="s">
        <v>607</v>
      </c>
      <c r="C1070" s="628"/>
      <c r="D1070" s="103" t="s">
        <v>579</v>
      </c>
      <c r="E1070" s="103" t="s">
        <v>580</v>
      </c>
      <c r="F1070" s="103" t="s">
        <v>581</v>
      </c>
      <c r="G1070" s="103" t="s">
        <v>582</v>
      </c>
      <c r="H1070" s="103" t="s">
        <v>583</v>
      </c>
    </row>
    <row r="1071" spans="1:8">
      <c r="B1071" s="130" t="s">
        <v>639</v>
      </c>
      <c r="C1071" s="229" t="s">
        <v>640</v>
      </c>
      <c r="D1071" s="130" t="s">
        <v>119</v>
      </c>
      <c r="E1071" s="130" t="s">
        <v>121</v>
      </c>
      <c r="F1071" s="230">
        <v>0.69120000000000004</v>
      </c>
      <c r="G1071" s="494">
        <v>31.34</v>
      </c>
      <c r="H1071" s="494">
        <v>21.66</v>
      </c>
    </row>
    <row r="1072" spans="1:8">
      <c r="B1072" s="130" t="s">
        <v>625</v>
      </c>
      <c r="C1072" s="229" t="s">
        <v>626</v>
      </c>
      <c r="D1072" s="130" t="s">
        <v>119</v>
      </c>
      <c r="E1072" s="130" t="s">
        <v>121</v>
      </c>
      <c r="F1072" s="230">
        <v>0.15579999999999999</v>
      </c>
      <c r="G1072" s="494">
        <v>23.75</v>
      </c>
      <c r="H1072" s="494">
        <v>3.7</v>
      </c>
    </row>
    <row r="1073" spans="1:8" ht="12.75" customHeight="1">
      <c r="B1073" s="105"/>
      <c r="C1073" s="105"/>
      <c r="D1073" s="105"/>
      <c r="E1073" s="105"/>
      <c r="F1073" s="629" t="s">
        <v>610</v>
      </c>
      <c r="G1073" s="629"/>
      <c r="H1073" s="495">
        <v>25.36</v>
      </c>
    </row>
    <row r="1074" spans="1:8">
      <c r="B1074" s="628" t="s">
        <v>586</v>
      </c>
      <c r="C1074" s="628"/>
      <c r="D1074" s="103" t="s">
        <v>579</v>
      </c>
      <c r="E1074" s="103" t="s">
        <v>580</v>
      </c>
      <c r="F1074" s="103" t="s">
        <v>581</v>
      </c>
      <c r="G1074" s="103" t="s">
        <v>582</v>
      </c>
      <c r="H1074" s="103" t="s">
        <v>583</v>
      </c>
    </row>
    <row r="1075" spans="1:8" ht="25.5">
      <c r="B1075" s="130" t="s">
        <v>1444</v>
      </c>
      <c r="C1075" s="229" t="s">
        <v>1445</v>
      </c>
      <c r="D1075" s="130" t="s">
        <v>119</v>
      </c>
      <c r="E1075" s="130" t="s">
        <v>167</v>
      </c>
      <c r="F1075" s="230">
        <v>3.5000000000000003E-2</v>
      </c>
      <c r="G1075" s="494">
        <v>771.15</v>
      </c>
      <c r="H1075" s="494">
        <v>26.99</v>
      </c>
    </row>
    <row r="1076" spans="1:8">
      <c r="B1076" s="105"/>
      <c r="C1076" s="105"/>
      <c r="D1076" s="105"/>
      <c r="E1076" s="105"/>
      <c r="F1076" s="629" t="s">
        <v>587</v>
      </c>
      <c r="G1076" s="629"/>
      <c r="H1076" s="495">
        <v>26.99</v>
      </c>
    </row>
    <row r="1077" spans="1:8" ht="12.75" customHeight="1">
      <c r="B1077" s="105"/>
      <c r="C1077" s="105"/>
      <c r="D1077" s="105"/>
      <c r="E1077" s="105"/>
      <c r="F1077" s="630" t="s">
        <v>464</v>
      </c>
      <c r="G1077" s="630"/>
      <c r="H1077" s="102">
        <v>54.43</v>
      </c>
    </row>
    <row r="1078" spans="1:8">
      <c r="B1078" s="105"/>
      <c r="C1078" s="105"/>
      <c r="D1078" s="105"/>
      <c r="E1078" s="105"/>
      <c r="F1078" s="434"/>
      <c r="G1078" s="434"/>
      <c r="H1078" s="434"/>
    </row>
    <row r="1079" spans="1:8" s="220" customFormat="1" ht="27" customHeight="1">
      <c r="A1079" s="178" t="str">
        <f>'3 - PLAN. ORÇAMENTÁRIA'!A164</f>
        <v>4.1.1.1.1</v>
      </c>
      <c r="B1079" s="242">
        <f>VLOOKUP(A1079,'3 - PLAN. ORÇAMENTÁRIA'!$A$16:$B$721,2,FALSE)</f>
        <v>103368</v>
      </c>
      <c r="C1079" s="631" t="str">
        <f>VLOOKUP(A1079,'3 - PLAN. ORÇAMENTÁRIA'!$A$16:$C$721,3,FALSE)</f>
        <v>ALVENARIA DE VEDAÇÃO DE BLOCOS CERÂMICOS FURADOS NA HORIZONTAL DE 14X19X39 CM (ESPESSURA 14 CM) E ARGAMASSA DE ASSENTAMENTO COM PREPARO EM BETONEIRA. AF_12/2021</v>
      </c>
      <c r="D1079" s="632"/>
      <c r="E1079" s="632"/>
      <c r="F1079" s="632"/>
      <c r="G1079" s="633"/>
      <c r="H1079" s="432" t="str">
        <f>VLOOKUP(A1079,'3 - PLAN. ORÇAMENTÁRIA'!$A$17:$E$721,5,FALSE)</f>
        <v>M2</v>
      </c>
    </row>
    <row r="1080" spans="1:8">
      <c r="B1080" s="628" t="s">
        <v>593</v>
      </c>
      <c r="C1080" s="628"/>
      <c r="D1080" s="103" t="s">
        <v>579</v>
      </c>
      <c r="E1080" s="103" t="s">
        <v>580</v>
      </c>
      <c r="F1080" s="103" t="s">
        <v>581</v>
      </c>
      <c r="G1080" s="103" t="s">
        <v>582</v>
      </c>
      <c r="H1080" s="103" t="s">
        <v>583</v>
      </c>
    </row>
    <row r="1081" spans="1:8" ht="25.5">
      <c r="B1081" s="130" t="s">
        <v>3849</v>
      </c>
      <c r="C1081" s="229" t="s">
        <v>4018</v>
      </c>
      <c r="D1081" s="130" t="s">
        <v>119</v>
      </c>
      <c r="E1081" s="130" t="s">
        <v>144</v>
      </c>
      <c r="F1081" s="230">
        <v>14.15</v>
      </c>
      <c r="G1081" s="494">
        <v>2.04</v>
      </c>
      <c r="H1081" s="494">
        <v>28.87</v>
      </c>
    </row>
    <row r="1082" spans="1:8">
      <c r="B1082" s="130" t="s">
        <v>1455</v>
      </c>
      <c r="C1082" s="229" t="s">
        <v>1456</v>
      </c>
      <c r="D1082" s="130" t="s">
        <v>119</v>
      </c>
      <c r="E1082" s="130" t="s">
        <v>1457</v>
      </c>
      <c r="F1082" s="230">
        <v>0.01</v>
      </c>
      <c r="G1082" s="494">
        <v>44.78</v>
      </c>
      <c r="H1082" s="494">
        <v>0.45</v>
      </c>
    </row>
    <row r="1083" spans="1:8" ht="25.5">
      <c r="B1083" s="130" t="s">
        <v>1458</v>
      </c>
      <c r="C1083" s="229" t="s">
        <v>1459</v>
      </c>
      <c r="D1083" s="130" t="s">
        <v>119</v>
      </c>
      <c r="E1083" s="130" t="s">
        <v>173</v>
      </c>
      <c r="F1083" s="230">
        <v>0.42</v>
      </c>
      <c r="G1083" s="494">
        <v>3.87</v>
      </c>
      <c r="H1083" s="494">
        <v>1.63</v>
      </c>
    </row>
    <row r="1084" spans="1:8">
      <c r="B1084" s="105"/>
      <c r="C1084" s="105"/>
      <c r="D1084" s="105"/>
      <c r="E1084" s="105"/>
      <c r="F1084" s="629" t="s">
        <v>604</v>
      </c>
      <c r="G1084" s="629"/>
      <c r="H1084" s="495">
        <v>30.95</v>
      </c>
    </row>
    <row r="1085" spans="1:8" ht="12.75" customHeight="1">
      <c r="B1085" s="628" t="s">
        <v>607</v>
      </c>
      <c r="C1085" s="628"/>
      <c r="D1085" s="103" t="s">
        <v>579</v>
      </c>
      <c r="E1085" s="103" t="s">
        <v>580</v>
      </c>
      <c r="F1085" s="103" t="s">
        <v>581</v>
      </c>
      <c r="G1085" s="103" t="s">
        <v>582</v>
      </c>
      <c r="H1085" s="103" t="s">
        <v>583</v>
      </c>
    </row>
    <row r="1086" spans="1:8">
      <c r="B1086" s="130" t="s">
        <v>639</v>
      </c>
      <c r="C1086" s="229" t="s">
        <v>640</v>
      </c>
      <c r="D1086" s="130" t="s">
        <v>119</v>
      </c>
      <c r="E1086" s="130" t="s">
        <v>121</v>
      </c>
      <c r="F1086" s="230">
        <v>0.86</v>
      </c>
      <c r="G1086" s="494">
        <v>31.34</v>
      </c>
      <c r="H1086" s="494">
        <v>26.95</v>
      </c>
    </row>
    <row r="1087" spans="1:8">
      <c r="B1087" s="130" t="s">
        <v>625</v>
      </c>
      <c r="C1087" s="229" t="s">
        <v>626</v>
      </c>
      <c r="D1087" s="130" t="s">
        <v>119</v>
      </c>
      <c r="E1087" s="130" t="s">
        <v>121</v>
      </c>
      <c r="F1087" s="230">
        <v>0.43</v>
      </c>
      <c r="G1087" s="494">
        <v>23.75</v>
      </c>
      <c r="H1087" s="494">
        <v>10.210000000000001</v>
      </c>
    </row>
    <row r="1088" spans="1:8" ht="12.75" customHeight="1">
      <c r="B1088" s="105"/>
      <c r="C1088" s="105"/>
      <c r="D1088" s="105"/>
      <c r="E1088" s="105"/>
      <c r="F1088" s="629" t="s">
        <v>610</v>
      </c>
      <c r="G1088" s="629"/>
      <c r="H1088" s="495">
        <v>37.159999999999997</v>
      </c>
    </row>
    <row r="1089" spans="1:8">
      <c r="B1089" s="628" t="s">
        <v>586</v>
      </c>
      <c r="C1089" s="628"/>
      <c r="D1089" s="103" t="s">
        <v>579</v>
      </c>
      <c r="E1089" s="103" t="s">
        <v>580</v>
      </c>
      <c r="F1089" s="103" t="s">
        <v>581</v>
      </c>
      <c r="G1089" s="103" t="s">
        <v>582</v>
      </c>
      <c r="H1089" s="103" t="s">
        <v>583</v>
      </c>
    </row>
    <row r="1090" spans="1:8" ht="38.25">
      <c r="B1090" s="130" t="s">
        <v>1460</v>
      </c>
      <c r="C1090" s="229" t="s">
        <v>1461</v>
      </c>
      <c r="D1090" s="130" t="s">
        <v>119</v>
      </c>
      <c r="E1090" s="130" t="s">
        <v>167</v>
      </c>
      <c r="F1090" s="230">
        <v>9.4999999999999998E-3</v>
      </c>
      <c r="G1090" s="494">
        <v>627.42999999999995</v>
      </c>
      <c r="H1090" s="494">
        <v>5.96</v>
      </c>
    </row>
    <row r="1091" spans="1:8">
      <c r="B1091" s="105"/>
      <c r="C1091" s="105"/>
      <c r="D1091" s="105"/>
      <c r="E1091" s="105"/>
      <c r="F1091" s="629" t="s">
        <v>587</v>
      </c>
      <c r="G1091" s="629"/>
      <c r="H1091" s="495">
        <v>5.96</v>
      </c>
    </row>
    <row r="1092" spans="1:8" ht="12.75" customHeight="1">
      <c r="B1092" s="105"/>
      <c r="C1092" s="105"/>
      <c r="D1092" s="105"/>
      <c r="E1092" s="105"/>
      <c r="F1092" s="630" t="s">
        <v>464</v>
      </c>
      <c r="G1092" s="630"/>
      <c r="H1092" s="102">
        <v>74.069999999999993</v>
      </c>
    </row>
    <row r="1093" spans="1:8">
      <c r="B1093" s="105"/>
      <c r="C1093" s="105"/>
      <c r="D1093" s="105"/>
      <c r="E1093" s="105"/>
      <c r="F1093" s="634"/>
      <c r="G1093" s="634"/>
      <c r="H1093" s="634"/>
    </row>
    <row r="1094" spans="1:8" s="220" customFormat="1" ht="27" customHeight="1">
      <c r="A1094" s="178" t="str">
        <f>'3 - PLAN. ORÇAMENTÁRIA'!A165</f>
        <v>4.1.1.1.2</v>
      </c>
      <c r="B1094" s="242">
        <f>VLOOKUP(A1094,'3 - PLAN. ORÇAMENTÁRIA'!$A$16:$B$721,2,FALSE)</f>
        <v>93200</v>
      </c>
      <c r="C1094" s="631" t="str">
        <f>VLOOKUP(A1094,'3 - PLAN. ORÇAMENTÁRIA'!$A$16:$C$721,3,FALSE)</f>
        <v>FIXAÇÃO (ENCUNHAMENTO) DE ALVENARIA DE VEDAÇÃO COM ARGAMASSA APLICADA COM BISNAGA. AF_03/2024</v>
      </c>
      <c r="D1094" s="632"/>
      <c r="E1094" s="632"/>
      <c r="F1094" s="632"/>
      <c r="G1094" s="633"/>
      <c r="H1094" s="437" t="str">
        <f>VLOOKUP(A1094,'3 - PLAN. ORÇAMENTÁRIA'!$A$17:$E$721,5,FALSE)</f>
        <v>M</v>
      </c>
    </row>
    <row r="1095" spans="1:8" ht="12.75" customHeight="1">
      <c r="B1095" s="628" t="s">
        <v>607</v>
      </c>
      <c r="C1095" s="628"/>
      <c r="D1095" s="103" t="s">
        <v>579</v>
      </c>
      <c r="E1095" s="103" t="s">
        <v>580</v>
      </c>
      <c r="F1095" s="103" t="s">
        <v>581</v>
      </c>
      <c r="G1095" s="103" t="s">
        <v>582</v>
      </c>
      <c r="H1095" s="103" t="s">
        <v>583</v>
      </c>
    </row>
    <row r="1096" spans="1:8">
      <c r="B1096" s="130" t="s">
        <v>639</v>
      </c>
      <c r="C1096" s="229" t="s">
        <v>640</v>
      </c>
      <c r="D1096" s="130" t="s">
        <v>119</v>
      </c>
      <c r="E1096" s="130" t="s">
        <v>121</v>
      </c>
      <c r="F1096" s="230">
        <v>0.29099999999999998</v>
      </c>
      <c r="G1096" s="494">
        <v>31.34</v>
      </c>
      <c r="H1096" s="494">
        <v>9.1199999999999992</v>
      </c>
    </row>
    <row r="1097" spans="1:8">
      <c r="B1097" s="130" t="s">
        <v>625</v>
      </c>
      <c r="C1097" s="229" t="s">
        <v>626</v>
      </c>
      <c r="D1097" s="130" t="s">
        <v>119</v>
      </c>
      <c r="E1097" s="130" t="s">
        <v>121</v>
      </c>
      <c r="F1097" s="230">
        <v>5.5E-2</v>
      </c>
      <c r="G1097" s="494">
        <v>23.75</v>
      </c>
      <c r="H1097" s="494">
        <v>1.31</v>
      </c>
    </row>
    <row r="1098" spans="1:8" ht="12.75" customHeight="1">
      <c r="B1098" s="105"/>
      <c r="C1098" s="105"/>
      <c r="D1098" s="105"/>
      <c r="E1098" s="105"/>
      <c r="F1098" s="629" t="s">
        <v>610</v>
      </c>
      <c r="G1098" s="629"/>
      <c r="H1098" s="495">
        <v>10.43</v>
      </c>
    </row>
    <row r="1099" spans="1:8">
      <c r="B1099" s="628" t="s">
        <v>586</v>
      </c>
      <c r="C1099" s="628"/>
      <c r="D1099" s="103" t="s">
        <v>579</v>
      </c>
      <c r="E1099" s="103" t="s">
        <v>580</v>
      </c>
      <c r="F1099" s="103" t="s">
        <v>581</v>
      </c>
      <c r="G1099" s="103" t="s">
        <v>582</v>
      </c>
      <c r="H1099" s="103" t="s">
        <v>583</v>
      </c>
    </row>
    <row r="1100" spans="1:8" ht="38.25">
      <c r="B1100" s="130" t="s">
        <v>1474</v>
      </c>
      <c r="C1100" s="229" t="s">
        <v>1475</v>
      </c>
      <c r="D1100" s="130" t="s">
        <v>119</v>
      </c>
      <c r="E1100" s="130" t="s">
        <v>167</v>
      </c>
      <c r="F1100" s="230">
        <v>4.0000000000000001E-3</v>
      </c>
      <c r="G1100" s="494">
        <v>594.48</v>
      </c>
      <c r="H1100" s="494">
        <v>2.38</v>
      </c>
    </row>
    <row r="1101" spans="1:8" ht="12.75" customHeight="1">
      <c r="B1101" s="105"/>
      <c r="C1101" s="105"/>
      <c r="D1101" s="105"/>
      <c r="E1101" s="105"/>
      <c r="F1101" s="629" t="s">
        <v>587</v>
      </c>
      <c r="G1101" s="629"/>
      <c r="H1101" s="495">
        <v>2.38</v>
      </c>
    </row>
    <row r="1102" spans="1:8" ht="12.75" customHeight="1">
      <c r="B1102" s="105"/>
      <c r="C1102" s="105"/>
      <c r="D1102" s="105"/>
      <c r="E1102" s="105"/>
      <c r="F1102" s="630" t="s">
        <v>464</v>
      </c>
      <c r="G1102" s="630"/>
      <c r="H1102" s="102">
        <v>12.81</v>
      </c>
    </row>
    <row r="1103" spans="1:8">
      <c r="B1103" s="105"/>
      <c r="C1103" s="105"/>
      <c r="D1103" s="105"/>
      <c r="E1103" s="105"/>
      <c r="F1103" s="634"/>
      <c r="G1103" s="634"/>
      <c r="H1103" s="634"/>
    </row>
    <row r="1104" spans="1:8" s="220" customFormat="1" ht="27" customHeight="1">
      <c r="A1104" s="178" t="str">
        <f>'3 - PLAN. ORÇAMENTÁRIA'!A166</f>
        <v>4.1.1.1.3</v>
      </c>
      <c r="B1104" s="242">
        <f>VLOOKUP(A1104,'3 - PLAN. ORÇAMENTÁRIA'!$A$16:$B$721,2,FALSE)</f>
        <v>93199</v>
      </c>
      <c r="C1104" s="631" t="str">
        <f>VLOOKUP(A1104,'3 - PLAN. ORÇAMENTÁRIA'!$A$16:$C$721,3,FALSE)</f>
        <v>VERGA E CONTRAVERGA MOLDADA IN LOCO COM UTILIZAÇÃO DE BLOCOS CANALETA</v>
      </c>
      <c r="D1104" s="632"/>
      <c r="E1104" s="632"/>
      <c r="F1104" s="632"/>
      <c r="G1104" s="633"/>
      <c r="H1104" s="437" t="str">
        <f>VLOOKUP(A1104,'3 - PLAN. ORÇAMENTÁRIA'!$A$17:$E$721,5,FALSE)</f>
        <v>M</v>
      </c>
    </row>
    <row r="1105" spans="1:8">
      <c r="B1105" s="628" t="s">
        <v>593</v>
      </c>
      <c r="C1105" s="628"/>
      <c r="D1105" s="103" t="s">
        <v>579</v>
      </c>
      <c r="E1105" s="103" t="s">
        <v>580</v>
      </c>
      <c r="F1105" s="103" t="s">
        <v>581</v>
      </c>
      <c r="G1105" s="103" t="s">
        <v>582</v>
      </c>
      <c r="H1105" s="103" t="s">
        <v>583</v>
      </c>
    </row>
    <row r="1106" spans="1:8">
      <c r="B1106" s="130" t="s">
        <v>1476</v>
      </c>
      <c r="C1106" s="229" t="s">
        <v>1477</v>
      </c>
      <c r="D1106" s="130" t="s">
        <v>119</v>
      </c>
      <c r="E1106" s="130" t="s">
        <v>144</v>
      </c>
      <c r="F1106" s="230">
        <v>5.34</v>
      </c>
      <c r="G1106" s="494">
        <v>2.2400000000000002</v>
      </c>
      <c r="H1106" s="494">
        <v>11.96</v>
      </c>
    </row>
    <row r="1107" spans="1:8">
      <c r="B1107" s="105"/>
      <c r="C1107" s="105"/>
      <c r="D1107" s="105"/>
      <c r="E1107" s="105"/>
      <c r="F1107" s="629" t="s">
        <v>604</v>
      </c>
      <c r="G1107" s="629"/>
      <c r="H1107" s="495">
        <v>11.96</v>
      </c>
    </row>
    <row r="1108" spans="1:8" ht="12.75" customHeight="1">
      <c r="B1108" s="628" t="s">
        <v>607</v>
      </c>
      <c r="C1108" s="628"/>
      <c r="D1108" s="103" t="s">
        <v>579</v>
      </c>
      <c r="E1108" s="103" t="s">
        <v>580</v>
      </c>
      <c r="F1108" s="103" t="s">
        <v>581</v>
      </c>
      <c r="G1108" s="103" t="s">
        <v>582</v>
      </c>
      <c r="H1108" s="103" t="s">
        <v>583</v>
      </c>
    </row>
    <row r="1109" spans="1:8">
      <c r="B1109" s="130" t="s">
        <v>639</v>
      </c>
      <c r="C1109" s="229" t="s">
        <v>640</v>
      </c>
      <c r="D1109" s="130" t="s">
        <v>119</v>
      </c>
      <c r="E1109" s="130" t="s">
        <v>121</v>
      </c>
      <c r="F1109" s="230">
        <v>0.13600000000000001</v>
      </c>
      <c r="G1109" s="494">
        <v>31.34</v>
      </c>
      <c r="H1109" s="494">
        <v>4.26</v>
      </c>
    </row>
    <row r="1110" spans="1:8">
      <c r="B1110" s="130" t="s">
        <v>625</v>
      </c>
      <c r="C1110" s="229" t="s">
        <v>626</v>
      </c>
      <c r="D1110" s="130" t="s">
        <v>119</v>
      </c>
      <c r="E1110" s="130" t="s">
        <v>121</v>
      </c>
      <c r="F1110" s="230">
        <v>6.8000000000000005E-2</v>
      </c>
      <c r="G1110" s="494">
        <v>23.75</v>
      </c>
      <c r="H1110" s="494">
        <v>1.62</v>
      </c>
    </row>
    <row r="1111" spans="1:8" ht="12.75" customHeight="1">
      <c r="B1111" s="105"/>
      <c r="C1111" s="105"/>
      <c r="D1111" s="105"/>
      <c r="E1111" s="105"/>
      <c r="F1111" s="629" t="s">
        <v>610</v>
      </c>
      <c r="G1111" s="629"/>
      <c r="H1111" s="495">
        <v>5.88</v>
      </c>
    </row>
    <row r="1112" spans="1:8">
      <c r="B1112" s="628" t="s">
        <v>586</v>
      </c>
      <c r="C1112" s="628"/>
      <c r="D1112" s="103" t="s">
        <v>579</v>
      </c>
      <c r="E1112" s="103" t="s">
        <v>580</v>
      </c>
      <c r="F1112" s="103" t="s">
        <v>581</v>
      </c>
      <c r="G1112" s="103" t="s">
        <v>582</v>
      </c>
      <c r="H1112" s="103" t="s">
        <v>583</v>
      </c>
    </row>
    <row r="1113" spans="1:8" ht="38.25">
      <c r="B1113" s="130" t="s">
        <v>1474</v>
      </c>
      <c r="C1113" s="229" t="s">
        <v>1475</v>
      </c>
      <c r="D1113" s="130" t="s">
        <v>119</v>
      </c>
      <c r="E1113" s="130" t="s">
        <v>167</v>
      </c>
      <c r="F1113" s="230">
        <v>1.9E-3</v>
      </c>
      <c r="G1113" s="494">
        <v>594.48</v>
      </c>
      <c r="H1113" s="494">
        <v>1.1299999999999999</v>
      </c>
    </row>
    <row r="1114" spans="1:8">
      <c r="B1114" s="130" t="s">
        <v>1416</v>
      </c>
      <c r="C1114" s="229" t="s">
        <v>1417</v>
      </c>
      <c r="D1114" s="130" t="s">
        <v>119</v>
      </c>
      <c r="E1114" s="130" t="s">
        <v>200</v>
      </c>
      <c r="F1114" s="230">
        <v>0.79</v>
      </c>
      <c r="G1114" s="494">
        <v>10.82</v>
      </c>
      <c r="H1114" s="494">
        <v>8.5500000000000007</v>
      </c>
    </row>
    <row r="1115" spans="1:8" ht="25.5">
      <c r="B1115" s="130" t="s">
        <v>1478</v>
      </c>
      <c r="C1115" s="229" t="s">
        <v>1479</v>
      </c>
      <c r="D1115" s="130" t="s">
        <v>119</v>
      </c>
      <c r="E1115" s="130" t="s">
        <v>167</v>
      </c>
      <c r="F1115" s="230">
        <v>2.8000000000000001E-2</v>
      </c>
      <c r="G1115" s="494">
        <v>1028.6300000000001</v>
      </c>
      <c r="H1115" s="494">
        <v>28.8</v>
      </c>
    </row>
    <row r="1116" spans="1:8">
      <c r="B1116" s="105"/>
      <c r="C1116" s="105"/>
      <c r="D1116" s="105"/>
      <c r="E1116" s="105"/>
      <c r="F1116" s="629" t="s">
        <v>587</v>
      </c>
      <c r="G1116" s="629"/>
      <c r="H1116" s="495">
        <v>38.479999999999997</v>
      </c>
    </row>
    <row r="1117" spans="1:8" ht="12.75" customHeight="1">
      <c r="B1117" s="105"/>
      <c r="C1117" s="105"/>
      <c r="D1117" s="105"/>
      <c r="E1117" s="105"/>
      <c r="F1117" s="630" t="s">
        <v>464</v>
      </c>
      <c r="G1117" s="630"/>
      <c r="H1117" s="102">
        <v>56.32</v>
      </c>
    </row>
    <row r="1118" spans="1:8">
      <c r="B1118" s="105"/>
      <c r="C1118" s="105"/>
      <c r="D1118" s="105"/>
      <c r="E1118" s="105"/>
      <c r="F1118" s="634"/>
      <c r="G1118" s="634"/>
      <c r="H1118" s="634"/>
    </row>
    <row r="1119" spans="1:8" s="220" customFormat="1" ht="27" customHeight="1">
      <c r="A1119" s="178" t="str">
        <f>'3 - PLAN. ORÇAMENTÁRIA'!A168</f>
        <v>4.1.1.2.1</v>
      </c>
      <c r="B1119" s="242">
        <f>VLOOKUP(A1119,'3 - PLAN. ORÇAMENTÁRIA'!$A$16:$B$721,2,FALSE)</f>
        <v>96368</v>
      </c>
      <c r="C1119" s="631" t="str">
        <f>VLOOKUP(A1119,'3 - PLAN. ORÇAMENTÁRIA'!$A$16:$C$721,3,FALSE)</f>
        <v>PAREDE COM SISTEMA EM CHAPAS DE GESSO PARA DRYWALL, USO INTERNO COM DUAS FACES DUPLAS E ESTRUTURA METÁLICA COM GUIAS DUPLAS, SEM VÃOS. AF_07/2023_PS</v>
      </c>
      <c r="D1119" s="632"/>
      <c r="E1119" s="632"/>
      <c r="F1119" s="632"/>
      <c r="G1119" s="633"/>
      <c r="H1119" s="131" t="str">
        <f>VLOOKUP(A1119,'3 - PLAN. ORÇAMENTÁRIA'!$A$17:$E$721,5,FALSE)</f>
        <v>M2</v>
      </c>
    </row>
    <row r="1120" spans="1:8">
      <c r="B1120" s="628" t="s">
        <v>593</v>
      </c>
      <c r="C1120" s="628"/>
      <c r="D1120" s="103" t="s">
        <v>579</v>
      </c>
      <c r="E1120" s="103" t="s">
        <v>580</v>
      </c>
      <c r="F1120" s="103" t="s">
        <v>581</v>
      </c>
      <c r="G1120" s="103" t="s">
        <v>582</v>
      </c>
      <c r="H1120" s="103" t="s">
        <v>583</v>
      </c>
    </row>
    <row r="1121" spans="2:8" ht="25.5">
      <c r="B1121" s="130" t="s">
        <v>1480</v>
      </c>
      <c r="C1121" s="229" t="s">
        <v>1481</v>
      </c>
      <c r="D1121" s="130" t="s">
        <v>119</v>
      </c>
      <c r="E1121" s="130" t="s">
        <v>173</v>
      </c>
      <c r="F1121" s="230">
        <v>2.5026999999999999</v>
      </c>
      <c r="G1121" s="494">
        <v>0.27</v>
      </c>
      <c r="H1121" s="494">
        <v>0.68</v>
      </c>
    </row>
    <row r="1122" spans="2:8" ht="25.5">
      <c r="B1122" s="130" t="s">
        <v>1482</v>
      </c>
      <c r="C1122" s="229" t="s">
        <v>1483</v>
      </c>
      <c r="D1122" s="130" t="s">
        <v>119</v>
      </c>
      <c r="E1122" s="130" t="s">
        <v>173</v>
      </c>
      <c r="F1122" s="230">
        <v>1.4815</v>
      </c>
      <c r="G1122" s="494">
        <v>2.42</v>
      </c>
      <c r="H1122" s="494">
        <v>3.59</v>
      </c>
    </row>
    <row r="1123" spans="2:8" ht="25.5">
      <c r="B1123" s="130" t="s">
        <v>1484</v>
      </c>
      <c r="C1123" s="229" t="s">
        <v>1485</v>
      </c>
      <c r="D1123" s="130" t="s">
        <v>119</v>
      </c>
      <c r="E1123" s="130" t="s">
        <v>200</v>
      </c>
      <c r="F1123" s="230">
        <v>1.0978000000000001</v>
      </c>
      <c r="G1123" s="494">
        <v>3.03</v>
      </c>
      <c r="H1123" s="494">
        <v>3.33</v>
      </c>
    </row>
    <row r="1124" spans="2:8" ht="25.5">
      <c r="B1124" s="130" t="s">
        <v>1486</v>
      </c>
      <c r="C1124" s="229" t="s">
        <v>1487</v>
      </c>
      <c r="D1124" s="130" t="s">
        <v>119</v>
      </c>
      <c r="E1124" s="130" t="s">
        <v>144</v>
      </c>
      <c r="F1124" s="230">
        <v>20.186800000000002</v>
      </c>
      <c r="G1124" s="494">
        <v>0.12</v>
      </c>
      <c r="H1124" s="494">
        <v>2.42</v>
      </c>
    </row>
    <row r="1125" spans="2:8" ht="25.5">
      <c r="B1125" s="130" t="s">
        <v>1488</v>
      </c>
      <c r="C1125" s="229" t="s">
        <v>1489</v>
      </c>
      <c r="D1125" s="130" t="s">
        <v>119</v>
      </c>
      <c r="E1125" s="130" t="s">
        <v>144</v>
      </c>
      <c r="F1125" s="230">
        <v>20.186800000000002</v>
      </c>
      <c r="G1125" s="494">
        <v>0.26</v>
      </c>
      <c r="H1125" s="494">
        <v>5.25</v>
      </c>
    </row>
    <row r="1126" spans="2:8" ht="25.5">
      <c r="B1126" s="130" t="s">
        <v>1490</v>
      </c>
      <c r="C1126" s="229" t="s">
        <v>1491</v>
      </c>
      <c r="D1126" s="130" t="s">
        <v>119</v>
      </c>
      <c r="E1126" s="130" t="s">
        <v>144</v>
      </c>
      <c r="F1126" s="230">
        <v>0.4803</v>
      </c>
      <c r="G1126" s="494">
        <v>0.28000000000000003</v>
      </c>
      <c r="H1126" s="494">
        <v>0.13</v>
      </c>
    </row>
    <row r="1127" spans="2:8" ht="25.5">
      <c r="B1127" s="130" t="s">
        <v>1492</v>
      </c>
      <c r="C1127" s="229" t="s">
        <v>1493</v>
      </c>
      <c r="D1127" s="130" t="s">
        <v>119</v>
      </c>
      <c r="E1127" s="130" t="s">
        <v>173</v>
      </c>
      <c r="F1127" s="230">
        <v>1.5247999999999999</v>
      </c>
      <c r="G1127" s="494">
        <v>6.21</v>
      </c>
      <c r="H1127" s="494">
        <v>9.4700000000000006</v>
      </c>
    </row>
    <row r="1128" spans="2:8" ht="25.5">
      <c r="B1128" s="130" t="s">
        <v>1494</v>
      </c>
      <c r="C1128" s="229" t="s">
        <v>1495</v>
      </c>
      <c r="D1128" s="130" t="s">
        <v>119</v>
      </c>
      <c r="E1128" s="130" t="s">
        <v>173</v>
      </c>
      <c r="F1128" s="230">
        <v>4.0011000000000001</v>
      </c>
      <c r="G1128" s="494">
        <v>7.05</v>
      </c>
      <c r="H1128" s="494">
        <v>28.21</v>
      </c>
    </row>
    <row r="1129" spans="2:8" ht="25.5">
      <c r="B1129" s="130" t="s">
        <v>1496</v>
      </c>
      <c r="C1129" s="229" t="s">
        <v>1497</v>
      </c>
      <c r="D1129" s="130" t="s">
        <v>119</v>
      </c>
      <c r="E1129" s="130" t="s">
        <v>1457</v>
      </c>
      <c r="F1129" s="230">
        <v>4.9500000000000002E-2</v>
      </c>
      <c r="G1129" s="494">
        <v>52.07</v>
      </c>
      <c r="H1129" s="494">
        <v>2.58</v>
      </c>
    </row>
    <row r="1130" spans="2:8" ht="25.5">
      <c r="B1130" s="130" t="s">
        <v>1498</v>
      </c>
      <c r="C1130" s="229" t="s">
        <v>1499</v>
      </c>
      <c r="D1130" s="130" t="s">
        <v>119</v>
      </c>
      <c r="E1130" s="130" t="s">
        <v>139</v>
      </c>
      <c r="F1130" s="230">
        <v>4.2119999999999997</v>
      </c>
      <c r="G1130" s="494">
        <v>17.47</v>
      </c>
      <c r="H1130" s="494">
        <v>73.58</v>
      </c>
    </row>
    <row r="1131" spans="2:8">
      <c r="B1131" s="105"/>
      <c r="C1131" s="105"/>
      <c r="D1131" s="105"/>
      <c r="E1131" s="105"/>
      <c r="F1131" s="629" t="s">
        <v>604</v>
      </c>
      <c r="G1131" s="629"/>
      <c r="H1131" s="495">
        <v>129.24</v>
      </c>
    </row>
    <row r="1132" spans="2:8" ht="12.75" customHeight="1">
      <c r="B1132" s="628" t="s">
        <v>607</v>
      </c>
      <c r="C1132" s="628"/>
      <c r="D1132" s="103" t="s">
        <v>579</v>
      </c>
      <c r="E1132" s="103" t="s">
        <v>580</v>
      </c>
      <c r="F1132" s="103" t="s">
        <v>581</v>
      </c>
      <c r="G1132" s="103" t="s">
        <v>582</v>
      </c>
      <c r="H1132" s="103" t="s">
        <v>583</v>
      </c>
    </row>
    <row r="1133" spans="2:8">
      <c r="B1133" s="130" t="s">
        <v>1329</v>
      </c>
      <c r="C1133" s="229" t="s">
        <v>1330</v>
      </c>
      <c r="D1133" s="130" t="s">
        <v>119</v>
      </c>
      <c r="E1133" s="130" t="s">
        <v>121</v>
      </c>
      <c r="F1133" s="230">
        <v>0.80100000000000005</v>
      </c>
      <c r="G1133" s="494">
        <v>25.64</v>
      </c>
      <c r="H1133" s="494">
        <v>20.54</v>
      </c>
    </row>
    <row r="1134" spans="2:8">
      <c r="B1134" s="130" t="s">
        <v>625</v>
      </c>
      <c r="C1134" s="229" t="s">
        <v>626</v>
      </c>
      <c r="D1134" s="130" t="s">
        <v>119</v>
      </c>
      <c r="E1134" s="130" t="s">
        <v>121</v>
      </c>
      <c r="F1134" s="230">
        <v>0.26200000000000001</v>
      </c>
      <c r="G1134" s="494">
        <v>23.75</v>
      </c>
      <c r="H1134" s="494">
        <v>6.22</v>
      </c>
    </row>
    <row r="1135" spans="2:8" ht="12.75" customHeight="1">
      <c r="B1135" s="105"/>
      <c r="C1135" s="105"/>
      <c r="D1135" s="105"/>
      <c r="E1135" s="105"/>
      <c r="F1135" s="629" t="s">
        <v>610</v>
      </c>
      <c r="G1135" s="629"/>
      <c r="H1135" s="495">
        <v>26.76</v>
      </c>
    </row>
    <row r="1136" spans="2:8" ht="12.75" customHeight="1">
      <c r="B1136" s="105"/>
      <c r="C1136" s="105"/>
      <c r="D1136" s="105"/>
      <c r="E1136" s="105"/>
      <c r="F1136" s="630" t="s">
        <v>464</v>
      </c>
      <c r="G1136" s="630"/>
      <c r="H1136" s="102">
        <v>155.91999999999999</v>
      </c>
    </row>
    <row r="1137" spans="1:8">
      <c r="B1137" s="105"/>
      <c r="C1137" s="105"/>
      <c r="D1137" s="105"/>
      <c r="E1137" s="105"/>
      <c r="F1137" s="634"/>
      <c r="G1137" s="634"/>
      <c r="H1137" s="634"/>
    </row>
    <row r="1138" spans="1:8" s="220" customFormat="1" ht="27" customHeight="1">
      <c r="A1138" s="178" t="str">
        <f>'3 - PLAN. ORÇAMENTÁRIA'!A170</f>
        <v>4.1.1.2.3</v>
      </c>
      <c r="B1138" s="242">
        <f>VLOOKUP(A1138,'3 - PLAN. ORÇAMENTÁRIA'!$A$16:$B$721,2,FALSE)</f>
        <v>96370</v>
      </c>
      <c r="C1138" s="631" t="str">
        <f>VLOOKUP(A1138,'3 - PLAN. ORÇAMENTÁRIA'!$A$16:$C$721,3,FALSE)</f>
        <v>SHAFTS COM SISTEMA EM CHAPAS DE GESSO PARA DRYWALL (ST), USO INTERNO, COM UMA FACE SIMPLES E ESTRUTURA METÁLICA COM GUIAS SIMPLES, SEM VÃOS. AF_07/2023_PS</v>
      </c>
      <c r="D1138" s="632"/>
      <c r="E1138" s="632"/>
      <c r="F1138" s="632"/>
      <c r="G1138" s="633"/>
      <c r="H1138" s="131" t="str">
        <f>VLOOKUP(A1138,'3 - PLAN. ORÇAMENTÁRIA'!$A$17:$E$721,5,FALSE)</f>
        <v>M2</v>
      </c>
    </row>
    <row r="1139" spans="1:8">
      <c r="B1139" s="628" t="s">
        <v>593</v>
      </c>
      <c r="C1139" s="628"/>
      <c r="D1139" s="103" t="s">
        <v>579</v>
      </c>
      <c r="E1139" s="103" t="s">
        <v>580</v>
      </c>
      <c r="F1139" s="103" t="s">
        <v>581</v>
      </c>
      <c r="G1139" s="103" t="s">
        <v>582</v>
      </c>
      <c r="H1139" s="103" t="s">
        <v>583</v>
      </c>
    </row>
    <row r="1140" spans="1:8" ht="25.5">
      <c r="B1140" s="130" t="s">
        <v>1480</v>
      </c>
      <c r="C1140" s="229" t="s">
        <v>1481</v>
      </c>
      <c r="D1140" s="130" t="s">
        <v>119</v>
      </c>
      <c r="E1140" s="130" t="s">
        <v>173</v>
      </c>
      <c r="F1140" s="230">
        <v>1.2513000000000001</v>
      </c>
      <c r="G1140" s="494">
        <v>0.27</v>
      </c>
      <c r="H1140" s="494">
        <v>0.34</v>
      </c>
    </row>
    <row r="1141" spans="1:8" ht="25.5">
      <c r="B1141" s="130" t="s">
        <v>1482</v>
      </c>
      <c r="C1141" s="229" t="s">
        <v>1483</v>
      </c>
      <c r="D1141" s="130" t="s">
        <v>119</v>
      </c>
      <c r="E1141" s="130" t="s">
        <v>173</v>
      </c>
      <c r="F1141" s="230">
        <v>0.74070000000000003</v>
      </c>
      <c r="G1141" s="494">
        <v>2.42</v>
      </c>
      <c r="H1141" s="494">
        <v>1.79</v>
      </c>
    </row>
    <row r="1142" spans="1:8" ht="25.5">
      <c r="B1142" s="130" t="s">
        <v>1484</v>
      </c>
      <c r="C1142" s="229" t="s">
        <v>1485</v>
      </c>
      <c r="D1142" s="130" t="s">
        <v>119</v>
      </c>
      <c r="E1142" s="130" t="s">
        <v>200</v>
      </c>
      <c r="F1142" s="230">
        <v>0.54890000000000005</v>
      </c>
      <c r="G1142" s="494">
        <v>3.03</v>
      </c>
      <c r="H1142" s="494">
        <v>1.66</v>
      </c>
    </row>
    <row r="1143" spans="1:8" ht="25.5">
      <c r="B1143" s="130" t="s">
        <v>1486</v>
      </c>
      <c r="C1143" s="229" t="s">
        <v>1487</v>
      </c>
      <c r="D1143" s="130" t="s">
        <v>119</v>
      </c>
      <c r="E1143" s="130" t="s">
        <v>144</v>
      </c>
      <c r="F1143" s="230">
        <v>10.093400000000001</v>
      </c>
      <c r="G1143" s="494">
        <v>0.12</v>
      </c>
      <c r="H1143" s="494">
        <v>1.21</v>
      </c>
    </row>
    <row r="1144" spans="1:8" ht="25.5">
      <c r="B1144" s="130" t="s">
        <v>1490</v>
      </c>
      <c r="C1144" s="229" t="s">
        <v>1491</v>
      </c>
      <c r="D1144" s="130" t="s">
        <v>119</v>
      </c>
      <c r="E1144" s="130" t="s">
        <v>144</v>
      </c>
      <c r="F1144" s="230">
        <v>0.4803</v>
      </c>
      <c r="G1144" s="494">
        <v>0.28000000000000003</v>
      </c>
      <c r="H1144" s="494">
        <v>0.13</v>
      </c>
    </row>
    <row r="1145" spans="1:8" ht="25.5">
      <c r="B1145" s="130" t="s">
        <v>1492</v>
      </c>
      <c r="C1145" s="229" t="s">
        <v>1493</v>
      </c>
      <c r="D1145" s="130" t="s">
        <v>119</v>
      </c>
      <c r="E1145" s="130" t="s">
        <v>173</v>
      </c>
      <c r="F1145" s="230">
        <v>0.76239999999999997</v>
      </c>
      <c r="G1145" s="494">
        <v>6.21</v>
      </c>
      <c r="H1145" s="494">
        <v>4.7300000000000004</v>
      </c>
    </row>
    <row r="1146" spans="1:8" ht="25.5">
      <c r="B1146" s="130" t="s">
        <v>1494</v>
      </c>
      <c r="C1146" s="229" t="s">
        <v>1495</v>
      </c>
      <c r="D1146" s="130" t="s">
        <v>119</v>
      </c>
      <c r="E1146" s="130" t="s">
        <v>173</v>
      </c>
      <c r="F1146" s="230">
        <v>2.0005999999999999</v>
      </c>
      <c r="G1146" s="494">
        <v>7.05</v>
      </c>
      <c r="H1146" s="494">
        <v>14.1</v>
      </c>
    </row>
    <row r="1147" spans="1:8" ht="25.5">
      <c r="B1147" s="130" t="s">
        <v>1496</v>
      </c>
      <c r="C1147" s="229" t="s">
        <v>1497</v>
      </c>
      <c r="D1147" s="130" t="s">
        <v>119</v>
      </c>
      <c r="E1147" s="130" t="s">
        <v>1457</v>
      </c>
      <c r="F1147" s="230">
        <v>2.4799999999999999E-2</v>
      </c>
      <c r="G1147" s="494">
        <v>52.07</v>
      </c>
      <c r="H1147" s="494">
        <v>1.29</v>
      </c>
    </row>
    <row r="1148" spans="1:8" ht="25.5">
      <c r="B1148" s="130" t="s">
        <v>1498</v>
      </c>
      <c r="C1148" s="229" t="s">
        <v>1499</v>
      </c>
      <c r="D1148" s="130" t="s">
        <v>119</v>
      </c>
      <c r="E1148" s="130" t="s">
        <v>139</v>
      </c>
      <c r="F1148" s="230">
        <v>1.0529999999999999</v>
      </c>
      <c r="G1148" s="494">
        <v>17.47</v>
      </c>
      <c r="H1148" s="494">
        <v>18.399999999999999</v>
      </c>
    </row>
    <row r="1149" spans="1:8">
      <c r="B1149" s="105"/>
      <c r="C1149" s="105"/>
      <c r="D1149" s="105"/>
      <c r="E1149" s="105"/>
      <c r="F1149" s="629" t="s">
        <v>604</v>
      </c>
      <c r="G1149" s="629"/>
      <c r="H1149" s="495">
        <v>43.65</v>
      </c>
    </row>
    <row r="1150" spans="1:8" ht="12.75" customHeight="1">
      <c r="B1150" s="628" t="s">
        <v>607</v>
      </c>
      <c r="C1150" s="628"/>
      <c r="D1150" s="103" t="s">
        <v>579</v>
      </c>
      <c r="E1150" s="103" t="s">
        <v>580</v>
      </c>
      <c r="F1150" s="103" t="s">
        <v>581</v>
      </c>
      <c r="G1150" s="103" t="s">
        <v>582</v>
      </c>
      <c r="H1150" s="103" t="s">
        <v>583</v>
      </c>
    </row>
    <row r="1151" spans="1:8">
      <c r="B1151" s="130" t="s">
        <v>1329</v>
      </c>
      <c r="C1151" s="229" t="s">
        <v>1330</v>
      </c>
      <c r="D1151" s="130" t="s">
        <v>119</v>
      </c>
      <c r="E1151" s="130" t="s">
        <v>121</v>
      </c>
      <c r="F1151" s="230">
        <v>0.34399999999999997</v>
      </c>
      <c r="G1151" s="494">
        <v>25.64</v>
      </c>
      <c r="H1151" s="494">
        <v>8.82</v>
      </c>
    </row>
    <row r="1152" spans="1:8">
      <c r="B1152" s="130" t="s">
        <v>625</v>
      </c>
      <c r="C1152" s="229" t="s">
        <v>626</v>
      </c>
      <c r="D1152" s="130" t="s">
        <v>119</v>
      </c>
      <c r="E1152" s="130" t="s">
        <v>121</v>
      </c>
      <c r="F1152" s="230">
        <v>0.112</v>
      </c>
      <c r="G1152" s="494">
        <v>23.75</v>
      </c>
      <c r="H1152" s="494">
        <v>2.66</v>
      </c>
    </row>
    <row r="1153" spans="1:8" ht="12.75" customHeight="1">
      <c r="B1153" s="105"/>
      <c r="C1153" s="105"/>
      <c r="D1153" s="105"/>
      <c r="E1153" s="105"/>
      <c r="F1153" s="629" t="s">
        <v>610</v>
      </c>
      <c r="G1153" s="629"/>
      <c r="H1153" s="495">
        <v>11.48</v>
      </c>
    </row>
    <row r="1154" spans="1:8" ht="12.75" customHeight="1">
      <c r="B1154" s="105"/>
      <c r="C1154" s="105"/>
      <c r="D1154" s="105"/>
      <c r="E1154" s="105"/>
      <c r="F1154" s="630" t="s">
        <v>464</v>
      </c>
      <c r="G1154" s="630"/>
      <c r="H1154" s="102">
        <v>55.11</v>
      </c>
    </row>
    <row r="1155" spans="1:8">
      <c r="B1155" s="105"/>
      <c r="C1155" s="105"/>
      <c r="D1155" s="105"/>
      <c r="E1155" s="105"/>
      <c r="F1155" s="634"/>
      <c r="G1155" s="634"/>
      <c r="H1155" s="634"/>
    </row>
    <row r="1156" spans="1:8" s="220" customFormat="1" ht="27" customHeight="1">
      <c r="A1156" s="178" t="str">
        <f>'3 - PLAN. ORÇAMENTÁRIA'!A201</f>
        <v>4.1.4.3</v>
      </c>
      <c r="B1156" s="242">
        <f>VLOOKUP(A1156,'3 - PLAN. ORÇAMENTÁRIA'!$A$16:$B$721,2,FALSE)</f>
        <v>94231</v>
      </c>
      <c r="C1156" s="631" t="str">
        <f>VLOOKUP(A1156,'3 - PLAN. ORÇAMENTÁRIA'!$A$16:$C$721,3,FALSE)</f>
        <v>RUFO (DE ENCOSTO E PINGADEIRA) EM CHAPA DE AÇO GALVANIZADO NÚMERO 24, CORTE DE 25 CM, INCLUSO TRANSPORTE VERTICAL. AF_07/2019</v>
      </c>
      <c r="D1156" s="632"/>
      <c r="E1156" s="632"/>
      <c r="F1156" s="632"/>
      <c r="G1156" s="633"/>
      <c r="H1156" s="131" t="str">
        <f>VLOOKUP(A1156,'3 - PLAN. ORÇAMENTÁRIA'!$A$17:$E$721,5,FALSE)</f>
        <v>M</v>
      </c>
    </row>
    <row r="1157" spans="1:8" ht="12.75" customHeight="1">
      <c r="B1157" s="628" t="s">
        <v>1301</v>
      </c>
      <c r="C1157" s="628"/>
      <c r="D1157" s="103" t="s">
        <v>579</v>
      </c>
      <c r="E1157" s="103" t="s">
        <v>580</v>
      </c>
      <c r="F1157" s="103" t="s">
        <v>581</v>
      </c>
      <c r="G1157" s="103" t="s">
        <v>582</v>
      </c>
      <c r="H1157" s="103" t="s">
        <v>583</v>
      </c>
    </row>
    <row r="1158" spans="1:8" ht="25.5">
      <c r="B1158" s="130" t="s">
        <v>1505</v>
      </c>
      <c r="C1158" s="229" t="s">
        <v>1506</v>
      </c>
      <c r="D1158" s="130" t="s">
        <v>119</v>
      </c>
      <c r="E1158" s="130" t="s">
        <v>1304</v>
      </c>
      <c r="F1158" s="230">
        <v>1.83E-2</v>
      </c>
      <c r="G1158" s="494">
        <v>26.48</v>
      </c>
      <c r="H1158" s="494">
        <v>0.48</v>
      </c>
    </row>
    <row r="1159" spans="1:8" ht="25.5">
      <c r="B1159" s="130" t="s">
        <v>1507</v>
      </c>
      <c r="C1159" s="229" t="s">
        <v>1508</v>
      </c>
      <c r="D1159" s="130" t="s">
        <v>119</v>
      </c>
      <c r="E1159" s="130" t="s">
        <v>1307</v>
      </c>
      <c r="F1159" s="230">
        <v>1.32E-2</v>
      </c>
      <c r="G1159" s="494">
        <v>27.3</v>
      </c>
      <c r="H1159" s="494">
        <v>0.36</v>
      </c>
    </row>
    <row r="1160" spans="1:8" ht="12.75" customHeight="1">
      <c r="B1160" s="105"/>
      <c r="C1160" s="105"/>
      <c r="D1160" s="105"/>
      <c r="E1160" s="105"/>
      <c r="F1160" s="629" t="s">
        <v>1308</v>
      </c>
      <c r="G1160" s="629"/>
      <c r="H1160" s="495">
        <v>0.84</v>
      </c>
    </row>
    <row r="1161" spans="1:8">
      <c r="B1161" s="628" t="s">
        <v>593</v>
      </c>
      <c r="C1161" s="628"/>
      <c r="D1161" s="103" t="s">
        <v>579</v>
      </c>
      <c r="E1161" s="103" t="s">
        <v>580</v>
      </c>
      <c r="F1161" s="103" t="s">
        <v>581</v>
      </c>
      <c r="G1161" s="103" t="s">
        <v>582</v>
      </c>
      <c r="H1161" s="103" t="s">
        <v>583</v>
      </c>
    </row>
    <row r="1162" spans="1:8">
      <c r="B1162" s="130" t="s">
        <v>615</v>
      </c>
      <c r="C1162" s="229" t="s">
        <v>616</v>
      </c>
      <c r="D1162" s="130" t="s">
        <v>119</v>
      </c>
      <c r="E1162" s="130" t="s">
        <v>200</v>
      </c>
      <c r="F1162" s="230">
        <v>6.0000000000000001E-3</v>
      </c>
      <c r="G1162" s="494">
        <v>18.399999999999999</v>
      </c>
      <c r="H1162" s="494">
        <v>0.11</v>
      </c>
    </row>
    <row r="1163" spans="1:8" ht="25.5">
      <c r="B1163" s="130" t="s">
        <v>1509</v>
      </c>
      <c r="C1163" s="229" t="s">
        <v>1510</v>
      </c>
      <c r="D1163" s="130" t="s">
        <v>119</v>
      </c>
      <c r="E1163" s="130" t="s">
        <v>200</v>
      </c>
      <c r="F1163" s="230">
        <v>1.1999999999999999E-3</v>
      </c>
      <c r="G1163" s="494">
        <v>74.06</v>
      </c>
      <c r="H1163" s="494">
        <v>0.09</v>
      </c>
    </row>
    <row r="1164" spans="1:8">
      <c r="B1164" s="130" t="s">
        <v>1511</v>
      </c>
      <c r="C1164" s="229" t="s">
        <v>1512</v>
      </c>
      <c r="D1164" s="130" t="s">
        <v>119</v>
      </c>
      <c r="E1164" s="130" t="s">
        <v>173</v>
      </c>
      <c r="F1164" s="230">
        <v>1.05</v>
      </c>
      <c r="G1164" s="494">
        <v>22.75</v>
      </c>
      <c r="H1164" s="494">
        <v>23.89</v>
      </c>
    </row>
    <row r="1165" spans="1:8">
      <c r="B1165" s="130" t="s">
        <v>653</v>
      </c>
      <c r="C1165" s="229" t="s">
        <v>654</v>
      </c>
      <c r="D1165" s="130" t="s">
        <v>119</v>
      </c>
      <c r="E1165" s="130" t="s">
        <v>655</v>
      </c>
      <c r="F1165" s="230">
        <v>0.19800000000000001</v>
      </c>
      <c r="G1165" s="494">
        <v>35.729999999999997</v>
      </c>
      <c r="H1165" s="494">
        <v>7.07</v>
      </c>
    </row>
    <row r="1166" spans="1:8">
      <c r="B1166" s="130" t="s">
        <v>1513</v>
      </c>
      <c r="C1166" s="229" t="s">
        <v>1514</v>
      </c>
      <c r="D1166" s="130" t="s">
        <v>119</v>
      </c>
      <c r="E1166" s="130" t="s">
        <v>200</v>
      </c>
      <c r="F1166" s="230">
        <v>4.4999999999999998E-2</v>
      </c>
      <c r="G1166" s="494">
        <v>214.12</v>
      </c>
      <c r="H1166" s="494">
        <v>9.64</v>
      </c>
    </row>
    <row r="1167" spans="1:8">
      <c r="B1167" s="105"/>
      <c r="C1167" s="105"/>
      <c r="D1167" s="105"/>
      <c r="E1167" s="105"/>
      <c r="F1167" s="629" t="s">
        <v>604</v>
      </c>
      <c r="G1167" s="629"/>
      <c r="H1167" s="495">
        <v>40.799999999999997</v>
      </c>
    </row>
    <row r="1168" spans="1:8" ht="12.75" customHeight="1">
      <c r="B1168" s="628" t="s">
        <v>607</v>
      </c>
      <c r="C1168" s="628"/>
      <c r="D1168" s="103" t="s">
        <v>579</v>
      </c>
      <c r="E1168" s="103" t="s">
        <v>580</v>
      </c>
      <c r="F1168" s="103" t="s">
        <v>581</v>
      </c>
      <c r="G1168" s="103" t="s">
        <v>582</v>
      </c>
      <c r="H1168" s="103" t="s">
        <v>583</v>
      </c>
    </row>
    <row r="1169" spans="1:8">
      <c r="B1169" s="130" t="s">
        <v>625</v>
      </c>
      <c r="C1169" s="229" t="s">
        <v>626</v>
      </c>
      <c r="D1169" s="130" t="s">
        <v>119</v>
      </c>
      <c r="E1169" s="130" t="s">
        <v>121</v>
      </c>
      <c r="F1169" s="230">
        <v>0.20699999999999999</v>
      </c>
      <c r="G1169" s="494">
        <v>23.75</v>
      </c>
      <c r="H1169" s="494">
        <v>4.92</v>
      </c>
    </row>
    <row r="1170" spans="1:8">
      <c r="B1170" s="130" t="s">
        <v>1515</v>
      </c>
      <c r="C1170" s="229" t="s">
        <v>1516</v>
      </c>
      <c r="D1170" s="130" t="s">
        <v>119</v>
      </c>
      <c r="E1170" s="130" t="s">
        <v>121</v>
      </c>
      <c r="F1170" s="230">
        <v>0.112</v>
      </c>
      <c r="G1170" s="494">
        <v>30.62</v>
      </c>
      <c r="H1170" s="494">
        <v>3.43</v>
      </c>
    </row>
    <row r="1171" spans="1:8" ht="12.75" customHeight="1">
      <c r="B1171" s="105"/>
      <c r="C1171" s="105"/>
      <c r="D1171" s="105"/>
      <c r="E1171" s="105"/>
      <c r="F1171" s="629" t="s">
        <v>610</v>
      </c>
      <c r="G1171" s="629"/>
      <c r="H1171" s="495">
        <v>8.35</v>
      </c>
    </row>
    <row r="1172" spans="1:8" ht="12.75" customHeight="1">
      <c r="B1172" s="105"/>
      <c r="C1172" s="105"/>
      <c r="D1172" s="105"/>
      <c r="E1172" s="105"/>
      <c r="F1172" s="630" t="s">
        <v>464</v>
      </c>
      <c r="G1172" s="630"/>
      <c r="H1172" s="102">
        <v>49.94</v>
      </c>
    </row>
    <row r="1173" spans="1:8">
      <c r="B1173" s="105"/>
      <c r="C1173" s="105"/>
      <c r="D1173" s="105"/>
      <c r="E1173" s="105"/>
      <c r="F1173" s="634"/>
      <c r="G1173" s="634"/>
      <c r="H1173" s="634"/>
    </row>
    <row r="1174" spans="1:8" s="220" customFormat="1" ht="27" customHeight="1">
      <c r="A1174" s="178" t="str">
        <f>'3 - PLAN. ORÇAMENTÁRIA'!A202</f>
        <v>4.1.4.4</v>
      </c>
      <c r="B1174" s="242">
        <f>VLOOKUP(A1174,'3 - PLAN. ORÇAMENTÁRIA'!$A$16:$B$721,2,FALSE)</f>
        <v>94229</v>
      </c>
      <c r="C1174" s="631" t="str">
        <f>VLOOKUP(A1174,'3 - PLAN. ORÇAMENTÁRIA'!$A$16:$C$721,3,FALSE)</f>
        <v>CALHA EM CHAPA DE AÇO GALVANIZADO NÚMERO 24, DESENVOLVIMENTO DE 100 CM, INCLUSO TRANSPORTE VERTICAL. AF_07/2019</v>
      </c>
      <c r="D1174" s="632"/>
      <c r="E1174" s="632"/>
      <c r="F1174" s="632"/>
      <c r="G1174" s="633"/>
      <c r="H1174" s="131" t="str">
        <f>VLOOKUP(A1174,'3 - PLAN. ORÇAMENTÁRIA'!$A$17:$E$721,5,FALSE)</f>
        <v>M</v>
      </c>
    </row>
    <row r="1175" spans="1:8" ht="12.75" customHeight="1">
      <c r="B1175" s="628" t="s">
        <v>1301</v>
      </c>
      <c r="C1175" s="628"/>
      <c r="D1175" s="103" t="s">
        <v>579</v>
      </c>
      <c r="E1175" s="103" t="s">
        <v>580</v>
      </c>
      <c r="F1175" s="103" t="s">
        <v>581</v>
      </c>
      <c r="G1175" s="103" t="s">
        <v>582</v>
      </c>
      <c r="H1175" s="103" t="s">
        <v>583</v>
      </c>
    </row>
    <row r="1176" spans="1:8" ht="25.5">
      <c r="B1176" s="130" t="s">
        <v>1505</v>
      </c>
      <c r="C1176" s="229" t="s">
        <v>1506</v>
      </c>
      <c r="D1176" s="130" t="s">
        <v>119</v>
      </c>
      <c r="E1176" s="130" t="s">
        <v>1304</v>
      </c>
      <c r="F1176" s="230">
        <v>1.83E-2</v>
      </c>
      <c r="G1176" s="494">
        <v>26.48</v>
      </c>
      <c r="H1176" s="494">
        <v>0.48</v>
      </c>
    </row>
    <row r="1177" spans="1:8" ht="25.5">
      <c r="B1177" s="130" t="s">
        <v>1507</v>
      </c>
      <c r="C1177" s="229" t="s">
        <v>1508</v>
      </c>
      <c r="D1177" s="130" t="s">
        <v>119</v>
      </c>
      <c r="E1177" s="130" t="s">
        <v>1307</v>
      </c>
      <c r="F1177" s="230">
        <v>1.32E-2</v>
      </c>
      <c r="G1177" s="494">
        <v>27.3</v>
      </c>
      <c r="H1177" s="494">
        <v>0.36</v>
      </c>
    </row>
    <row r="1178" spans="1:8" ht="12.75" customHeight="1">
      <c r="B1178" s="105"/>
      <c r="C1178" s="105"/>
      <c r="D1178" s="105"/>
      <c r="E1178" s="105"/>
      <c r="F1178" s="629" t="s">
        <v>1308</v>
      </c>
      <c r="G1178" s="629"/>
      <c r="H1178" s="495">
        <v>0.84</v>
      </c>
    </row>
    <row r="1179" spans="1:8">
      <c r="B1179" s="628" t="s">
        <v>593</v>
      </c>
      <c r="C1179" s="628"/>
      <c r="D1179" s="103" t="s">
        <v>579</v>
      </c>
      <c r="E1179" s="103" t="s">
        <v>580</v>
      </c>
      <c r="F1179" s="103" t="s">
        <v>581</v>
      </c>
      <c r="G1179" s="103" t="s">
        <v>582</v>
      </c>
      <c r="H1179" s="103" t="s">
        <v>583</v>
      </c>
    </row>
    <row r="1180" spans="1:8">
      <c r="B1180" s="130" t="s">
        <v>3995</v>
      </c>
      <c r="C1180" s="229" t="s">
        <v>3996</v>
      </c>
      <c r="D1180" s="130" t="s">
        <v>119</v>
      </c>
      <c r="E1180" s="130" t="s">
        <v>173</v>
      </c>
      <c r="F1180" s="230">
        <v>1.05</v>
      </c>
      <c r="G1180" s="494">
        <v>80.209999999999994</v>
      </c>
      <c r="H1180" s="494">
        <v>84.22</v>
      </c>
    </row>
    <row r="1181" spans="1:8">
      <c r="B1181" s="130" t="s">
        <v>615</v>
      </c>
      <c r="C1181" s="229" t="s">
        <v>616</v>
      </c>
      <c r="D1181" s="130" t="s">
        <v>119</v>
      </c>
      <c r="E1181" s="130" t="s">
        <v>200</v>
      </c>
      <c r="F1181" s="230">
        <v>2.5000000000000001E-2</v>
      </c>
      <c r="G1181" s="494">
        <v>18.399999999999999</v>
      </c>
      <c r="H1181" s="494">
        <v>0.46</v>
      </c>
    </row>
    <row r="1182" spans="1:8" ht="25.5">
      <c r="B1182" s="130" t="s">
        <v>1509</v>
      </c>
      <c r="C1182" s="229" t="s">
        <v>1510</v>
      </c>
      <c r="D1182" s="130" t="s">
        <v>119</v>
      </c>
      <c r="E1182" s="130" t="s">
        <v>200</v>
      </c>
      <c r="F1182" s="230">
        <v>4.8999999999999998E-3</v>
      </c>
      <c r="G1182" s="494">
        <v>74.06</v>
      </c>
      <c r="H1182" s="494">
        <v>0.36</v>
      </c>
    </row>
    <row r="1183" spans="1:8">
      <c r="B1183" s="130" t="s">
        <v>653</v>
      </c>
      <c r="C1183" s="229" t="s">
        <v>654</v>
      </c>
      <c r="D1183" s="130" t="s">
        <v>119</v>
      </c>
      <c r="E1183" s="130" t="s">
        <v>655</v>
      </c>
      <c r="F1183" s="230">
        <v>0.161</v>
      </c>
      <c r="G1183" s="494">
        <v>35.729999999999997</v>
      </c>
      <c r="H1183" s="494">
        <v>5.75</v>
      </c>
    </row>
    <row r="1184" spans="1:8">
      <c r="B1184" s="130" t="s">
        <v>1513</v>
      </c>
      <c r="C1184" s="229" t="s">
        <v>1514</v>
      </c>
      <c r="D1184" s="130" t="s">
        <v>119</v>
      </c>
      <c r="E1184" s="130" t="s">
        <v>200</v>
      </c>
      <c r="F1184" s="230">
        <v>0.18</v>
      </c>
      <c r="G1184" s="494">
        <v>214.12</v>
      </c>
      <c r="H1184" s="494">
        <v>38.54</v>
      </c>
    </row>
    <row r="1185" spans="1:8">
      <c r="B1185" s="105"/>
      <c r="C1185" s="105"/>
      <c r="D1185" s="105"/>
      <c r="E1185" s="105"/>
      <c r="F1185" s="629" t="s">
        <v>604</v>
      </c>
      <c r="G1185" s="629"/>
      <c r="H1185" s="495">
        <v>129.33000000000001</v>
      </c>
    </row>
    <row r="1186" spans="1:8" ht="12.75" customHeight="1">
      <c r="B1186" s="628" t="s">
        <v>607</v>
      </c>
      <c r="C1186" s="628"/>
      <c r="D1186" s="103" t="s">
        <v>579</v>
      </c>
      <c r="E1186" s="103" t="s">
        <v>580</v>
      </c>
      <c r="F1186" s="103" t="s">
        <v>581</v>
      </c>
      <c r="G1186" s="103" t="s">
        <v>582</v>
      </c>
      <c r="H1186" s="103" t="s">
        <v>583</v>
      </c>
    </row>
    <row r="1187" spans="1:8">
      <c r="B1187" s="130" t="s">
        <v>625</v>
      </c>
      <c r="C1187" s="229" t="s">
        <v>626</v>
      </c>
      <c r="D1187" s="130" t="s">
        <v>119</v>
      </c>
      <c r="E1187" s="130" t="s">
        <v>121</v>
      </c>
      <c r="F1187" s="230">
        <v>0.63300000000000001</v>
      </c>
      <c r="G1187" s="494">
        <v>23.75</v>
      </c>
      <c r="H1187" s="494">
        <v>15.03</v>
      </c>
    </row>
    <row r="1188" spans="1:8">
      <c r="B1188" s="130" t="s">
        <v>1515</v>
      </c>
      <c r="C1188" s="229" t="s">
        <v>1516</v>
      </c>
      <c r="D1188" s="130" t="s">
        <v>119</v>
      </c>
      <c r="E1188" s="130" t="s">
        <v>121</v>
      </c>
      <c r="F1188" s="230">
        <v>0.53900000000000003</v>
      </c>
      <c r="G1188" s="494">
        <v>30.62</v>
      </c>
      <c r="H1188" s="494">
        <v>16.5</v>
      </c>
    </row>
    <row r="1189" spans="1:8" ht="12.75" customHeight="1">
      <c r="B1189" s="105"/>
      <c r="C1189" s="105"/>
      <c r="D1189" s="105"/>
      <c r="E1189" s="105"/>
      <c r="F1189" s="629" t="s">
        <v>610</v>
      </c>
      <c r="G1189" s="629"/>
      <c r="H1189" s="495">
        <v>31.53</v>
      </c>
    </row>
    <row r="1190" spans="1:8" ht="12.75" customHeight="1">
      <c r="B1190" s="105"/>
      <c r="C1190" s="105"/>
      <c r="D1190" s="105"/>
      <c r="E1190" s="105"/>
      <c r="F1190" s="630" t="s">
        <v>464</v>
      </c>
      <c r="G1190" s="630"/>
      <c r="H1190" s="102">
        <v>161.69999999999999</v>
      </c>
    </row>
    <row r="1191" spans="1:8">
      <c r="B1191" s="105"/>
      <c r="C1191" s="105"/>
      <c r="D1191" s="105"/>
      <c r="E1191" s="105"/>
      <c r="F1191" s="634"/>
      <c r="G1191" s="634"/>
      <c r="H1191" s="634"/>
    </row>
    <row r="1192" spans="1:8" s="220" customFormat="1" ht="27" customHeight="1">
      <c r="A1192" s="178" t="str">
        <f>'3 - PLAN. ORÇAMENTÁRIA'!A208</f>
        <v>4.1.5.1.1.1</v>
      </c>
      <c r="B1192" s="242">
        <f>VLOOKUP(A1192,'3 - PLAN. ORÇAMENTÁRIA'!$A$16:$B$721,2,FALSE)</f>
        <v>100324</v>
      </c>
      <c r="C1192" s="631" t="str">
        <f>VLOOKUP(A1192,'3 - PLAN. ORÇAMENTÁRIA'!$A$16:$C$721,3,FALSE)</f>
        <v>LASTRO COM MATERIAL GRANULAR (PEDRA BRITADA N.1 E PEDRA BRITADA N.2), APLICADO EM PISOS OU LAJES SOBRE SOLO, ESPESSURA DE *6 CM*. AF_01/2024</v>
      </c>
      <c r="D1192" s="632"/>
      <c r="E1192" s="632"/>
      <c r="F1192" s="632"/>
      <c r="G1192" s="633"/>
      <c r="H1192" s="432" t="str">
        <f>VLOOKUP(A1192,'3 - PLAN. ORÇAMENTÁRIA'!$A$17:$E$721,5,FALSE)</f>
        <v>M3</v>
      </c>
    </row>
    <row r="1193" spans="1:8" ht="12.75" customHeight="1">
      <c r="B1193" s="628" t="s">
        <v>1301</v>
      </c>
      <c r="C1193" s="628"/>
      <c r="D1193" s="103" t="s">
        <v>579</v>
      </c>
      <c r="E1193" s="103" t="s">
        <v>580</v>
      </c>
      <c r="F1193" s="103" t="s">
        <v>581</v>
      </c>
      <c r="G1193" s="103" t="s">
        <v>582</v>
      </c>
      <c r="H1193" s="103" t="s">
        <v>583</v>
      </c>
    </row>
    <row r="1194" spans="1:8" ht="25.5">
      <c r="B1194" s="130" t="s">
        <v>1517</v>
      </c>
      <c r="C1194" s="229" t="s">
        <v>1518</v>
      </c>
      <c r="D1194" s="130" t="s">
        <v>119</v>
      </c>
      <c r="E1194" s="130" t="s">
        <v>1304</v>
      </c>
      <c r="F1194" s="230">
        <v>0.03</v>
      </c>
      <c r="G1194" s="494">
        <v>0.72</v>
      </c>
      <c r="H1194" s="494">
        <v>0.02</v>
      </c>
    </row>
    <row r="1195" spans="1:8" ht="25.5">
      <c r="B1195" s="130" t="s">
        <v>1519</v>
      </c>
      <c r="C1195" s="229" t="s">
        <v>1520</v>
      </c>
      <c r="D1195" s="130" t="s">
        <v>119</v>
      </c>
      <c r="E1195" s="130" t="s">
        <v>1307</v>
      </c>
      <c r="F1195" s="230">
        <v>3.2000000000000001E-2</v>
      </c>
      <c r="G1195" s="494">
        <v>10.01</v>
      </c>
      <c r="H1195" s="494">
        <v>0.32</v>
      </c>
    </row>
    <row r="1196" spans="1:8" ht="12.75" customHeight="1">
      <c r="B1196" s="105"/>
      <c r="C1196" s="105"/>
      <c r="D1196" s="105"/>
      <c r="E1196" s="105"/>
      <c r="F1196" s="629" t="s">
        <v>1308</v>
      </c>
      <c r="G1196" s="629"/>
      <c r="H1196" s="495">
        <v>0.34</v>
      </c>
    </row>
    <row r="1197" spans="1:8">
      <c r="B1197" s="628" t="s">
        <v>593</v>
      </c>
      <c r="C1197" s="628"/>
      <c r="D1197" s="103" t="s">
        <v>579</v>
      </c>
      <c r="E1197" s="103" t="s">
        <v>580</v>
      </c>
      <c r="F1197" s="103" t="s">
        <v>581</v>
      </c>
      <c r="G1197" s="103" t="s">
        <v>582</v>
      </c>
      <c r="H1197" s="103" t="s">
        <v>583</v>
      </c>
    </row>
    <row r="1198" spans="1:8">
      <c r="B1198" s="130" t="s">
        <v>1521</v>
      </c>
      <c r="C1198" s="229" t="s">
        <v>1522</v>
      </c>
      <c r="D1198" s="130" t="s">
        <v>119</v>
      </c>
      <c r="E1198" s="130" t="s">
        <v>167</v>
      </c>
      <c r="F1198" s="230">
        <v>0.59499999999999997</v>
      </c>
      <c r="G1198" s="494">
        <v>197.39</v>
      </c>
      <c r="H1198" s="494">
        <v>117.45</v>
      </c>
    </row>
    <row r="1199" spans="1:8">
      <c r="B1199" s="130" t="s">
        <v>661</v>
      </c>
      <c r="C1199" s="229" t="s">
        <v>662</v>
      </c>
      <c r="D1199" s="130" t="s">
        <v>119</v>
      </c>
      <c r="E1199" s="130" t="s">
        <v>167</v>
      </c>
      <c r="F1199" s="230">
        <v>0.59499999999999997</v>
      </c>
      <c r="G1199" s="494">
        <v>198.43</v>
      </c>
      <c r="H1199" s="494">
        <v>118.07</v>
      </c>
    </row>
    <row r="1200" spans="1:8">
      <c r="B1200" s="105"/>
      <c r="C1200" s="105"/>
      <c r="D1200" s="105"/>
      <c r="E1200" s="105"/>
      <c r="F1200" s="629" t="s">
        <v>604</v>
      </c>
      <c r="G1200" s="629"/>
      <c r="H1200" s="495">
        <v>235.52</v>
      </c>
    </row>
    <row r="1201" spans="1:8" ht="12.75" customHeight="1">
      <c r="B1201" s="628" t="s">
        <v>607</v>
      </c>
      <c r="C1201" s="628"/>
      <c r="D1201" s="103" t="s">
        <v>579</v>
      </c>
      <c r="E1201" s="103" t="s">
        <v>580</v>
      </c>
      <c r="F1201" s="103" t="s">
        <v>581</v>
      </c>
      <c r="G1201" s="103" t="s">
        <v>582</v>
      </c>
      <c r="H1201" s="103" t="s">
        <v>583</v>
      </c>
    </row>
    <row r="1202" spans="1:8">
      <c r="B1202" s="130" t="s">
        <v>639</v>
      </c>
      <c r="C1202" s="229" t="s">
        <v>640</v>
      </c>
      <c r="D1202" s="130" t="s">
        <v>119</v>
      </c>
      <c r="E1202" s="130" t="s">
        <v>121</v>
      </c>
      <c r="F1202" s="230">
        <v>1.579</v>
      </c>
      <c r="G1202" s="494">
        <v>31.34</v>
      </c>
      <c r="H1202" s="494">
        <v>49.49</v>
      </c>
    </row>
    <row r="1203" spans="1:8">
      <c r="B1203" s="130" t="s">
        <v>625</v>
      </c>
      <c r="C1203" s="229" t="s">
        <v>626</v>
      </c>
      <c r="D1203" s="130" t="s">
        <v>119</v>
      </c>
      <c r="E1203" s="130" t="s">
        <v>121</v>
      </c>
      <c r="F1203" s="230">
        <v>0.63400000000000001</v>
      </c>
      <c r="G1203" s="494">
        <v>23.75</v>
      </c>
      <c r="H1203" s="494">
        <v>15.06</v>
      </c>
    </row>
    <row r="1204" spans="1:8" ht="12.75" customHeight="1">
      <c r="B1204" s="105"/>
      <c r="C1204" s="105"/>
      <c r="D1204" s="105"/>
      <c r="E1204" s="105"/>
      <c r="F1204" s="629" t="s">
        <v>610</v>
      </c>
      <c r="G1204" s="629"/>
      <c r="H1204" s="495">
        <v>64.55</v>
      </c>
    </row>
    <row r="1205" spans="1:8" ht="12.75" customHeight="1">
      <c r="B1205" s="105"/>
      <c r="C1205" s="105"/>
      <c r="D1205" s="105"/>
      <c r="E1205" s="105"/>
      <c r="F1205" s="630" t="s">
        <v>464</v>
      </c>
      <c r="G1205" s="630"/>
      <c r="H1205" s="102">
        <v>300.37</v>
      </c>
    </row>
    <row r="1206" spans="1:8">
      <c r="B1206" s="105"/>
      <c r="C1206" s="105"/>
      <c r="D1206" s="105"/>
      <c r="E1206" s="105"/>
      <c r="F1206" s="634"/>
      <c r="G1206" s="634"/>
      <c r="H1206" s="634"/>
    </row>
    <row r="1207" spans="1:8" s="220" customFormat="1" ht="27" customHeight="1">
      <c r="A1207" s="178" t="str">
        <f>'3 - PLAN. ORÇAMENTÁRIA'!A209</f>
        <v>4.1.5.1.1.2</v>
      </c>
      <c r="B1207" s="242">
        <f>VLOOKUP(A1207,'3 - PLAN. ORÇAMENTÁRIA'!$A$16:$B$721,2,FALSE)</f>
        <v>94993</v>
      </c>
      <c r="C1207" s="631" t="str">
        <f>VLOOKUP(A1207,'3 - PLAN. ORÇAMENTÁRIA'!$A$16:$C$721,3,FALSE)</f>
        <v>EXECUÇÃO DE PISO DE CONCRETO COM CONCRETO MOLDADO IN LOCO, USINADO, ACABAMENTO CONVENCIONAL, ESPESSURA 6 CM, ARMADO. AF_08/2022</v>
      </c>
      <c r="D1207" s="632"/>
      <c r="E1207" s="632"/>
      <c r="F1207" s="632"/>
      <c r="G1207" s="633"/>
      <c r="H1207" s="493" t="str">
        <f>VLOOKUP(A1207,'3 - PLAN. ORÇAMENTÁRIA'!$A$17:$E$721,5,FALSE)</f>
        <v>M2</v>
      </c>
    </row>
    <row r="1208" spans="1:8">
      <c r="B1208" s="628" t="s">
        <v>593</v>
      </c>
      <c r="C1208" s="628"/>
      <c r="D1208" s="103" t="s">
        <v>579</v>
      </c>
      <c r="E1208" s="103" t="s">
        <v>580</v>
      </c>
      <c r="F1208" s="103" t="s">
        <v>581</v>
      </c>
      <c r="G1208" s="103" t="s">
        <v>582</v>
      </c>
      <c r="H1208" s="103" t="s">
        <v>583</v>
      </c>
    </row>
    <row r="1209" spans="1:8" ht="25.5">
      <c r="B1209" s="130" t="s">
        <v>1523</v>
      </c>
      <c r="C1209" s="229" t="s">
        <v>1524</v>
      </c>
      <c r="D1209" s="130" t="s">
        <v>119</v>
      </c>
      <c r="E1209" s="130" t="s">
        <v>167</v>
      </c>
      <c r="F1209" s="230">
        <v>7.3899999999999993E-2</v>
      </c>
      <c r="G1209" s="494">
        <v>470</v>
      </c>
      <c r="H1209" s="494">
        <v>34.729999999999997</v>
      </c>
    </row>
    <row r="1210" spans="1:8">
      <c r="B1210" s="130" t="s">
        <v>1333</v>
      </c>
      <c r="C1210" s="229" t="s">
        <v>1334</v>
      </c>
      <c r="D1210" s="130" t="s">
        <v>119</v>
      </c>
      <c r="E1210" s="130" t="s">
        <v>200</v>
      </c>
      <c r="F1210" s="230">
        <v>2.4E-2</v>
      </c>
      <c r="G1210" s="494">
        <v>18.72</v>
      </c>
      <c r="H1210" s="494">
        <v>0.45</v>
      </c>
    </row>
    <row r="1211" spans="1:8">
      <c r="B1211" s="130" t="s">
        <v>1397</v>
      </c>
      <c r="C1211" s="229" t="s">
        <v>1398</v>
      </c>
      <c r="D1211" s="130" t="s">
        <v>119</v>
      </c>
      <c r="E1211" s="130" t="s">
        <v>173</v>
      </c>
      <c r="F1211" s="230">
        <v>0.45</v>
      </c>
      <c r="G1211" s="494">
        <v>2.72</v>
      </c>
      <c r="H1211" s="494">
        <v>1.22</v>
      </c>
    </row>
    <row r="1212" spans="1:8" ht="25.5">
      <c r="B1212" s="130" t="s">
        <v>1431</v>
      </c>
      <c r="C1212" s="229" t="s">
        <v>1222</v>
      </c>
      <c r="D1212" s="130" t="s">
        <v>119</v>
      </c>
      <c r="E1212" s="130" t="s">
        <v>139</v>
      </c>
      <c r="F1212" s="230">
        <v>1.0815999999999999</v>
      </c>
      <c r="G1212" s="494">
        <v>27.68</v>
      </c>
      <c r="H1212" s="494">
        <v>29.94</v>
      </c>
    </row>
    <row r="1213" spans="1:8">
      <c r="B1213" s="105"/>
      <c r="C1213" s="105"/>
      <c r="D1213" s="105"/>
      <c r="E1213" s="105"/>
      <c r="F1213" s="629" t="s">
        <v>604</v>
      </c>
      <c r="G1213" s="629"/>
      <c r="H1213" s="495">
        <v>66.34</v>
      </c>
    </row>
    <row r="1214" spans="1:8" ht="12.75" customHeight="1">
      <c r="B1214" s="628" t="s">
        <v>607</v>
      </c>
      <c r="C1214" s="628"/>
      <c r="D1214" s="103" t="s">
        <v>579</v>
      </c>
      <c r="E1214" s="103" t="s">
        <v>580</v>
      </c>
      <c r="F1214" s="103" t="s">
        <v>581</v>
      </c>
      <c r="G1214" s="103" t="s">
        <v>582</v>
      </c>
      <c r="H1214" s="103" t="s">
        <v>583</v>
      </c>
    </row>
    <row r="1215" spans="1:8">
      <c r="B1215" s="130" t="s">
        <v>1316</v>
      </c>
      <c r="C1215" s="229" t="s">
        <v>618</v>
      </c>
      <c r="D1215" s="130" t="s">
        <v>119</v>
      </c>
      <c r="E1215" s="130" t="s">
        <v>121</v>
      </c>
      <c r="F1215" s="230">
        <v>9.7600000000000006E-2</v>
      </c>
      <c r="G1215" s="494">
        <v>30.91</v>
      </c>
      <c r="H1215" s="494">
        <v>3.02</v>
      </c>
    </row>
    <row r="1216" spans="1:8">
      <c r="B1216" s="130" t="s">
        <v>639</v>
      </c>
      <c r="C1216" s="229" t="s">
        <v>640</v>
      </c>
      <c r="D1216" s="130" t="s">
        <v>119</v>
      </c>
      <c r="E1216" s="130" t="s">
        <v>121</v>
      </c>
      <c r="F1216" s="230">
        <v>7.2700000000000001E-2</v>
      </c>
      <c r="G1216" s="494">
        <v>31.34</v>
      </c>
      <c r="H1216" s="494">
        <v>2.2799999999999998</v>
      </c>
    </row>
    <row r="1217" spans="1:8">
      <c r="B1217" s="130" t="s">
        <v>625</v>
      </c>
      <c r="C1217" s="229" t="s">
        <v>626</v>
      </c>
      <c r="D1217" s="130" t="s">
        <v>119</v>
      </c>
      <c r="E1217" s="130" t="s">
        <v>121</v>
      </c>
      <c r="F1217" s="230">
        <v>0.1704</v>
      </c>
      <c r="G1217" s="494">
        <v>23.75</v>
      </c>
      <c r="H1217" s="494">
        <v>4.05</v>
      </c>
    </row>
    <row r="1218" spans="1:8" ht="12.75" customHeight="1">
      <c r="B1218" s="105"/>
      <c r="C1218" s="105"/>
      <c r="D1218" s="105"/>
      <c r="E1218" s="105"/>
      <c r="F1218" s="629" t="s">
        <v>610</v>
      </c>
      <c r="G1218" s="629"/>
      <c r="H1218" s="495">
        <v>9.35</v>
      </c>
    </row>
    <row r="1219" spans="1:8" ht="12.75" customHeight="1">
      <c r="B1219" s="105"/>
      <c r="C1219" s="105"/>
      <c r="D1219" s="105"/>
      <c r="E1219" s="105"/>
      <c r="F1219" s="630" t="s">
        <v>464</v>
      </c>
      <c r="G1219" s="630"/>
      <c r="H1219" s="102">
        <v>75.64</v>
      </c>
    </row>
    <row r="1220" spans="1:8">
      <c r="B1220" s="105"/>
      <c r="C1220" s="105"/>
      <c r="D1220" s="105"/>
      <c r="E1220" s="105"/>
      <c r="F1220" s="634"/>
      <c r="G1220" s="634"/>
      <c r="H1220" s="634"/>
    </row>
    <row r="1221" spans="1:8" s="220" customFormat="1" ht="27" customHeight="1">
      <c r="A1221" s="178" t="str">
        <f>'3 - PLAN. ORÇAMENTÁRIA'!A210</f>
        <v>4.1.5.1.1.3</v>
      </c>
      <c r="B1221" s="242">
        <f>VLOOKUP(A1221,'3 - PLAN. ORÇAMENTÁRIA'!$A$16:$B$721,2,FALSE)</f>
        <v>87749</v>
      </c>
      <c r="C1221" s="631" t="str">
        <f>VLOOKUP(A1221,'3 - PLAN. ORÇAMENTÁRIA'!$A$16:$C$721,3,FALSE)</f>
        <v>CONTRAPISO (REGULARIZAÇÃO) EM ARGAMASSA PRONTA, PREPARO MANUAL, APLICADO EM ÁREAS MOLHADAS SOBRE LAJE, ADERIDO, ACABAMENTO NÃO REFORÇADO, ESPESSURA 3CM. AF_07/2021</v>
      </c>
      <c r="D1221" s="632"/>
      <c r="E1221" s="632"/>
      <c r="F1221" s="632"/>
      <c r="G1221" s="633"/>
      <c r="H1221" s="493" t="str">
        <f>VLOOKUP(A1221,'3 - PLAN. ORÇAMENTÁRIA'!$A$17:$E$721,5,FALSE)</f>
        <v>M2</v>
      </c>
    </row>
    <row r="1222" spans="1:8">
      <c r="B1222" s="628" t="s">
        <v>593</v>
      </c>
      <c r="C1222" s="628"/>
      <c r="D1222" s="103" t="s">
        <v>579</v>
      </c>
      <c r="E1222" s="103" t="s">
        <v>580</v>
      </c>
      <c r="F1222" s="103" t="s">
        <v>581</v>
      </c>
      <c r="G1222" s="103" t="s">
        <v>582</v>
      </c>
      <c r="H1222" s="103" t="s">
        <v>583</v>
      </c>
    </row>
    <row r="1223" spans="1:8">
      <c r="B1223" s="130" t="s">
        <v>1432</v>
      </c>
      <c r="C1223" s="229" t="s">
        <v>1433</v>
      </c>
      <c r="D1223" s="130" t="s">
        <v>119</v>
      </c>
      <c r="E1223" s="130" t="s">
        <v>107</v>
      </c>
      <c r="F1223" s="230">
        <v>0.21</v>
      </c>
      <c r="G1223" s="494">
        <v>14.97</v>
      </c>
      <c r="H1223" s="494">
        <v>3.14</v>
      </c>
    </row>
    <row r="1224" spans="1:8">
      <c r="B1224" s="130" t="s">
        <v>646</v>
      </c>
      <c r="C1224" s="229" t="s">
        <v>647</v>
      </c>
      <c r="D1224" s="130" t="s">
        <v>119</v>
      </c>
      <c r="E1224" s="130" t="s">
        <v>200</v>
      </c>
      <c r="F1224" s="230">
        <v>0.5</v>
      </c>
      <c r="G1224" s="494">
        <v>0.65</v>
      </c>
      <c r="H1224" s="494">
        <v>0.33</v>
      </c>
    </row>
    <row r="1225" spans="1:8">
      <c r="B1225" s="105"/>
      <c r="C1225" s="105"/>
      <c r="D1225" s="105"/>
      <c r="E1225" s="105"/>
      <c r="F1225" s="629" t="s">
        <v>604</v>
      </c>
      <c r="G1225" s="629"/>
      <c r="H1225" s="495">
        <v>3.47</v>
      </c>
    </row>
    <row r="1226" spans="1:8" ht="12.75" customHeight="1">
      <c r="B1226" s="628" t="s">
        <v>607</v>
      </c>
      <c r="C1226" s="628"/>
      <c r="D1226" s="103" t="s">
        <v>579</v>
      </c>
      <c r="E1226" s="103" t="s">
        <v>580</v>
      </c>
      <c r="F1226" s="103" t="s">
        <v>581</v>
      </c>
      <c r="G1226" s="103" t="s">
        <v>582</v>
      </c>
      <c r="H1226" s="103" t="s">
        <v>583</v>
      </c>
    </row>
    <row r="1227" spans="1:8">
      <c r="B1227" s="130" t="s">
        <v>639</v>
      </c>
      <c r="C1227" s="229" t="s">
        <v>640</v>
      </c>
      <c r="D1227" s="130" t="s">
        <v>119</v>
      </c>
      <c r="E1227" s="130" t="s">
        <v>121</v>
      </c>
      <c r="F1227" s="230">
        <v>0.56100000000000005</v>
      </c>
      <c r="G1227" s="494">
        <v>31.34</v>
      </c>
      <c r="H1227" s="494">
        <v>17.579999999999998</v>
      </c>
    </row>
    <row r="1228" spans="1:8">
      <c r="B1228" s="130" t="s">
        <v>625</v>
      </c>
      <c r="C1228" s="229" t="s">
        <v>626</v>
      </c>
      <c r="D1228" s="130" t="s">
        <v>119</v>
      </c>
      <c r="E1228" s="130" t="s">
        <v>121</v>
      </c>
      <c r="F1228" s="230">
        <v>0.28000000000000003</v>
      </c>
      <c r="G1228" s="494">
        <v>23.75</v>
      </c>
      <c r="H1228" s="494">
        <v>6.65</v>
      </c>
    </row>
    <row r="1229" spans="1:8" ht="12.75" customHeight="1">
      <c r="B1229" s="105"/>
      <c r="C1229" s="105"/>
      <c r="D1229" s="105"/>
      <c r="E1229" s="105"/>
      <c r="F1229" s="629" t="s">
        <v>610</v>
      </c>
      <c r="G1229" s="629"/>
      <c r="H1229" s="495">
        <v>24.23</v>
      </c>
    </row>
    <row r="1230" spans="1:8">
      <c r="B1230" s="628" t="s">
        <v>586</v>
      </c>
      <c r="C1230" s="628"/>
      <c r="D1230" s="103" t="s">
        <v>579</v>
      </c>
      <c r="E1230" s="103" t="s">
        <v>580</v>
      </c>
      <c r="F1230" s="103" t="s">
        <v>581</v>
      </c>
      <c r="G1230" s="103" t="s">
        <v>582</v>
      </c>
      <c r="H1230" s="103" t="s">
        <v>583</v>
      </c>
    </row>
    <row r="1231" spans="1:8">
      <c r="B1231" s="130" t="s">
        <v>1434</v>
      </c>
      <c r="C1231" s="229" t="s">
        <v>1435</v>
      </c>
      <c r="D1231" s="130" t="s">
        <v>119</v>
      </c>
      <c r="E1231" s="130" t="s">
        <v>167</v>
      </c>
      <c r="F1231" s="230">
        <v>4.3099999999999999E-2</v>
      </c>
      <c r="G1231" s="494">
        <v>1938.33</v>
      </c>
      <c r="H1231" s="494">
        <v>83.54</v>
      </c>
    </row>
    <row r="1232" spans="1:8">
      <c r="B1232" s="105"/>
      <c r="C1232" s="105"/>
      <c r="D1232" s="105"/>
      <c r="E1232" s="105"/>
      <c r="F1232" s="629" t="s">
        <v>587</v>
      </c>
      <c r="G1232" s="629"/>
      <c r="H1232" s="495">
        <v>83.54</v>
      </c>
    </row>
    <row r="1233" spans="1:8" ht="12.75" customHeight="1">
      <c r="B1233" s="105"/>
      <c r="C1233" s="105"/>
      <c r="D1233" s="105"/>
      <c r="E1233" s="105"/>
      <c r="F1233" s="630" t="s">
        <v>464</v>
      </c>
      <c r="G1233" s="630"/>
      <c r="H1233" s="102">
        <v>111.23</v>
      </c>
    </row>
    <row r="1234" spans="1:8">
      <c r="B1234" s="105"/>
      <c r="C1234" s="105"/>
      <c r="D1234" s="105"/>
      <c r="E1234" s="105"/>
      <c r="F1234" s="634"/>
      <c r="G1234" s="634"/>
      <c r="H1234" s="634"/>
    </row>
    <row r="1235" spans="1:8" ht="24.75" customHeight="1">
      <c r="A1235" s="178" t="str">
        <f>'3 - PLAN. ORÇAMENTÁRIA'!A211</f>
        <v>4.1.5.1.1.4</v>
      </c>
      <c r="B1235" s="242">
        <f>VLOOKUP(A1235,'3 - PLAN. ORÇAMENTÁRIA'!$A$16:$B$721,2,FALSE)</f>
        <v>87644</v>
      </c>
      <c r="C1235" s="631" t="str">
        <f>VLOOKUP(A1235,'3 - PLAN. ORÇAMENTÁRIA'!$A$16:$C$721,3,FALSE)</f>
        <v>CONTRAPISO (REGULARIZAÇÃO) EM ARGAMASSA PRONTA, PREPARO MANUAL, APLICADO EM ÁREAS SECAS SOBRE LAJE, ADERIDO, ACABAMENTO NÃO REFORÇADO, ESPESSURA 4CM. AF_07/2021</v>
      </c>
      <c r="D1235" s="632"/>
      <c r="E1235" s="632"/>
      <c r="F1235" s="632"/>
      <c r="G1235" s="633"/>
      <c r="H1235" s="493" t="str">
        <f>VLOOKUP(A1235,'3 - PLAN. ORÇAMENTÁRIA'!$A$17:$E$721,5,FALSE)</f>
        <v>M3</v>
      </c>
    </row>
    <row r="1236" spans="1:8">
      <c r="B1236" s="628" t="s">
        <v>593</v>
      </c>
      <c r="C1236" s="628"/>
      <c r="D1236" s="103" t="s">
        <v>579</v>
      </c>
      <c r="E1236" s="103" t="s">
        <v>580</v>
      </c>
      <c r="F1236" s="103" t="s">
        <v>581</v>
      </c>
      <c r="G1236" s="103" t="s">
        <v>582</v>
      </c>
      <c r="H1236" s="103" t="s">
        <v>583</v>
      </c>
    </row>
    <row r="1237" spans="1:8">
      <c r="B1237" s="130" t="s">
        <v>1432</v>
      </c>
      <c r="C1237" s="229" t="s">
        <v>1433</v>
      </c>
      <c r="D1237" s="130" t="s">
        <v>119</v>
      </c>
      <c r="E1237" s="130" t="s">
        <v>107</v>
      </c>
      <c r="F1237" s="230">
        <v>0.21</v>
      </c>
      <c r="G1237" s="494">
        <v>14.97</v>
      </c>
      <c r="H1237" s="494">
        <v>3.14</v>
      </c>
    </row>
    <row r="1238" spans="1:8">
      <c r="B1238" s="130" t="s">
        <v>646</v>
      </c>
      <c r="C1238" s="229" t="s">
        <v>647</v>
      </c>
      <c r="D1238" s="130" t="s">
        <v>119</v>
      </c>
      <c r="E1238" s="130" t="s">
        <v>200</v>
      </c>
      <c r="F1238" s="230">
        <v>0.5</v>
      </c>
      <c r="G1238" s="494">
        <v>0.65</v>
      </c>
      <c r="H1238" s="494">
        <v>0.33</v>
      </c>
    </row>
    <row r="1239" spans="1:8">
      <c r="B1239" s="105"/>
      <c r="C1239" s="105"/>
      <c r="D1239" s="105"/>
      <c r="E1239" s="105"/>
      <c r="F1239" s="629" t="s">
        <v>604</v>
      </c>
      <c r="G1239" s="629"/>
      <c r="H1239" s="495">
        <v>3.47</v>
      </c>
    </row>
    <row r="1240" spans="1:8" ht="12.75" customHeight="1">
      <c r="B1240" s="628" t="s">
        <v>607</v>
      </c>
      <c r="C1240" s="628"/>
      <c r="D1240" s="103" t="s">
        <v>579</v>
      </c>
      <c r="E1240" s="103" t="s">
        <v>580</v>
      </c>
      <c r="F1240" s="103" t="s">
        <v>581</v>
      </c>
      <c r="G1240" s="103" t="s">
        <v>582</v>
      </c>
      <c r="H1240" s="103" t="s">
        <v>583</v>
      </c>
    </row>
    <row r="1241" spans="1:8">
      <c r="B1241" s="130" t="s">
        <v>639</v>
      </c>
      <c r="C1241" s="229" t="s">
        <v>640</v>
      </c>
      <c r="D1241" s="130" t="s">
        <v>119</v>
      </c>
      <c r="E1241" s="130" t="s">
        <v>121</v>
      </c>
      <c r="F1241" s="230">
        <v>0.27100000000000002</v>
      </c>
      <c r="G1241" s="494">
        <v>31.34</v>
      </c>
      <c r="H1241" s="494">
        <v>8.49</v>
      </c>
    </row>
    <row r="1242" spans="1:8">
      <c r="B1242" s="130" t="s">
        <v>625</v>
      </c>
      <c r="C1242" s="229" t="s">
        <v>626</v>
      </c>
      <c r="D1242" s="130" t="s">
        <v>119</v>
      </c>
      <c r="E1242" s="130" t="s">
        <v>121</v>
      </c>
      <c r="F1242" s="230">
        <v>0.13600000000000001</v>
      </c>
      <c r="G1242" s="494">
        <v>23.75</v>
      </c>
      <c r="H1242" s="494">
        <v>3.23</v>
      </c>
    </row>
    <row r="1243" spans="1:8" ht="12.75" customHeight="1">
      <c r="B1243" s="105"/>
      <c r="C1243" s="105"/>
      <c r="D1243" s="105"/>
      <c r="E1243" s="105"/>
      <c r="F1243" s="629" t="s">
        <v>610</v>
      </c>
      <c r="G1243" s="629"/>
      <c r="H1243" s="495">
        <v>11.72</v>
      </c>
    </row>
    <row r="1244" spans="1:8">
      <c r="B1244" s="628" t="s">
        <v>586</v>
      </c>
      <c r="C1244" s="628"/>
      <c r="D1244" s="103" t="s">
        <v>579</v>
      </c>
      <c r="E1244" s="103" t="s">
        <v>580</v>
      </c>
      <c r="F1244" s="103" t="s">
        <v>581</v>
      </c>
      <c r="G1244" s="103" t="s">
        <v>582</v>
      </c>
      <c r="H1244" s="103" t="s">
        <v>583</v>
      </c>
    </row>
    <row r="1245" spans="1:8">
      <c r="B1245" s="130" t="s">
        <v>1434</v>
      </c>
      <c r="C1245" s="229" t="s">
        <v>1435</v>
      </c>
      <c r="D1245" s="130" t="s">
        <v>119</v>
      </c>
      <c r="E1245" s="130" t="s">
        <v>167</v>
      </c>
      <c r="F1245" s="230">
        <v>5.2999999999999999E-2</v>
      </c>
      <c r="G1245" s="494">
        <v>1938.33</v>
      </c>
      <c r="H1245" s="494">
        <v>102.73</v>
      </c>
    </row>
    <row r="1246" spans="1:8">
      <c r="B1246" s="105"/>
      <c r="C1246" s="105"/>
      <c r="D1246" s="105"/>
      <c r="E1246" s="105"/>
      <c r="F1246" s="629" t="s">
        <v>587</v>
      </c>
      <c r="G1246" s="629"/>
      <c r="H1246" s="495">
        <v>102.73</v>
      </c>
    </row>
    <row r="1247" spans="1:8" ht="12.75" customHeight="1">
      <c r="B1247" s="105"/>
      <c r="C1247" s="105"/>
      <c r="D1247" s="105"/>
      <c r="E1247" s="105"/>
      <c r="F1247" s="630" t="s">
        <v>464</v>
      </c>
      <c r="G1247" s="630"/>
      <c r="H1247" s="102">
        <v>117.91</v>
      </c>
    </row>
    <row r="1248" spans="1:8">
      <c r="B1248" s="105"/>
      <c r="C1248" s="105"/>
      <c r="D1248" s="105"/>
      <c r="E1248" s="105"/>
      <c r="F1248" s="634"/>
      <c r="G1248" s="634"/>
      <c r="H1248" s="634"/>
    </row>
    <row r="1249" spans="1:8" s="220" customFormat="1" ht="27" customHeight="1">
      <c r="A1249" s="178" t="str">
        <f>'3 - PLAN. ORÇAMENTÁRIA'!A218</f>
        <v>4.1.5.1.2.5</v>
      </c>
      <c r="B1249" s="242">
        <f>VLOOKUP(A1249,'3 - PLAN. ORÇAMENTÁRIA'!$A$16:$B$721,2,FALSE)</f>
        <v>96542</v>
      </c>
      <c r="C1249" s="631" t="str">
        <f>VLOOKUP(A1249,'3 - PLAN. ORÇAMENTÁRIA'!$A$16:$C$721,3,FALSE)</f>
        <v>FABRICAÇÃO, MONTAGEM E DESMONTAGEM DE FÔRMA, EM CHAPA DE MADEIRA COMPENSADA RESINADA, E=17 MM, 4 UTILIZAÇÕES. AF_01/2024 (SÓCULOS)</v>
      </c>
      <c r="D1249" s="632"/>
      <c r="E1249" s="632"/>
      <c r="F1249" s="632"/>
      <c r="G1249" s="633"/>
      <c r="H1249" s="437" t="str">
        <f>VLOOKUP(A1249,'3 - PLAN. ORÇAMENTÁRIA'!$A$17:$E$721,5,FALSE)</f>
        <v>M2</v>
      </c>
    </row>
    <row r="1250" spans="1:8" ht="12.75" customHeight="1">
      <c r="B1250" s="628" t="s">
        <v>1301</v>
      </c>
      <c r="C1250" s="628"/>
      <c r="D1250" s="103" t="s">
        <v>579</v>
      </c>
      <c r="E1250" s="103" t="s">
        <v>580</v>
      </c>
      <c r="F1250" s="103" t="s">
        <v>581</v>
      </c>
      <c r="G1250" s="103" t="s">
        <v>582</v>
      </c>
      <c r="H1250" s="103" t="s">
        <v>583</v>
      </c>
    </row>
    <row r="1251" spans="1:8" ht="25.5">
      <c r="B1251" s="130" t="s">
        <v>1302</v>
      </c>
      <c r="C1251" s="229" t="s">
        <v>1303</v>
      </c>
      <c r="D1251" s="130" t="s">
        <v>119</v>
      </c>
      <c r="E1251" s="130" t="s">
        <v>1304</v>
      </c>
      <c r="F1251" s="230">
        <v>5.6000000000000001E-2</v>
      </c>
      <c r="G1251" s="494">
        <v>26.18</v>
      </c>
      <c r="H1251" s="494">
        <v>1.47</v>
      </c>
    </row>
    <row r="1252" spans="1:8" ht="25.5">
      <c r="B1252" s="130" t="s">
        <v>1305</v>
      </c>
      <c r="C1252" s="229" t="s">
        <v>1306</v>
      </c>
      <c r="D1252" s="130" t="s">
        <v>119</v>
      </c>
      <c r="E1252" s="130" t="s">
        <v>1307</v>
      </c>
      <c r="F1252" s="230">
        <v>1.4E-2</v>
      </c>
      <c r="G1252" s="494">
        <v>27.22</v>
      </c>
      <c r="H1252" s="494">
        <v>0.38</v>
      </c>
    </row>
    <row r="1253" spans="1:8" ht="12.75" customHeight="1">
      <c r="B1253" s="105"/>
      <c r="C1253" s="105"/>
      <c r="D1253" s="105"/>
      <c r="E1253" s="105"/>
      <c r="F1253" s="629" t="s">
        <v>1308</v>
      </c>
      <c r="G1253" s="629"/>
      <c r="H1253" s="495">
        <v>1.85</v>
      </c>
    </row>
    <row r="1254" spans="1:8" ht="12.75" customHeight="1">
      <c r="B1254" s="628" t="s">
        <v>593</v>
      </c>
      <c r="C1254" s="628"/>
      <c r="D1254" s="103" t="s">
        <v>579</v>
      </c>
      <c r="E1254" s="103" t="s">
        <v>580</v>
      </c>
      <c r="F1254" s="103" t="s">
        <v>581</v>
      </c>
      <c r="G1254" s="103" t="s">
        <v>582</v>
      </c>
      <c r="H1254" s="103" t="s">
        <v>583</v>
      </c>
    </row>
    <row r="1255" spans="1:8" ht="25.5">
      <c r="B1255" s="130" t="s">
        <v>641</v>
      </c>
      <c r="C1255" s="229" t="s">
        <v>642</v>
      </c>
      <c r="D1255" s="130" t="s">
        <v>119</v>
      </c>
      <c r="E1255" s="130" t="s">
        <v>139</v>
      </c>
      <c r="F1255" s="230">
        <v>0.315</v>
      </c>
      <c r="G1255" s="494">
        <v>38.04</v>
      </c>
      <c r="H1255" s="494">
        <v>11.98</v>
      </c>
    </row>
    <row r="1256" spans="1:8">
      <c r="B1256" s="130" t="s">
        <v>643</v>
      </c>
      <c r="C1256" s="229" t="s">
        <v>644</v>
      </c>
      <c r="D1256" s="130" t="s">
        <v>119</v>
      </c>
      <c r="E1256" s="130" t="s">
        <v>107</v>
      </c>
      <c r="F1256" s="230">
        <v>9.5499999999999995E-3</v>
      </c>
      <c r="G1256" s="494">
        <v>7.16</v>
      </c>
      <c r="H1256" s="494">
        <v>7.0000000000000007E-2</v>
      </c>
    </row>
    <row r="1257" spans="1:8" ht="12.75" customHeight="1">
      <c r="B1257" s="130" t="s">
        <v>1309</v>
      </c>
      <c r="C1257" s="229" t="s">
        <v>1310</v>
      </c>
      <c r="D1257" s="130" t="s">
        <v>119</v>
      </c>
      <c r="E1257" s="130" t="s">
        <v>173</v>
      </c>
      <c r="F1257" s="230">
        <v>1.218</v>
      </c>
      <c r="G1257" s="494">
        <v>7.78</v>
      </c>
      <c r="H1257" s="494">
        <v>9.48</v>
      </c>
    </row>
    <row r="1258" spans="1:8" ht="12.75" customHeight="1">
      <c r="B1258" s="130" t="s">
        <v>1391</v>
      </c>
      <c r="C1258" s="229" t="s">
        <v>1392</v>
      </c>
      <c r="D1258" s="130" t="s">
        <v>119</v>
      </c>
      <c r="E1258" s="130" t="s">
        <v>200</v>
      </c>
      <c r="F1258" s="230">
        <v>8.9999999999999993E-3</v>
      </c>
      <c r="G1258" s="494">
        <v>20.72</v>
      </c>
      <c r="H1258" s="494">
        <v>0.19</v>
      </c>
    </row>
    <row r="1259" spans="1:8">
      <c r="B1259" s="130" t="s">
        <v>1393</v>
      </c>
      <c r="C1259" s="229" t="s">
        <v>1394</v>
      </c>
      <c r="D1259" s="130" t="s">
        <v>119</v>
      </c>
      <c r="E1259" s="130" t="s">
        <v>200</v>
      </c>
      <c r="F1259" s="230">
        <v>8.0000000000000002E-3</v>
      </c>
      <c r="G1259" s="494">
        <v>19.079999999999998</v>
      </c>
      <c r="H1259" s="494">
        <v>0.15</v>
      </c>
    </row>
    <row r="1260" spans="1:8">
      <c r="B1260" s="130" t="s">
        <v>1395</v>
      </c>
      <c r="C1260" s="229" t="s">
        <v>1396</v>
      </c>
      <c r="D1260" s="130" t="s">
        <v>119</v>
      </c>
      <c r="E1260" s="130" t="s">
        <v>200</v>
      </c>
      <c r="F1260" s="230">
        <v>1.4999999999999999E-2</v>
      </c>
      <c r="G1260" s="494">
        <v>23.1</v>
      </c>
      <c r="H1260" s="494">
        <v>0.35</v>
      </c>
    </row>
    <row r="1261" spans="1:8">
      <c r="B1261" s="130" t="s">
        <v>1397</v>
      </c>
      <c r="C1261" s="229" t="s">
        <v>1398</v>
      </c>
      <c r="D1261" s="130" t="s">
        <v>119</v>
      </c>
      <c r="E1261" s="130" t="s">
        <v>173</v>
      </c>
      <c r="F1261" s="230">
        <v>0.72199999999999998</v>
      </c>
      <c r="G1261" s="494">
        <v>2.72</v>
      </c>
      <c r="H1261" s="494">
        <v>1.96</v>
      </c>
    </row>
    <row r="1262" spans="1:8">
      <c r="B1262" s="105"/>
      <c r="C1262" s="105"/>
      <c r="D1262" s="105"/>
      <c r="E1262" s="105"/>
      <c r="F1262" s="629" t="s">
        <v>604</v>
      </c>
      <c r="G1262" s="629"/>
      <c r="H1262" s="495">
        <v>24.18</v>
      </c>
    </row>
    <row r="1263" spans="1:8" ht="12.75" customHeight="1">
      <c r="B1263" s="628" t="s">
        <v>607</v>
      </c>
      <c r="C1263" s="628"/>
      <c r="D1263" s="103" t="s">
        <v>579</v>
      </c>
      <c r="E1263" s="103" t="s">
        <v>580</v>
      </c>
      <c r="F1263" s="103" t="s">
        <v>581</v>
      </c>
      <c r="G1263" s="103" t="s">
        <v>582</v>
      </c>
      <c r="H1263" s="103" t="s">
        <v>583</v>
      </c>
    </row>
    <row r="1264" spans="1:8">
      <c r="B1264" s="130" t="s">
        <v>1315</v>
      </c>
      <c r="C1264" s="229" t="s">
        <v>617</v>
      </c>
      <c r="D1264" s="130" t="s">
        <v>119</v>
      </c>
      <c r="E1264" s="130" t="s">
        <v>121</v>
      </c>
      <c r="F1264" s="230">
        <v>0.73099999999999998</v>
      </c>
      <c r="G1264" s="494">
        <v>24.4</v>
      </c>
      <c r="H1264" s="494">
        <v>17.84</v>
      </c>
    </row>
    <row r="1265" spans="1:8">
      <c r="B1265" s="130" t="s">
        <v>1316</v>
      </c>
      <c r="C1265" s="229" t="s">
        <v>618</v>
      </c>
      <c r="D1265" s="130" t="s">
        <v>119</v>
      </c>
      <c r="E1265" s="130" t="s">
        <v>121</v>
      </c>
      <c r="F1265" s="230">
        <v>1.718</v>
      </c>
      <c r="G1265" s="494">
        <v>30.91</v>
      </c>
      <c r="H1265" s="494">
        <v>53.1</v>
      </c>
    </row>
    <row r="1266" spans="1:8" ht="12.75" customHeight="1">
      <c r="B1266" s="105"/>
      <c r="C1266" s="105"/>
      <c r="D1266" s="105"/>
      <c r="E1266" s="105"/>
      <c r="F1266" s="629" t="s">
        <v>610</v>
      </c>
      <c r="G1266" s="629"/>
      <c r="H1266" s="495">
        <v>70.94</v>
      </c>
    </row>
    <row r="1267" spans="1:8" ht="12.75" customHeight="1">
      <c r="B1267" s="105"/>
      <c r="C1267" s="105"/>
      <c r="D1267" s="105"/>
      <c r="E1267" s="105"/>
      <c r="F1267" s="630" t="s">
        <v>464</v>
      </c>
      <c r="G1267" s="630"/>
      <c r="H1267" s="102">
        <v>96.91</v>
      </c>
    </row>
    <row r="1268" spans="1:8">
      <c r="B1268" s="105"/>
      <c r="C1268" s="105"/>
      <c r="D1268" s="105"/>
      <c r="E1268" s="105"/>
      <c r="F1268" s="634"/>
      <c r="G1268" s="634"/>
      <c r="H1268" s="634"/>
    </row>
    <row r="1269" spans="1:8" ht="29.25" customHeight="1">
      <c r="A1269" s="178" t="str">
        <f>'3 - PLAN. ORÇAMENTÁRIA'!A219</f>
        <v>4.1.5.1.2.6</v>
      </c>
      <c r="B1269" s="242">
        <f>VLOOKUP(A1269,'3 - PLAN. ORÇAMENTÁRIA'!$A$16:$B$721,2,FALSE)</f>
        <v>101159</v>
      </c>
      <c r="C1269" s="631" t="str">
        <f>VLOOKUP(A1269,'3 - PLAN. ORÇAMENTÁRIA'!$A$16:$C$721,3,FALSE)</f>
        <v>ALVENARIA DE VEDAÇÃO DE BLOCOS CERÂMICOS MACIÇOS DE 5X10X20CM (ESPESSURA 10CM) E ARGAMASSA DE ASSENTAMENTO COM PREPARO EM BETONEIRA. AF_05/2020 (SÓCULOS)</v>
      </c>
      <c r="D1269" s="632"/>
      <c r="E1269" s="632"/>
      <c r="F1269" s="632"/>
      <c r="G1269" s="633"/>
      <c r="H1269" s="273" t="str">
        <f>VLOOKUP(A1269,'3 - PLAN. ORÇAMENTÁRIA'!$A$17:$E$721,5,FALSE)</f>
        <v>M2</v>
      </c>
    </row>
    <row r="1270" spans="1:8">
      <c r="B1270" s="628" t="s">
        <v>593</v>
      </c>
      <c r="C1270" s="628"/>
      <c r="D1270" s="103" t="s">
        <v>579</v>
      </c>
      <c r="E1270" s="103" t="s">
        <v>580</v>
      </c>
      <c r="F1270" s="103" t="s">
        <v>581</v>
      </c>
      <c r="G1270" s="103" t="s">
        <v>582</v>
      </c>
      <c r="H1270" s="103" t="s">
        <v>583</v>
      </c>
    </row>
    <row r="1271" spans="1:8">
      <c r="B1271" s="130" t="s">
        <v>1472</v>
      </c>
      <c r="C1271" s="229" t="s">
        <v>1473</v>
      </c>
      <c r="D1271" s="130" t="s">
        <v>119</v>
      </c>
      <c r="E1271" s="130" t="s">
        <v>144</v>
      </c>
      <c r="F1271" s="230">
        <v>73.489999999999995</v>
      </c>
      <c r="G1271" s="494">
        <v>0.61</v>
      </c>
      <c r="H1271" s="494">
        <v>44.83</v>
      </c>
    </row>
    <row r="1272" spans="1:8">
      <c r="B1272" s="105"/>
      <c r="C1272" s="105"/>
      <c r="D1272" s="105"/>
      <c r="E1272" s="105"/>
      <c r="F1272" s="629" t="s">
        <v>604</v>
      </c>
      <c r="G1272" s="629"/>
      <c r="H1272" s="495">
        <v>44.83</v>
      </c>
    </row>
    <row r="1273" spans="1:8" ht="12.75" customHeight="1">
      <c r="B1273" s="628" t="s">
        <v>607</v>
      </c>
      <c r="C1273" s="628"/>
      <c r="D1273" s="103" t="s">
        <v>579</v>
      </c>
      <c r="E1273" s="103" t="s">
        <v>580</v>
      </c>
      <c r="F1273" s="103" t="s">
        <v>581</v>
      </c>
      <c r="G1273" s="103" t="s">
        <v>582</v>
      </c>
      <c r="H1273" s="103" t="s">
        <v>583</v>
      </c>
    </row>
    <row r="1274" spans="1:8">
      <c r="B1274" s="130" t="s">
        <v>639</v>
      </c>
      <c r="C1274" s="229" t="s">
        <v>640</v>
      </c>
      <c r="D1274" s="130" t="s">
        <v>119</v>
      </c>
      <c r="E1274" s="130" t="s">
        <v>121</v>
      </c>
      <c r="F1274" s="230">
        <v>1.9390000000000001</v>
      </c>
      <c r="G1274" s="494">
        <v>31.34</v>
      </c>
      <c r="H1274" s="494">
        <v>60.77</v>
      </c>
    </row>
    <row r="1275" spans="1:8">
      <c r="B1275" s="130" t="s">
        <v>625</v>
      </c>
      <c r="C1275" s="229" t="s">
        <v>626</v>
      </c>
      <c r="D1275" s="130" t="s">
        <v>119</v>
      </c>
      <c r="E1275" s="130" t="s">
        <v>121</v>
      </c>
      <c r="F1275" s="230">
        <v>0.97</v>
      </c>
      <c r="G1275" s="494">
        <v>23.75</v>
      </c>
      <c r="H1275" s="494">
        <v>23.04</v>
      </c>
    </row>
    <row r="1276" spans="1:8" ht="12.75" customHeight="1">
      <c r="B1276" s="105"/>
      <c r="C1276" s="105"/>
      <c r="D1276" s="105"/>
      <c r="E1276" s="105"/>
      <c r="F1276" s="629" t="s">
        <v>610</v>
      </c>
      <c r="G1276" s="629"/>
      <c r="H1276" s="495">
        <v>83.81</v>
      </c>
    </row>
    <row r="1277" spans="1:8">
      <c r="B1277" s="628" t="s">
        <v>586</v>
      </c>
      <c r="C1277" s="628"/>
      <c r="D1277" s="103" t="s">
        <v>579</v>
      </c>
      <c r="E1277" s="103" t="s">
        <v>580</v>
      </c>
      <c r="F1277" s="103" t="s">
        <v>581</v>
      </c>
      <c r="G1277" s="103" t="s">
        <v>582</v>
      </c>
      <c r="H1277" s="103" t="s">
        <v>583</v>
      </c>
    </row>
    <row r="1278" spans="1:8" ht="38.25">
      <c r="B1278" s="130" t="s">
        <v>1460</v>
      </c>
      <c r="C1278" s="229" t="s">
        <v>1461</v>
      </c>
      <c r="D1278" s="130" t="s">
        <v>119</v>
      </c>
      <c r="E1278" s="130" t="s">
        <v>167</v>
      </c>
      <c r="F1278" s="230">
        <v>2.8000000000000001E-2</v>
      </c>
      <c r="G1278" s="494">
        <v>627.42999999999995</v>
      </c>
      <c r="H1278" s="494">
        <v>17.57</v>
      </c>
    </row>
    <row r="1279" spans="1:8">
      <c r="B1279" s="105"/>
      <c r="C1279" s="105"/>
      <c r="D1279" s="105"/>
      <c r="E1279" s="105"/>
      <c r="F1279" s="629" t="s">
        <v>587</v>
      </c>
      <c r="G1279" s="629"/>
      <c r="H1279" s="495">
        <v>17.57</v>
      </c>
    </row>
    <row r="1280" spans="1:8" ht="12.75" customHeight="1">
      <c r="B1280" s="105"/>
      <c r="C1280" s="105"/>
      <c r="D1280" s="105"/>
      <c r="E1280" s="105"/>
      <c r="F1280" s="630" t="s">
        <v>464</v>
      </c>
      <c r="G1280" s="630"/>
      <c r="H1280" s="102">
        <v>146.21</v>
      </c>
    </row>
    <row r="1281" spans="1:8">
      <c r="B1281" s="105"/>
      <c r="C1281" s="105"/>
      <c r="D1281" s="105"/>
      <c r="E1281" s="105"/>
      <c r="F1281" s="269"/>
      <c r="G1281" s="269"/>
      <c r="H1281" s="269"/>
    </row>
    <row r="1282" spans="1:8" s="220" customFormat="1" ht="27" customHeight="1">
      <c r="A1282" s="178" t="str">
        <f>'3 - PLAN. ORÇAMENTÁRIA'!A226</f>
        <v>4.1.5.2.1.1</v>
      </c>
      <c r="B1282" s="242">
        <f>VLOOKUP(A1282,'3 - PLAN. ORÇAMENTÁRIA'!$A$16:$B$721,2,FALSE)</f>
        <v>87879</v>
      </c>
      <c r="C1282" s="631" t="str">
        <f>VLOOKUP(A1282,'3 - PLAN. ORÇAMENTÁRIA'!$A$16:$C$721,3,FALSE)</f>
        <v>CHAPISCO APLICADO EM ALVENARIAS E ESTRUTURAS DE CONCRETO INTERNAS, COM COLHER DE PEDREIRO. ARGAMASSA TRAÇO 1:3 COM PREPARO EM BETONEIRA 400L. AF_10/2022 (INTERNO)</v>
      </c>
      <c r="D1282" s="632"/>
      <c r="E1282" s="632"/>
      <c r="F1282" s="632"/>
      <c r="G1282" s="633"/>
      <c r="H1282" s="131" t="str">
        <f>VLOOKUP(A1282,'3 - PLAN. ORÇAMENTÁRIA'!$A$17:$E$721,5,FALSE)</f>
        <v>M2</v>
      </c>
    </row>
    <row r="1283" spans="1:8" ht="12.75" customHeight="1">
      <c r="B1283" s="628" t="s">
        <v>607</v>
      </c>
      <c r="C1283" s="628"/>
      <c r="D1283" s="103" t="s">
        <v>579</v>
      </c>
      <c r="E1283" s="103" t="s">
        <v>580</v>
      </c>
      <c r="F1283" s="103" t="s">
        <v>581</v>
      </c>
      <c r="G1283" s="103" t="s">
        <v>582</v>
      </c>
      <c r="H1283" s="103" t="s">
        <v>583</v>
      </c>
    </row>
    <row r="1284" spans="1:8">
      <c r="B1284" s="130" t="s">
        <v>639</v>
      </c>
      <c r="C1284" s="229" t="s">
        <v>640</v>
      </c>
      <c r="D1284" s="130" t="s">
        <v>119</v>
      </c>
      <c r="E1284" s="130" t="s">
        <v>121</v>
      </c>
      <c r="F1284" s="230">
        <v>6.8099999999999994E-2</v>
      </c>
      <c r="G1284" s="494">
        <v>31.34</v>
      </c>
      <c r="H1284" s="494">
        <v>2.13</v>
      </c>
    </row>
    <row r="1285" spans="1:8">
      <c r="B1285" s="130" t="s">
        <v>625</v>
      </c>
      <c r="C1285" s="229" t="s">
        <v>626</v>
      </c>
      <c r="D1285" s="130" t="s">
        <v>119</v>
      </c>
      <c r="E1285" s="130" t="s">
        <v>121</v>
      </c>
      <c r="F1285" s="230">
        <v>2.5499999999999998E-2</v>
      </c>
      <c r="G1285" s="494">
        <v>23.75</v>
      </c>
      <c r="H1285" s="494">
        <v>0.61</v>
      </c>
    </row>
    <row r="1286" spans="1:8" ht="12.75" customHeight="1">
      <c r="B1286" s="105"/>
      <c r="C1286" s="105"/>
      <c r="D1286" s="105"/>
      <c r="E1286" s="105"/>
      <c r="F1286" s="629" t="s">
        <v>610</v>
      </c>
      <c r="G1286" s="629"/>
      <c r="H1286" s="495">
        <v>2.74</v>
      </c>
    </row>
    <row r="1287" spans="1:8">
      <c r="B1287" s="628" t="s">
        <v>586</v>
      </c>
      <c r="C1287" s="628"/>
      <c r="D1287" s="103" t="s">
        <v>579</v>
      </c>
      <c r="E1287" s="103" t="s">
        <v>580</v>
      </c>
      <c r="F1287" s="103" t="s">
        <v>581</v>
      </c>
      <c r="G1287" s="103" t="s">
        <v>582</v>
      </c>
      <c r="H1287" s="103" t="s">
        <v>583</v>
      </c>
    </row>
    <row r="1288" spans="1:8" ht="25.5">
      <c r="B1288" s="130" t="s">
        <v>4019</v>
      </c>
      <c r="C1288" s="229" t="s">
        <v>3974</v>
      </c>
      <c r="D1288" s="130" t="s">
        <v>119</v>
      </c>
      <c r="E1288" s="130" t="s">
        <v>167</v>
      </c>
      <c r="F1288" s="230">
        <v>3.7000000000000002E-3</v>
      </c>
      <c r="G1288" s="494">
        <v>589.76</v>
      </c>
      <c r="H1288" s="494">
        <v>2.1800000000000002</v>
      </c>
    </row>
    <row r="1289" spans="1:8">
      <c r="B1289" s="105"/>
      <c r="C1289" s="105"/>
      <c r="D1289" s="105"/>
      <c r="E1289" s="105"/>
      <c r="F1289" s="629" t="s">
        <v>587</v>
      </c>
      <c r="G1289" s="629"/>
      <c r="H1289" s="495">
        <v>2.1800000000000002</v>
      </c>
    </row>
    <row r="1290" spans="1:8" ht="12.75" customHeight="1">
      <c r="B1290" s="105"/>
      <c r="C1290" s="105"/>
      <c r="D1290" s="105"/>
      <c r="E1290" s="105"/>
      <c r="F1290" s="630" t="s">
        <v>464</v>
      </c>
      <c r="G1290" s="630"/>
      <c r="H1290" s="102">
        <v>4.91</v>
      </c>
    </row>
    <row r="1291" spans="1:8">
      <c r="B1291" s="105"/>
      <c r="C1291" s="105"/>
      <c r="D1291" s="105"/>
      <c r="E1291" s="105"/>
      <c r="F1291" s="634"/>
      <c r="G1291" s="634"/>
      <c r="H1291" s="634"/>
    </row>
    <row r="1292" spans="1:8" s="220" customFormat="1" ht="27" customHeight="1">
      <c r="A1292" s="178" t="str">
        <f>'3 - PLAN. ORÇAMENTÁRIA'!A229</f>
        <v>4.1.5.2.1.4</v>
      </c>
      <c r="B1292" s="242">
        <f>VLOOKUP(A1292,'3 - PLAN. ORÇAMENTÁRIA'!$A$16:$B$721,2,FALSE)</f>
        <v>87547</v>
      </c>
      <c r="C1292" s="631" t="str">
        <f>VLOOKUP(A1292,'3 - PLAN. ORÇAMENTÁRIA'!$A$16:$C$721,3,FALSE)</f>
        <v>REBOCO, EM ARGAMASSA TRAÇO 1:2:8, PREPARO MECÂNICO, APLICADA MANUALMENTE EM PAREDES INTERNAS DE AMBIENTES COM ÁREA MENOR OU IGUAL A 10M², E = 10MM, COM TALISCAS. AF_03/2024</v>
      </c>
      <c r="D1292" s="632"/>
      <c r="E1292" s="632"/>
      <c r="F1292" s="632"/>
      <c r="G1292" s="633"/>
      <c r="H1292" s="131" t="str">
        <f>VLOOKUP(A1292,'3 - PLAN. ORÇAMENTÁRIA'!$A$17:$E$721,5,FALSE)</f>
        <v>M2</v>
      </c>
    </row>
    <row r="1293" spans="1:8" ht="12.75" customHeight="1">
      <c r="B1293" s="628" t="s">
        <v>607</v>
      </c>
      <c r="C1293" s="628"/>
      <c r="D1293" s="103" t="s">
        <v>579</v>
      </c>
      <c r="E1293" s="103" t="s">
        <v>580</v>
      </c>
      <c r="F1293" s="103" t="s">
        <v>581</v>
      </c>
      <c r="G1293" s="103" t="s">
        <v>582</v>
      </c>
      <c r="H1293" s="103" t="s">
        <v>583</v>
      </c>
    </row>
    <row r="1294" spans="1:8">
      <c r="B1294" s="130" t="s">
        <v>639</v>
      </c>
      <c r="C1294" s="229" t="s">
        <v>640</v>
      </c>
      <c r="D1294" s="130" t="s">
        <v>119</v>
      </c>
      <c r="E1294" s="130" t="s">
        <v>121</v>
      </c>
      <c r="F1294" s="230">
        <v>0.37890000000000001</v>
      </c>
      <c r="G1294" s="497">
        <v>31.34</v>
      </c>
      <c r="H1294" s="497">
        <v>11.87</v>
      </c>
    </row>
    <row r="1295" spans="1:8">
      <c r="B1295" s="130" t="s">
        <v>625</v>
      </c>
      <c r="C1295" s="229" t="s">
        <v>626</v>
      </c>
      <c r="D1295" s="130" t="s">
        <v>119</v>
      </c>
      <c r="E1295" s="130" t="s">
        <v>121</v>
      </c>
      <c r="F1295" s="230">
        <v>0.18940000000000001</v>
      </c>
      <c r="G1295" s="497">
        <v>23.75</v>
      </c>
      <c r="H1295" s="497">
        <v>4.5</v>
      </c>
    </row>
    <row r="1296" spans="1:8" ht="12.75" customHeight="1">
      <c r="B1296" s="105"/>
      <c r="C1296" s="105"/>
      <c r="D1296" s="105"/>
      <c r="E1296" s="105"/>
      <c r="F1296" s="629" t="s">
        <v>610</v>
      </c>
      <c r="G1296" s="629"/>
      <c r="H1296" s="498">
        <v>16.37</v>
      </c>
    </row>
    <row r="1297" spans="1:8">
      <c r="B1297" s="628" t="s">
        <v>586</v>
      </c>
      <c r="C1297" s="628"/>
      <c r="D1297" s="103" t="s">
        <v>579</v>
      </c>
      <c r="E1297" s="103" t="s">
        <v>580</v>
      </c>
      <c r="F1297" s="103" t="s">
        <v>581</v>
      </c>
      <c r="G1297" s="103" t="s">
        <v>582</v>
      </c>
      <c r="H1297" s="103" t="s">
        <v>583</v>
      </c>
    </row>
    <row r="1298" spans="1:8" ht="38.25">
      <c r="B1298" s="130">
        <v>87292</v>
      </c>
      <c r="C1298" s="229" t="s">
        <v>1461</v>
      </c>
      <c r="D1298" s="130" t="s">
        <v>119</v>
      </c>
      <c r="E1298" s="130" t="s">
        <v>167</v>
      </c>
      <c r="F1298" s="230">
        <v>1.9400000000000001E-2</v>
      </c>
      <c r="G1298" s="497">
        <v>627.42999999999995</v>
      </c>
      <c r="H1298" s="497">
        <v>12.17</v>
      </c>
    </row>
    <row r="1299" spans="1:8">
      <c r="B1299" s="105"/>
      <c r="C1299" s="105"/>
      <c r="D1299" s="105"/>
      <c r="E1299" s="105"/>
      <c r="F1299" s="629" t="s">
        <v>587</v>
      </c>
      <c r="G1299" s="629"/>
      <c r="H1299" s="498">
        <v>12.17</v>
      </c>
    </row>
    <row r="1300" spans="1:8" ht="12.75" customHeight="1">
      <c r="B1300" s="105"/>
      <c r="C1300" s="105"/>
      <c r="D1300" s="105"/>
      <c r="E1300" s="105"/>
      <c r="F1300" s="630" t="s">
        <v>464</v>
      </c>
      <c r="G1300" s="630"/>
      <c r="H1300" s="102">
        <v>28.54</v>
      </c>
    </row>
    <row r="1301" spans="1:8">
      <c r="B1301" s="105"/>
      <c r="C1301" s="105"/>
      <c r="D1301" s="105"/>
      <c r="E1301" s="105"/>
      <c r="F1301" s="634"/>
      <c r="G1301" s="634"/>
      <c r="H1301" s="634"/>
    </row>
    <row r="1302" spans="1:8" s="220" customFormat="1" ht="27" customHeight="1">
      <c r="A1302" s="178" t="str">
        <f>'3 - PLAN. ORÇAMENTÁRIA'!A230</f>
        <v>4.1.5.2.1.5</v>
      </c>
      <c r="B1302" s="242">
        <f>VLOOKUP(A1302,'3 - PLAN. ORÇAMENTÁRIA'!$A$16:$B$721,2,FALSE)</f>
        <v>104958</v>
      </c>
      <c r="C1302" s="631" t="str">
        <f>VLOOKUP(A1302,'3 - PLAN. ORÇAMENTÁRIA'!$A$16:$C$721,3,FALSE)</f>
        <v>REBOCO, EM ARGAMASSA TRAÇO 1:2:8, PREPARO MECÂNICO, APLICADA MANUALMENTE EM PAREDES INTERNAS DE AMBIENTES COM ÁREA MAIOR QUE 10M², E = 10MM, COM TALISCAS. AF_03/2024</v>
      </c>
      <c r="D1302" s="632"/>
      <c r="E1302" s="632"/>
      <c r="F1302" s="632"/>
      <c r="G1302" s="633"/>
      <c r="H1302" s="493" t="str">
        <f>VLOOKUP(A1302,'3 - PLAN. ORÇAMENTÁRIA'!$A$17:$E$721,5,FALSE)</f>
        <v>M2</v>
      </c>
    </row>
    <row r="1303" spans="1:8" ht="12.75" customHeight="1">
      <c r="B1303" s="628" t="s">
        <v>607</v>
      </c>
      <c r="C1303" s="628"/>
      <c r="D1303" s="103" t="s">
        <v>579</v>
      </c>
      <c r="E1303" s="103" t="s">
        <v>580</v>
      </c>
      <c r="F1303" s="103" t="s">
        <v>581</v>
      </c>
      <c r="G1303" s="103" t="s">
        <v>582</v>
      </c>
      <c r="H1303" s="103" t="s">
        <v>583</v>
      </c>
    </row>
    <row r="1304" spans="1:8">
      <c r="B1304" s="130" t="s">
        <v>639</v>
      </c>
      <c r="C1304" s="229" t="s">
        <v>640</v>
      </c>
      <c r="D1304" s="130" t="s">
        <v>119</v>
      </c>
      <c r="E1304" s="130" t="s">
        <v>121</v>
      </c>
      <c r="F1304" s="230">
        <v>0.29709999999999998</v>
      </c>
      <c r="G1304" s="494">
        <v>31.34</v>
      </c>
      <c r="H1304" s="494">
        <v>9.31</v>
      </c>
    </row>
    <row r="1305" spans="1:8">
      <c r="B1305" s="130" t="s">
        <v>625</v>
      </c>
      <c r="C1305" s="229" t="s">
        <v>626</v>
      </c>
      <c r="D1305" s="130" t="s">
        <v>119</v>
      </c>
      <c r="E1305" s="130" t="s">
        <v>121</v>
      </c>
      <c r="F1305" s="230">
        <v>0.14849999999999999</v>
      </c>
      <c r="G1305" s="494">
        <v>23.75</v>
      </c>
      <c r="H1305" s="494">
        <v>3.53</v>
      </c>
    </row>
    <row r="1306" spans="1:8" ht="12.75" customHeight="1">
      <c r="B1306" s="105"/>
      <c r="C1306" s="105"/>
      <c r="D1306" s="105"/>
      <c r="E1306" s="105"/>
      <c r="F1306" s="629" t="s">
        <v>610</v>
      </c>
      <c r="G1306" s="629"/>
      <c r="H1306" s="495">
        <v>12.84</v>
      </c>
    </row>
    <row r="1307" spans="1:8">
      <c r="B1307" s="628" t="s">
        <v>586</v>
      </c>
      <c r="C1307" s="628"/>
      <c r="D1307" s="103" t="s">
        <v>579</v>
      </c>
      <c r="E1307" s="103" t="s">
        <v>580</v>
      </c>
      <c r="F1307" s="103" t="s">
        <v>581</v>
      </c>
      <c r="G1307" s="103" t="s">
        <v>582</v>
      </c>
      <c r="H1307" s="103" t="s">
        <v>583</v>
      </c>
    </row>
    <row r="1308" spans="1:8" ht="38.25">
      <c r="B1308" s="130" t="s">
        <v>1460</v>
      </c>
      <c r="C1308" s="229" t="s">
        <v>1461</v>
      </c>
      <c r="D1308" s="130" t="s">
        <v>119</v>
      </c>
      <c r="E1308" s="130" t="s">
        <v>167</v>
      </c>
      <c r="F1308" s="230">
        <v>1.9400000000000001E-2</v>
      </c>
      <c r="G1308" s="494">
        <v>627.42999999999995</v>
      </c>
      <c r="H1308" s="494">
        <v>12.17</v>
      </c>
    </row>
    <row r="1309" spans="1:8">
      <c r="B1309" s="105"/>
      <c r="C1309" s="105"/>
      <c r="D1309" s="105"/>
      <c r="E1309" s="105"/>
      <c r="F1309" s="629" t="s">
        <v>587</v>
      </c>
      <c r="G1309" s="629"/>
      <c r="H1309" s="495">
        <v>12.17</v>
      </c>
    </row>
    <row r="1310" spans="1:8" ht="12.75" customHeight="1">
      <c r="B1310" s="105"/>
      <c r="C1310" s="105"/>
      <c r="D1310" s="105"/>
      <c r="E1310" s="105"/>
      <c r="F1310" s="630" t="s">
        <v>464</v>
      </c>
      <c r="G1310" s="630"/>
      <c r="H1310" s="102">
        <v>25.01</v>
      </c>
    </row>
    <row r="1311" spans="1:8">
      <c r="B1311" s="105"/>
      <c r="C1311" s="105"/>
      <c r="D1311" s="105"/>
      <c r="E1311" s="105"/>
      <c r="F1311" s="634"/>
      <c r="G1311" s="634"/>
      <c r="H1311" s="634"/>
    </row>
    <row r="1312" spans="1:8" s="220" customFormat="1" ht="27" customHeight="1">
      <c r="A1312" s="178" t="str">
        <f>'3 - PLAN. ORÇAMENTÁRIA'!A231</f>
        <v>4.1.5.2.1.6</v>
      </c>
      <c r="B1312" s="242">
        <f>VLOOKUP(A1312,'3 - PLAN. ORÇAMENTÁRIA'!$A$16:$B$721,2,FALSE)</f>
        <v>96131</v>
      </c>
      <c r="C1312" s="631" t="str">
        <f>VLOOKUP(A1312,'3 - PLAN. ORÇAMENTÁRIA'!$A$16:$C$721,3,FALSE)</f>
        <v>APLICAÇÃO MANUAL DE MASSA ACRÍLICA EM PANOS DE FACHADA COM PRESENÇA DE VÃOS, DE EDIFÍCIOS DE MÚLTIPLOS PAVIMENTOS, DUAS DEMÃOS. AF_03/2024</v>
      </c>
      <c r="D1312" s="632"/>
      <c r="E1312" s="632"/>
      <c r="F1312" s="632"/>
      <c r="G1312" s="633"/>
      <c r="H1312" s="493" t="str">
        <f>VLOOKUP(A1312,'3 - PLAN. ORÇAMENTÁRIA'!$A$17:$E$721,5,FALSE)</f>
        <v>M2</v>
      </c>
    </row>
    <row r="1313" spans="1:8">
      <c r="B1313" s="628" t="s">
        <v>593</v>
      </c>
      <c r="C1313" s="628"/>
      <c r="D1313" s="103" t="s">
        <v>579</v>
      </c>
      <c r="E1313" s="103" t="s">
        <v>580</v>
      </c>
      <c r="F1313" s="103" t="s">
        <v>581</v>
      </c>
      <c r="G1313" s="103" t="s">
        <v>582</v>
      </c>
      <c r="H1313" s="103" t="s">
        <v>583</v>
      </c>
    </row>
    <row r="1314" spans="1:8">
      <c r="B1314" s="130" t="s">
        <v>1007</v>
      </c>
      <c r="C1314" s="229" t="s">
        <v>1008</v>
      </c>
      <c r="D1314" s="130" t="s">
        <v>119</v>
      </c>
      <c r="E1314" s="130" t="s">
        <v>144</v>
      </c>
      <c r="F1314" s="230">
        <v>8.5699999999999998E-2</v>
      </c>
      <c r="G1314" s="494">
        <v>1.29</v>
      </c>
      <c r="H1314" s="494">
        <v>0.11</v>
      </c>
    </row>
    <row r="1315" spans="1:8">
      <c r="B1315" s="130" t="s">
        <v>2183</v>
      </c>
      <c r="C1315" s="229" t="s">
        <v>2184</v>
      </c>
      <c r="D1315" s="130" t="s">
        <v>119</v>
      </c>
      <c r="E1315" s="130" t="s">
        <v>200</v>
      </c>
      <c r="F1315" s="230">
        <v>1.4352</v>
      </c>
      <c r="G1315" s="494">
        <v>6.85</v>
      </c>
      <c r="H1315" s="494">
        <v>9.83</v>
      </c>
    </row>
    <row r="1316" spans="1:8">
      <c r="B1316" s="105"/>
      <c r="C1316" s="105"/>
      <c r="D1316" s="105"/>
      <c r="E1316" s="105"/>
      <c r="F1316" s="629" t="s">
        <v>604</v>
      </c>
      <c r="G1316" s="629"/>
      <c r="H1316" s="495">
        <v>9.94</v>
      </c>
    </row>
    <row r="1317" spans="1:8" ht="12.75" customHeight="1">
      <c r="B1317" s="628" t="s">
        <v>607</v>
      </c>
      <c r="C1317" s="628"/>
      <c r="D1317" s="103" t="s">
        <v>579</v>
      </c>
      <c r="E1317" s="103" t="s">
        <v>580</v>
      </c>
      <c r="F1317" s="103" t="s">
        <v>581</v>
      </c>
      <c r="G1317" s="103" t="s">
        <v>582</v>
      </c>
      <c r="H1317" s="103" t="s">
        <v>583</v>
      </c>
    </row>
    <row r="1318" spans="1:8">
      <c r="B1318" s="130" t="s">
        <v>1450</v>
      </c>
      <c r="C1318" s="229" t="s">
        <v>663</v>
      </c>
      <c r="D1318" s="130" t="s">
        <v>119</v>
      </c>
      <c r="E1318" s="130" t="s">
        <v>121</v>
      </c>
      <c r="F1318" s="230">
        <v>0.56320000000000003</v>
      </c>
      <c r="G1318" s="494">
        <v>33.01</v>
      </c>
      <c r="H1318" s="494">
        <v>18.59</v>
      </c>
    </row>
    <row r="1319" spans="1:8">
      <c r="B1319" s="130" t="s">
        <v>625</v>
      </c>
      <c r="C1319" s="229" t="s">
        <v>626</v>
      </c>
      <c r="D1319" s="130" t="s">
        <v>119</v>
      </c>
      <c r="E1319" s="130" t="s">
        <v>121</v>
      </c>
      <c r="F1319" s="230">
        <v>9.1999999999999998E-2</v>
      </c>
      <c r="G1319" s="494">
        <v>23.75</v>
      </c>
      <c r="H1319" s="494">
        <v>2.19</v>
      </c>
    </row>
    <row r="1320" spans="1:8" ht="12.75" customHeight="1">
      <c r="B1320" s="105"/>
      <c r="C1320" s="105"/>
      <c r="D1320" s="105"/>
      <c r="E1320" s="105"/>
      <c r="F1320" s="629" t="s">
        <v>610</v>
      </c>
      <c r="G1320" s="629"/>
      <c r="H1320" s="495">
        <v>20.78</v>
      </c>
    </row>
    <row r="1321" spans="1:8" ht="12.75" customHeight="1">
      <c r="B1321" s="105"/>
      <c r="C1321" s="105"/>
      <c r="D1321" s="105"/>
      <c r="E1321" s="105"/>
      <c r="F1321" s="630" t="s">
        <v>464</v>
      </c>
      <c r="G1321" s="630"/>
      <c r="H1321" s="102">
        <v>30.71</v>
      </c>
    </row>
    <row r="1322" spans="1:8">
      <c r="B1322" s="105"/>
      <c r="C1322" s="105"/>
      <c r="D1322" s="105"/>
      <c r="E1322" s="105"/>
      <c r="F1322" s="634"/>
      <c r="G1322" s="634"/>
      <c r="H1322" s="634"/>
    </row>
    <row r="1323" spans="1:8" s="220" customFormat="1" ht="27" customHeight="1">
      <c r="A1323" s="178" t="str">
        <f>'3 - PLAN. ORÇAMENTÁRIA'!A232</f>
        <v>4.1.5.2.1.7</v>
      </c>
      <c r="B1323" s="242">
        <f>VLOOKUP(A1323,'3 - PLAN. ORÇAMENTÁRIA'!$A$16:$B$721,2,FALSE)</f>
        <v>96132</v>
      </c>
      <c r="C1323" s="631" t="str">
        <f>VLOOKUP(A1323,'3 - PLAN. ORÇAMENTÁRIA'!$A$16:$C$721,3,FALSE)</f>
        <v>APLICAÇÃO MANUAL DE MASSA ACRÍLICA EM PANOS DE FACHADA SEM PRESENÇA DE VÃOS, DE EDIFÍCIOS DE MÚLTIPLOS PAVIMENTOS, DUAS DEMÃOS. AF_03/2024</v>
      </c>
      <c r="D1323" s="632"/>
      <c r="E1323" s="632"/>
      <c r="F1323" s="632"/>
      <c r="G1323" s="633"/>
      <c r="H1323" s="493" t="str">
        <f>VLOOKUP(A1323,'3 - PLAN. ORÇAMENTÁRIA'!$A$17:$E$721,5,FALSE)</f>
        <v>M2</v>
      </c>
    </row>
    <row r="1324" spans="1:8">
      <c r="B1324" s="628" t="s">
        <v>593</v>
      </c>
      <c r="C1324" s="628"/>
      <c r="D1324" s="103" t="s">
        <v>579</v>
      </c>
      <c r="E1324" s="103" t="s">
        <v>580</v>
      </c>
      <c r="F1324" s="103" t="s">
        <v>581</v>
      </c>
      <c r="G1324" s="103" t="s">
        <v>582</v>
      </c>
      <c r="H1324" s="103" t="s">
        <v>583</v>
      </c>
    </row>
    <row r="1325" spans="1:8">
      <c r="B1325" s="130" t="s">
        <v>1007</v>
      </c>
      <c r="C1325" s="229" t="s">
        <v>1008</v>
      </c>
      <c r="D1325" s="130" t="s">
        <v>119</v>
      </c>
      <c r="E1325" s="130" t="s">
        <v>144</v>
      </c>
      <c r="F1325" s="230">
        <v>0.08</v>
      </c>
      <c r="G1325" s="494">
        <v>1.29</v>
      </c>
      <c r="H1325" s="494">
        <v>0.1</v>
      </c>
    </row>
    <row r="1326" spans="1:8">
      <c r="B1326" s="130" t="s">
        <v>2183</v>
      </c>
      <c r="C1326" s="229" t="s">
        <v>2184</v>
      </c>
      <c r="D1326" s="130" t="s">
        <v>119</v>
      </c>
      <c r="E1326" s="130" t="s">
        <v>200</v>
      </c>
      <c r="F1326" s="230">
        <v>1.339</v>
      </c>
      <c r="G1326" s="494">
        <v>6.85</v>
      </c>
      <c r="H1326" s="494">
        <v>9.17</v>
      </c>
    </row>
    <row r="1327" spans="1:8">
      <c r="B1327" s="105"/>
      <c r="C1327" s="105"/>
      <c r="D1327" s="105"/>
      <c r="E1327" s="105"/>
      <c r="F1327" s="629" t="s">
        <v>604</v>
      </c>
      <c r="G1327" s="629"/>
      <c r="H1327" s="495">
        <v>9.27</v>
      </c>
    </row>
    <row r="1328" spans="1:8" ht="12.75" customHeight="1">
      <c r="B1328" s="628" t="s">
        <v>607</v>
      </c>
      <c r="C1328" s="628"/>
      <c r="D1328" s="103" t="s">
        <v>579</v>
      </c>
      <c r="E1328" s="103" t="s">
        <v>580</v>
      </c>
      <c r="F1328" s="103" t="s">
        <v>581</v>
      </c>
      <c r="G1328" s="103" t="s">
        <v>582</v>
      </c>
      <c r="H1328" s="103" t="s">
        <v>583</v>
      </c>
    </row>
    <row r="1329" spans="1:8">
      <c r="B1329" s="130" t="s">
        <v>1450</v>
      </c>
      <c r="C1329" s="229" t="s">
        <v>663</v>
      </c>
      <c r="D1329" s="130" t="s">
        <v>119</v>
      </c>
      <c r="E1329" s="130" t="s">
        <v>121</v>
      </c>
      <c r="F1329" s="230">
        <v>0.29849999999999999</v>
      </c>
      <c r="G1329" s="494">
        <v>33.01</v>
      </c>
      <c r="H1329" s="494">
        <v>9.85</v>
      </c>
    </row>
    <row r="1330" spans="1:8">
      <c r="B1330" s="130" t="s">
        <v>625</v>
      </c>
      <c r="C1330" s="229" t="s">
        <v>626</v>
      </c>
      <c r="D1330" s="130" t="s">
        <v>119</v>
      </c>
      <c r="E1330" s="130" t="s">
        <v>121</v>
      </c>
      <c r="F1330" s="230">
        <v>4.87E-2</v>
      </c>
      <c r="G1330" s="494">
        <v>23.75</v>
      </c>
      <c r="H1330" s="494">
        <v>1.1599999999999999</v>
      </c>
    </row>
    <row r="1331" spans="1:8" ht="12.75" customHeight="1">
      <c r="B1331" s="105"/>
      <c r="C1331" s="105"/>
      <c r="D1331" s="105"/>
      <c r="E1331" s="105"/>
      <c r="F1331" s="629" t="s">
        <v>610</v>
      </c>
      <c r="G1331" s="629"/>
      <c r="H1331" s="495">
        <v>11.01</v>
      </c>
    </row>
    <row r="1332" spans="1:8" ht="12.75" customHeight="1">
      <c r="B1332" s="105"/>
      <c r="C1332" s="105"/>
      <c r="D1332" s="105"/>
      <c r="E1332" s="105"/>
      <c r="F1332" s="630" t="s">
        <v>464</v>
      </c>
      <c r="G1332" s="630"/>
      <c r="H1332" s="102">
        <v>20.27</v>
      </c>
    </row>
    <row r="1333" spans="1:8">
      <c r="B1333" s="105"/>
      <c r="C1333" s="105"/>
      <c r="D1333" s="105"/>
      <c r="E1333" s="105"/>
      <c r="F1333" s="634"/>
      <c r="G1333" s="634"/>
      <c r="H1333" s="634"/>
    </row>
    <row r="1334" spans="1:8" s="220" customFormat="1" ht="27" customHeight="1">
      <c r="A1334" s="178" t="str">
        <f>'3 - PLAN. ORÇAMENTÁRIA'!A233</f>
        <v>4.1.5.2.1.8</v>
      </c>
      <c r="B1334" s="242">
        <f>VLOOKUP(A1334,'3 - PLAN. ORÇAMENTÁRIA'!$A$16:$B$721,2,FALSE)</f>
        <v>88485</v>
      </c>
      <c r="C1334" s="631" t="str">
        <f>VLOOKUP(A1334,'3 - PLAN. ORÇAMENTÁRIA'!$A$16:$C$721,3,FALSE)</f>
        <v>FUNDO SELADOR ACRÍLICO, APLICAÇÃO MANUAL EM PAREDE, UMA DEMÃO. AF_04/2023 (INTERNO)</v>
      </c>
      <c r="D1334" s="632"/>
      <c r="E1334" s="632"/>
      <c r="F1334" s="632"/>
      <c r="G1334" s="633"/>
      <c r="H1334" s="493" t="str">
        <f>VLOOKUP(A1334,'3 - PLAN. ORÇAMENTÁRIA'!$A$17:$E$721,5,FALSE)</f>
        <v>M2</v>
      </c>
    </row>
    <row r="1335" spans="1:8">
      <c r="B1335" s="628" t="s">
        <v>593</v>
      </c>
      <c r="C1335" s="628"/>
      <c r="D1335" s="103" t="s">
        <v>579</v>
      </c>
      <c r="E1335" s="103" t="s">
        <v>580</v>
      </c>
      <c r="F1335" s="103" t="s">
        <v>581</v>
      </c>
      <c r="G1335" s="103" t="s">
        <v>582</v>
      </c>
      <c r="H1335" s="103" t="s">
        <v>583</v>
      </c>
    </row>
    <row r="1336" spans="1:8">
      <c r="B1336" s="130" t="s">
        <v>1464</v>
      </c>
      <c r="C1336" s="229" t="s">
        <v>1465</v>
      </c>
      <c r="D1336" s="130" t="s">
        <v>119</v>
      </c>
      <c r="E1336" s="130" t="s">
        <v>107</v>
      </c>
      <c r="F1336" s="230">
        <v>0.1666</v>
      </c>
      <c r="G1336" s="494">
        <v>12.45</v>
      </c>
      <c r="H1336" s="494">
        <v>2.0699999999999998</v>
      </c>
    </row>
    <row r="1337" spans="1:8">
      <c r="B1337" s="105"/>
      <c r="C1337" s="105"/>
      <c r="D1337" s="105"/>
      <c r="E1337" s="105"/>
      <c r="F1337" s="629" t="s">
        <v>604</v>
      </c>
      <c r="G1337" s="629"/>
      <c r="H1337" s="495">
        <v>2.0699999999999998</v>
      </c>
    </row>
    <row r="1338" spans="1:8" ht="12.75" customHeight="1">
      <c r="B1338" s="628" t="s">
        <v>607</v>
      </c>
      <c r="C1338" s="628"/>
      <c r="D1338" s="103" t="s">
        <v>579</v>
      </c>
      <c r="E1338" s="103" t="s">
        <v>580</v>
      </c>
      <c r="F1338" s="103" t="s">
        <v>581</v>
      </c>
      <c r="G1338" s="103" t="s">
        <v>582</v>
      </c>
      <c r="H1338" s="103" t="s">
        <v>583</v>
      </c>
    </row>
    <row r="1339" spans="1:8">
      <c r="B1339" s="130" t="s">
        <v>1450</v>
      </c>
      <c r="C1339" s="229" t="s">
        <v>663</v>
      </c>
      <c r="D1339" s="130" t="s">
        <v>119</v>
      </c>
      <c r="E1339" s="130" t="s">
        <v>121</v>
      </c>
      <c r="F1339" s="230">
        <v>6.6600000000000006E-2</v>
      </c>
      <c r="G1339" s="494">
        <v>33.01</v>
      </c>
      <c r="H1339" s="494">
        <v>2.2000000000000002</v>
      </c>
    </row>
    <row r="1340" spans="1:8">
      <c r="B1340" s="130" t="s">
        <v>625</v>
      </c>
      <c r="C1340" s="229" t="s">
        <v>626</v>
      </c>
      <c r="D1340" s="130" t="s">
        <v>119</v>
      </c>
      <c r="E1340" s="130" t="s">
        <v>121</v>
      </c>
      <c r="F1340" s="230">
        <v>2.2200000000000001E-2</v>
      </c>
      <c r="G1340" s="494">
        <v>23.75</v>
      </c>
      <c r="H1340" s="494">
        <v>0.53</v>
      </c>
    </row>
    <row r="1341" spans="1:8" ht="12.75" customHeight="1">
      <c r="B1341" s="105"/>
      <c r="C1341" s="105"/>
      <c r="D1341" s="105"/>
      <c r="E1341" s="105"/>
      <c r="F1341" s="629" t="s">
        <v>610</v>
      </c>
      <c r="G1341" s="629"/>
      <c r="H1341" s="495">
        <v>2.73</v>
      </c>
    </row>
    <row r="1342" spans="1:8" ht="12.75" customHeight="1">
      <c r="B1342" s="105"/>
      <c r="C1342" s="105"/>
      <c r="D1342" s="105"/>
      <c r="E1342" s="105"/>
      <c r="F1342" s="630" t="s">
        <v>464</v>
      </c>
      <c r="G1342" s="630"/>
      <c r="H1342" s="102">
        <v>4.78</v>
      </c>
    </row>
    <row r="1343" spans="1:8">
      <c r="B1343" s="105"/>
      <c r="C1343" s="105"/>
      <c r="D1343" s="105"/>
      <c r="E1343" s="105"/>
      <c r="F1343" s="634"/>
      <c r="G1343" s="634"/>
      <c r="H1343" s="634"/>
    </row>
    <row r="1344" spans="1:8" s="220" customFormat="1" ht="27" customHeight="1">
      <c r="A1344" s="178" t="str">
        <f>'3 - PLAN. ORÇAMENTÁRIA'!A234</f>
        <v>4.1.5.2.1.9</v>
      </c>
      <c r="B1344" s="242">
        <f>VLOOKUP(A1344,'3 - PLAN. ORÇAMENTÁRIA'!$A$16:$B$721,2,FALSE)</f>
        <v>88489</v>
      </c>
      <c r="C1344" s="631" t="str">
        <f>VLOOKUP(A1344,'3 - PLAN. ORÇAMENTÁRIA'!$A$16:$C$721,3,FALSE)</f>
        <v>PINTURA LÁTEX ACRÍLICA PREMIUM, APLICAÇÃO MANUAL EM PAREDES, DUAS DEMÃOS. AF_04/2023 (INTERNO)</v>
      </c>
      <c r="D1344" s="632"/>
      <c r="E1344" s="632"/>
      <c r="F1344" s="632"/>
      <c r="G1344" s="633"/>
      <c r="H1344" s="493" t="str">
        <f>VLOOKUP(A1344,'3 - PLAN. ORÇAMENTÁRIA'!$A$17:$E$721,5,FALSE)</f>
        <v>M2</v>
      </c>
    </row>
    <row r="1345" spans="1:8">
      <c r="B1345" s="628" t="s">
        <v>593</v>
      </c>
      <c r="C1345" s="628"/>
      <c r="D1345" s="103" t="s">
        <v>579</v>
      </c>
      <c r="E1345" s="103" t="s">
        <v>580</v>
      </c>
      <c r="F1345" s="103" t="s">
        <v>581</v>
      </c>
      <c r="G1345" s="103" t="s">
        <v>582</v>
      </c>
      <c r="H1345" s="103" t="s">
        <v>583</v>
      </c>
    </row>
    <row r="1346" spans="1:8">
      <c r="B1346" s="130" t="s">
        <v>632</v>
      </c>
      <c r="C1346" s="229" t="s">
        <v>633</v>
      </c>
      <c r="D1346" s="130" t="s">
        <v>119</v>
      </c>
      <c r="E1346" s="130" t="s">
        <v>107</v>
      </c>
      <c r="F1346" s="230">
        <v>0.22850000000000001</v>
      </c>
      <c r="G1346" s="494">
        <v>31.4</v>
      </c>
      <c r="H1346" s="494">
        <v>7.17</v>
      </c>
    </row>
    <row r="1347" spans="1:8">
      <c r="B1347" s="105"/>
      <c r="C1347" s="105"/>
      <c r="D1347" s="105"/>
      <c r="E1347" s="105"/>
      <c r="F1347" s="629" t="s">
        <v>604</v>
      </c>
      <c r="G1347" s="629"/>
      <c r="H1347" s="495">
        <v>7.17</v>
      </c>
    </row>
    <row r="1348" spans="1:8" ht="12.75" customHeight="1">
      <c r="B1348" s="628" t="s">
        <v>607</v>
      </c>
      <c r="C1348" s="628"/>
      <c r="D1348" s="103" t="s">
        <v>579</v>
      </c>
      <c r="E1348" s="103" t="s">
        <v>580</v>
      </c>
      <c r="F1348" s="103" t="s">
        <v>581</v>
      </c>
      <c r="G1348" s="103" t="s">
        <v>582</v>
      </c>
      <c r="H1348" s="103" t="s">
        <v>583</v>
      </c>
    </row>
    <row r="1349" spans="1:8">
      <c r="B1349" s="130" t="s">
        <v>1450</v>
      </c>
      <c r="C1349" s="229" t="s">
        <v>663</v>
      </c>
      <c r="D1349" s="130" t="s">
        <v>119</v>
      </c>
      <c r="E1349" s="130" t="s">
        <v>121</v>
      </c>
      <c r="F1349" s="230">
        <v>0.16309999999999999</v>
      </c>
      <c r="G1349" s="494">
        <v>33.01</v>
      </c>
      <c r="H1349" s="494">
        <v>5.38</v>
      </c>
    </row>
    <row r="1350" spans="1:8">
      <c r="B1350" s="130" t="s">
        <v>625</v>
      </c>
      <c r="C1350" s="229" t="s">
        <v>626</v>
      </c>
      <c r="D1350" s="130" t="s">
        <v>119</v>
      </c>
      <c r="E1350" s="130" t="s">
        <v>121</v>
      </c>
      <c r="F1350" s="230">
        <v>5.4399999999999997E-2</v>
      </c>
      <c r="G1350" s="494">
        <v>23.75</v>
      </c>
      <c r="H1350" s="494">
        <v>1.29</v>
      </c>
    </row>
    <row r="1351" spans="1:8" ht="12.75" customHeight="1">
      <c r="B1351" s="105"/>
      <c r="C1351" s="105"/>
      <c r="D1351" s="105"/>
      <c r="E1351" s="105"/>
      <c r="F1351" s="629" t="s">
        <v>610</v>
      </c>
      <c r="G1351" s="629"/>
      <c r="H1351" s="495">
        <v>6.67</v>
      </c>
    </row>
    <row r="1352" spans="1:8" ht="12.75" customHeight="1">
      <c r="B1352" s="105"/>
      <c r="C1352" s="105"/>
      <c r="D1352" s="105"/>
      <c r="E1352" s="105"/>
      <c r="F1352" s="630" t="s">
        <v>464</v>
      </c>
      <c r="G1352" s="630"/>
      <c r="H1352" s="102">
        <v>13.84</v>
      </c>
    </row>
    <row r="1353" spans="1:8">
      <c r="B1353" s="105"/>
      <c r="C1353" s="105"/>
      <c r="D1353" s="105"/>
      <c r="E1353" s="105"/>
      <c r="F1353" s="634"/>
      <c r="G1353" s="634"/>
      <c r="H1353" s="634"/>
    </row>
    <row r="1354" spans="1:8" s="220" customFormat="1" ht="27" customHeight="1">
      <c r="A1354" s="178" t="str">
        <f>'3 - PLAN. ORÇAMENTÁRIA'!A235</f>
        <v>4.1.5.2.1.10</v>
      </c>
      <c r="B1354" s="242">
        <f>VLOOKUP(A1354,'3 - PLAN. ORÇAMENTÁRIA'!$A$16:$B$721,2,FALSE)</f>
        <v>87545</v>
      </c>
      <c r="C1354" s="631" t="str">
        <f>VLOOKUP(A1354,'3 - PLAN. ORÇAMENTÁRIA'!$A$16:$C$721,3,FALSE)</f>
        <v>EMBOÇO, EM ARGAMASSA TRAÇO 1:2:8, PREPARO MECÂNICO, APLICADO MANUALMENTE EM PAREDES INTERNAS, PARA AMBIENTES COM ÁREA MENOR QUE 5M², E = 10MM, COM TALISCAS. AF_03/2024</v>
      </c>
      <c r="D1354" s="632"/>
      <c r="E1354" s="632"/>
      <c r="F1354" s="632"/>
      <c r="G1354" s="633"/>
      <c r="H1354" s="493" t="str">
        <f>VLOOKUP(A1354,'3 - PLAN. ORÇAMENTÁRIA'!$A$17:$E$721,5,FALSE)</f>
        <v>M2</v>
      </c>
    </row>
    <row r="1355" spans="1:8" ht="12.75" customHeight="1">
      <c r="B1355" s="628" t="s">
        <v>607</v>
      </c>
      <c r="C1355" s="628"/>
      <c r="D1355" s="103" t="s">
        <v>579</v>
      </c>
      <c r="E1355" s="103" t="s">
        <v>580</v>
      </c>
      <c r="F1355" s="103" t="s">
        <v>581</v>
      </c>
      <c r="G1355" s="103" t="s">
        <v>582</v>
      </c>
      <c r="H1355" s="103" t="s">
        <v>583</v>
      </c>
    </row>
    <row r="1356" spans="1:8">
      <c r="B1356" s="130" t="s">
        <v>639</v>
      </c>
      <c r="C1356" s="229" t="s">
        <v>640</v>
      </c>
      <c r="D1356" s="130" t="s">
        <v>119</v>
      </c>
      <c r="E1356" s="130" t="s">
        <v>121</v>
      </c>
      <c r="F1356" s="230">
        <v>0.45800000000000002</v>
      </c>
      <c r="G1356" s="494">
        <v>31.34</v>
      </c>
      <c r="H1356" s="494">
        <v>14.35</v>
      </c>
    </row>
    <row r="1357" spans="1:8">
      <c r="B1357" s="130" t="s">
        <v>625</v>
      </c>
      <c r="C1357" s="229" t="s">
        <v>626</v>
      </c>
      <c r="D1357" s="130" t="s">
        <v>119</v>
      </c>
      <c r="E1357" s="130" t="s">
        <v>121</v>
      </c>
      <c r="F1357" s="230">
        <v>0.22900000000000001</v>
      </c>
      <c r="G1357" s="494">
        <v>23.75</v>
      </c>
      <c r="H1357" s="494">
        <v>5.44</v>
      </c>
    </row>
    <row r="1358" spans="1:8" ht="12.75" customHeight="1">
      <c r="B1358" s="105"/>
      <c r="C1358" s="105"/>
      <c r="D1358" s="105"/>
      <c r="E1358" s="105"/>
      <c r="F1358" s="629" t="s">
        <v>610</v>
      </c>
      <c r="G1358" s="629"/>
      <c r="H1358" s="495">
        <v>19.79</v>
      </c>
    </row>
    <row r="1359" spans="1:8">
      <c r="B1359" s="628" t="s">
        <v>586</v>
      </c>
      <c r="C1359" s="628"/>
      <c r="D1359" s="103" t="s">
        <v>579</v>
      </c>
      <c r="E1359" s="103" t="s">
        <v>580</v>
      </c>
      <c r="F1359" s="103" t="s">
        <v>581</v>
      </c>
      <c r="G1359" s="103" t="s">
        <v>582</v>
      </c>
      <c r="H1359" s="103" t="s">
        <v>583</v>
      </c>
    </row>
    <row r="1360" spans="1:8" ht="38.25">
      <c r="B1360" s="130" t="s">
        <v>1460</v>
      </c>
      <c r="C1360" s="229" t="s">
        <v>1461</v>
      </c>
      <c r="D1360" s="130" t="s">
        <v>119</v>
      </c>
      <c r="E1360" s="130" t="s">
        <v>167</v>
      </c>
      <c r="F1360" s="230">
        <v>1.9400000000000001E-2</v>
      </c>
      <c r="G1360" s="494">
        <v>627.42999999999995</v>
      </c>
      <c r="H1360" s="494">
        <v>12.17</v>
      </c>
    </row>
    <row r="1361" spans="1:8">
      <c r="B1361" s="105"/>
      <c r="C1361" s="105"/>
      <c r="D1361" s="105"/>
      <c r="E1361" s="105"/>
      <c r="F1361" s="629" t="s">
        <v>587</v>
      </c>
      <c r="G1361" s="629"/>
      <c r="H1361" s="495">
        <v>12.17</v>
      </c>
    </row>
    <row r="1362" spans="1:8" ht="12.75" customHeight="1">
      <c r="B1362" s="105"/>
      <c r="C1362" s="105"/>
      <c r="D1362" s="105"/>
      <c r="E1362" s="105"/>
      <c r="F1362" s="630" t="s">
        <v>464</v>
      </c>
      <c r="G1362" s="630"/>
      <c r="H1362" s="102">
        <v>31.96</v>
      </c>
    </row>
    <row r="1363" spans="1:8">
      <c r="B1363" s="105"/>
      <c r="C1363" s="105"/>
      <c r="D1363" s="105"/>
      <c r="E1363" s="105"/>
      <c r="F1363" s="634"/>
      <c r="G1363" s="634"/>
      <c r="H1363" s="634"/>
    </row>
    <row r="1364" spans="1:8" s="220" customFormat="1" ht="27" customHeight="1">
      <c r="A1364" s="178" t="str">
        <f>'3 - PLAN. ORÇAMENTÁRIA'!A236</f>
        <v>4.1.5.2.1.11</v>
      </c>
      <c r="B1364" s="242">
        <f>VLOOKUP(A1364,'3 - PLAN. ORÇAMENTÁRIA'!$A$16:$B$721,2,FALSE)</f>
        <v>87549</v>
      </c>
      <c r="C1364" s="631" t="str">
        <f>VLOOKUP(A1364,'3 - PLAN. ORÇAMENTÁRIA'!$A$16:$C$721,3,FALSE)</f>
        <v>EMBOÇO, EM ARGAMASSA TRAÇO 1:2:8, PREPARO MECÂNICO, APLICADO MANUALMENTE EM PAREDES INTERNAS DE AMBIENTES COM ÁREA ENTRE 5M² E 10M², E = 10MM, COM TALISCAS. AF_03/2024</v>
      </c>
      <c r="D1364" s="632"/>
      <c r="E1364" s="632"/>
      <c r="F1364" s="632"/>
      <c r="G1364" s="633"/>
      <c r="H1364" s="493" t="str">
        <f>VLOOKUP(A1364,'3 - PLAN. ORÇAMENTÁRIA'!$A$17:$E$721,5,FALSE)</f>
        <v>M2</v>
      </c>
    </row>
    <row r="1365" spans="1:8" ht="12.75" customHeight="1">
      <c r="B1365" s="628" t="s">
        <v>607</v>
      </c>
      <c r="C1365" s="628"/>
      <c r="D1365" s="103" t="s">
        <v>579</v>
      </c>
      <c r="E1365" s="103" t="s">
        <v>580</v>
      </c>
      <c r="F1365" s="103" t="s">
        <v>581</v>
      </c>
      <c r="G1365" s="103" t="s">
        <v>582</v>
      </c>
      <c r="H1365" s="103" t="s">
        <v>583</v>
      </c>
    </row>
    <row r="1366" spans="1:8">
      <c r="B1366" s="130" t="s">
        <v>639</v>
      </c>
      <c r="C1366" s="229" t="s">
        <v>640</v>
      </c>
      <c r="D1366" s="130" t="s">
        <v>119</v>
      </c>
      <c r="E1366" s="130" t="s">
        <v>121</v>
      </c>
      <c r="F1366" s="230">
        <v>0.3468</v>
      </c>
      <c r="G1366" s="494">
        <v>31.34</v>
      </c>
      <c r="H1366" s="494">
        <v>10.87</v>
      </c>
    </row>
    <row r="1367" spans="1:8">
      <c r="B1367" s="130" t="s">
        <v>625</v>
      </c>
      <c r="C1367" s="229" t="s">
        <v>626</v>
      </c>
      <c r="D1367" s="130" t="s">
        <v>119</v>
      </c>
      <c r="E1367" s="130" t="s">
        <v>121</v>
      </c>
      <c r="F1367" s="230">
        <v>0.1734</v>
      </c>
      <c r="G1367" s="494">
        <v>23.75</v>
      </c>
      <c r="H1367" s="494">
        <v>4.12</v>
      </c>
    </row>
    <row r="1368" spans="1:8" ht="12.75" customHeight="1">
      <c r="B1368" s="105"/>
      <c r="C1368" s="105"/>
      <c r="D1368" s="105"/>
      <c r="E1368" s="105"/>
      <c r="F1368" s="629" t="s">
        <v>610</v>
      </c>
      <c r="G1368" s="629"/>
      <c r="H1368" s="495">
        <v>14.99</v>
      </c>
    </row>
    <row r="1369" spans="1:8">
      <c r="B1369" s="628" t="s">
        <v>586</v>
      </c>
      <c r="C1369" s="628"/>
      <c r="D1369" s="103" t="s">
        <v>579</v>
      </c>
      <c r="E1369" s="103" t="s">
        <v>580</v>
      </c>
      <c r="F1369" s="103" t="s">
        <v>581</v>
      </c>
      <c r="G1369" s="103" t="s">
        <v>582</v>
      </c>
      <c r="H1369" s="103" t="s">
        <v>583</v>
      </c>
    </row>
    <row r="1370" spans="1:8" ht="38.25">
      <c r="B1370" s="130" t="s">
        <v>1460</v>
      </c>
      <c r="C1370" s="229" t="s">
        <v>1461</v>
      </c>
      <c r="D1370" s="130" t="s">
        <v>119</v>
      </c>
      <c r="E1370" s="130" t="s">
        <v>167</v>
      </c>
      <c r="F1370" s="230">
        <v>1.9400000000000001E-2</v>
      </c>
      <c r="G1370" s="494">
        <v>627.42999999999995</v>
      </c>
      <c r="H1370" s="494">
        <v>12.17</v>
      </c>
    </row>
    <row r="1371" spans="1:8">
      <c r="B1371" s="105"/>
      <c r="C1371" s="105"/>
      <c r="D1371" s="105"/>
      <c r="E1371" s="105"/>
      <c r="F1371" s="629" t="s">
        <v>587</v>
      </c>
      <c r="G1371" s="629"/>
      <c r="H1371" s="495">
        <v>12.17</v>
      </c>
    </row>
    <row r="1372" spans="1:8" ht="12.75" customHeight="1">
      <c r="B1372" s="105"/>
      <c r="C1372" s="105"/>
      <c r="D1372" s="105"/>
      <c r="E1372" s="105"/>
      <c r="F1372" s="630" t="s">
        <v>464</v>
      </c>
      <c r="G1372" s="630"/>
      <c r="H1372" s="102">
        <v>27.16</v>
      </c>
    </row>
    <row r="1373" spans="1:8">
      <c r="B1373" s="105"/>
      <c r="C1373" s="105"/>
      <c r="D1373" s="105"/>
      <c r="E1373" s="105"/>
      <c r="F1373" s="634"/>
      <c r="G1373" s="634"/>
      <c r="H1373" s="634"/>
    </row>
    <row r="1374" spans="1:8" s="220" customFormat="1" ht="27" customHeight="1">
      <c r="A1374" s="178" t="str">
        <f>'3 - PLAN. ORÇAMENTÁRIA'!A237</f>
        <v>4.1.5.2.1.12</v>
      </c>
      <c r="B1374" s="242">
        <f>VLOOKUP(A1374,'3 - PLAN. ORÇAMENTÁRIA'!$A$16:$B$721,2,FALSE)</f>
        <v>87553</v>
      </c>
      <c r="C1374" s="631" t="str">
        <f>VLOOKUP(A1374,'3 - PLAN. ORÇAMENTÁRIA'!$A$16:$C$721,3,FALSE)</f>
        <v>EMBOÇO, EM ARGAMASSA TRAÇO 1:2:8, PREPARO MECÂNICO, APLICADO MANUALMENTE EM PAREDES INTERNAS DE AMBIENTES COM ÁREA MAIOR QUE 10M², E = 10MM, COM TALISCAS. AF_03/2024</v>
      </c>
      <c r="D1374" s="632"/>
      <c r="E1374" s="632"/>
      <c r="F1374" s="632"/>
      <c r="G1374" s="633"/>
      <c r="H1374" s="493" t="str">
        <f>VLOOKUP(A1374,'3 - PLAN. ORÇAMENTÁRIA'!$A$17:$E$721,5,FALSE)</f>
        <v>M2</v>
      </c>
    </row>
    <row r="1375" spans="1:8" ht="12.75" customHeight="1">
      <c r="B1375" s="628" t="s">
        <v>607</v>
      </c>
      <c r="C1375" s="628"/>
      <c r="D1375" s="103" t="s">
        <v>579</v>
      </c>
      <c r="E1375" s="103" t="s">
        <v>580</v>
      </c>
      <c r="F1375" s="103" t="s">
        <v>581</v>
      </c>
      <c r="G1375" s="103" t="s">
        <v>582</v>
      </c>
      <c r="H1375" s="103" t="s">
        <v>583</v>
      </c>
    </row>
    <row r="1376" spans="1:8">
      <c r="B1376" s="130" t="s">
        <v>639</v>
      </c>
      <c r="C1376" s="229" t="s">
        <v>640</v>
      </c>
      <c r="D1376" s="130" t="s">
        <v>119</v>
      </c>
      <c r="E1376" s="130" t="s">
        <v>121</v>
      </c>
      <c r="F1376" s="230">
        <v>0.28050000000000003</v>
      </c>
      <c r="G1376" s="494">
        <v>31.34</v>
      </c>
      <c r="H1376" s="494">
        <v>8.7899999999999991</v>
      </c>
    </row>
    <row r="1377" spans="1:8">
      <c r="B1377" s="130" t="s">
        <v>625</v>
      </c>
      <c r="C1377" s="229" t="s">
        <v>626</v>
      </c>
      <c r="D1377" s="130" t="s">
        <v>119</v>
      </c>
      <c r="E1377" s="130" t="s">
        <v>121</v>
      </c>
      <c r="F1377" s="230">
        <v>0.14019999999999999</v>
      </c>
      <c r="G1377" s="494">
        <v>23.75</v>
      </c>
      <c r="H1377" s="494">
        <v>3.33</v>
      </c>
    </row>
    <row r="1378" spans="1:8" ht="12.75" customHeight="1">
      <c r="B1378" s="105"/>
      <c r="C1378" s="105"/>
      <c r="D1378" s="105"/>
      <c r="E1378" s="105"/>
      <c r="F1378" s="629" t="s">
        <v>610</v>
      </c>
      <c r="G1378" s="629"/>
      <c r="H1378" s="495">
        <v>12.12</v>
      </c>
    </row>
    <row r="1379" spans="1:8">
      <c r="B1379" s="628" t="s">
        <v>586</v>
      </c>
      <c r="C1379" s="628"/>
      <c r="D1379" s="103" t="s">
        <v>579</v>
      </c>
      <c r="E1379" s="103" t="s">
        <v>580</v>
      </c>
      <c r="F1379" s="103" t="s">
        <v>581</v>
      </c>
      <c r="G1379" s="103" t="s">
        <v>582</v>
      </c>
      <c r="H1379" s="103" t="s">
        <v>583</v>
      </c>
    </row>
    <row r="1380" spans="1:8" ht="38.25">
      <c r="B1380" s="130" t="s">
        <v>1460</v>
      </c>
      <c r="C1380" s="229" t="s">
        <v>1461</v>
      </c>
      <c r="D1380" s="130" t="s">
        <v>119</v>
      </c>
      <c r="E1380" s="130" t="s">
        <v>167</v>
      </c>
      <c r="F1380" s="230">
        <v>1.9400000000000001E-2</v>
      </c>
      <c r="G1380" s="494">
        <v>627.42999999999995</v>
      </c>
      <c r="H1380" s="494">
        <v>12.17</v>
      </c>
    </row>
    <row r="1381" spans="1:8">
      <c r="B1381" s="105"/>
      <c r="C1381" s="105"/>
      <c r="D1381" s="105"/>
      <c r="E1381" s="105"/>
      <c r="F1381" s="629" t="s">
        <v>587</v>
      </c>
      <c r="G1381" s="629"/>
      <c r="H1381" s="495">
        <v>12.17</v>
      </c>
    </row>
    <row r="1382" spans="1:8" ht="12.75" customHeight="1">
      <c r="B1382" s="105"/>
      <c r="C1382" s="105"/>
      <c r="D1382" s="105"/>
      <c r="E1382" s="105"/>
      <c r="F1382" s="630" t="s">
        <v>464</v>
      </c>
      <c r="G1382" s="630"/>
      <c r="H1382" s="102">
        <v>24.29</v>
      </c>
    </row>
    <row r="1383" spans="1:8">
      <c r="B1383" s="105"/>
      <c r="C1383" s="105"/>
      <c r="D1383" s="105"/>
      <c r="E1383" s="105"/>
      <c r="F1383" s="110"/>
      <c r="G1383" s="110"/>
      <c r="H1383" s="110"/>
    </row>
    <row r="1384" spans="1:8" s="220" customFormat="1" ht="27" customHeight="1">
      <c r="A1384" s="178" t="str">
        <f>'3 - PLAN. ORÇAMENTÁRIA'!A241</f>
        <v>4.1.5.2.2.1</v>
      </c>
      <c r="B1384" s="242">
        <f>VLOOKUP(A1384,'3 - PLAN. ORÇAMENTÁRIA'!$A$16:$B$721,2,FALSE)</f>
        <v>87878</v>
      </c>
      <c r="C1384" s="631" t="str">
        <f>VLOOKUP(A1384,'3 - PLAN. ORÇAMENTÁRIA'!$A$16:$C$721,3,FALSE)</f>
        <v>CHAPISCO APLICADO EM ALVENARIAS E ESTRUTURAS DE CONCRETO, COM COLHER DE PEDREIRO. ARGAMASSA TRAÇO 1:3 COM PREPARO MANUAL. AF_10/2022 (EXTERNO)</v>
      </c>
      <c r="D1384" s="632"/>
      <c r="E1384" s="632"/>
      <c r="F1384" s="632"/>
      <c r="G1384" s="633"/>
      <c r="H1384" s="131" t="str">
        <f>VLOOKUP(A1384,'3 - PLAN. ORÇAMENTÁRIA'!$A$17:$E$721,5,FALSE)</f>
        <v>M2</v>
      </c>
    </row>
    <row r="1385" spans="1:8" ht="12.75" customHeight="1">
      <c r="B1385" s="628" t="s">
        <v>607</v>
      </c>
      <c r="C1385" s="628"/>
      <c r="D1385" s="103" t="s">
        <v>579</v>
      </c>
      <c r="E1385" s="103" t="s">
        <v>580</v>
      </c>
      <c r="F1385" s="103" t="s">
        <v>581</v>
      </c>
      <c r="G1385" s="103" t="s">
        <v>582</v>
      </c>
      <c r="H1385" s="103" t="s">
        <v>583</v>
      </c>
    </row>
    <row r="1386" spans="1:8">
      <c r="B1386" s="130" t="s">
        <v>639</v>
      </c>
      <c r="C1386" s="229" t="s">
        <v>640</v>
      </c>
      <c r="D1386" s="130" t="s">
        <v>119</v>
      </c>
      <c r="E1386" s="130" t="s">
        <v>121</v>
      </c>
      <c r="F1386" s="230">
        <v>6.8099999999999994E-2</v>
      </c>
      <c r="G1386" s="494">
        <v>31.34</v>
      </c>
      <c r="H1386" s="494">
        <v>2.13</v>
      </c>
    </row>
    <row r="1387" spans="1:8">
      <c r="B1387" s="130" t="s">
        <v>625</v>
      </c>
      <c r="C1387" s="229" t="s">
        <v>626</v>
      </c>
      <c r="D1387" s="130" t="s">
        <v>119</v>
      </c>
      <c r="E1387" s="130" t="s">
        <v>121</v>
      </c>
      <c r="F1387" s="230">
        <v>2.5499999999999998E-2</v>
      </c>
      <c r="G1387" s="494">
        <v>23.75</v>
      </c>
      <c r="H1387" s="494">
        <v>0.61</v>
      </c>
    </row>
    <row r="1388" spans="1:8" ht="12.75" customHeight="1">
      <c r="B1388" s="105"/>
      <c r="C1388" s="105"/>
      <c r="D1388" s="105"/>
      <c r="E1388" s="105"/>
      <c r="F1388" s="629" t="s">
        <v>610</v>
      </c>
      <c r="G1388" s="629"/>
      <c r="H1388" s="495">
        <v>2.74</v>
      </c>
    </row>
    <row r="1389" spans="1:8">
      <c r="B1389" s="628" t="s">
        <v>586</v>
      </c>
      <c r="C1389" s="628"/>
      <c r="D1389" s="103" t="s">
        <v>579</v>
      </c>
      <c r="E1389" s="103" t="s">
        <v>580</v>
      </c>
      <c r="F1389" s="103" t="s">
        <v>581</v>
      </c>
      <c r="G1389" s="103" t="s">
        <v>582</v>
      </c>
      <c r="H1389" s="103" t="s">
        <v>583</v>
      </c>
    </row>
    <row r="1390" spans="1:8" ht="25.5">
      <c r="B1390" s="130" t="s">
        <v>1412</v>
      </c>
      <c r="C1390" s="229" t="s">
        <v>1413</v>
      </c>
      <c r="D1390" s="130" t="s">
        <v>119</v>
      </c>
      <c r="E1390" s="130" t="s">
        <v>167</v>
      </c>
      <c r="F1390" s="230">
        <v>3.7000000000000002E-3</v>
      </c>
      <c r="G1390" s="494">
        <v>731.63</v>
      </c>
      <c r="H1390" s="494">
        <v>2.71</v>
      </c>
    </row>
    <row r="1391" spans="1:8">
      <c r="B1391" s="105"/>
      <c r="C1391" s="105"/>
      <c r="D1391" s="105"/>
      <c r="E1391" s="105"/>
      <c r="F1391" s="629" t="s">
        <v>587</v>
      </c>
      <c r="G1391" s="629"/>
      <c r="H1391" s="495">
        <v>2.71</v>
      </c>
    </row>
    <row r="1392" spans="1:8" ht="12.75" customHeight="1">
      <c r="B1392" s="105"/>
      <c r="C1392" s="105"/>
      <c r="D1392" s="105"/>
      <c r="E1392" s="105"/>
      <c r="F1392" s="630" t="s">
        <v>464</v>
      </c>
      <c r="G1392" s="630"/>
      <c r="H1392" s="102">
        <v>5.43</v>
      </c>
    </row>
    <row r="1393" spans="1:8">
      <c r="B1393" s="105"/>
      <c r="C1393" s="105"/>
      <c r="D1393" s="105"/>
      <c r="E1393" s="105"/>
      <c r="F1393" s="634"/>
      <c r="G1393" s="634"/>
      <c r="H1393" s="634"/>
    </row>
    <row r="1394" spans="1:8" s="220" customFormat="1" ht="27" customHeight="1">
      <c r="A1394" s="178" t="str">
        <f>'3 - PLAN. ORÇAMENTÁRIA'!A243</f>
        <v>4.1.5.2.2.3</v>
      </c>
      <c r="B1394" s="242">
        <f>VLOOKUP(A1394,'3 - PLAN. ORÇAMENTÁRIA'!$A$16:$B$721,2,FALSE)</f>
        <v>104959</v>
      </c>
      <c r="C1394" s="631" t="str">
        <f>VLOOKUP(A1394,'3 - PLAN. ORÇAMENTÁRIA'!$A$16:$C$721,3,FALSE)</f>
        <v>REBOCO, EM ARGAMASSA TRAÇO 1:2:8 PREPARO MANUAL, APLICADA MANUALMENTE EM PAREDES EXTERNAS DE AMBIENTES COM ÁREA MAIOR QUE 10M², E = 10MM, COM TALISCAS. AF_03/2024</v>
      </c>
      <c r="D1394" s="632"/>
      <c r="E1394" s="632"/>
      <c r="F1394" s="632"/>
      <c r="G1394" s="633"/>
      <c r="H1394" s="131" t="str">
        <f>VLOOKUP(A1394,'3 - PLAN. ORÇAMENTÁRIA'!$A$17:$E$721,5,FALSE)</f>
        <v>M2</v>
      </c>
    </row>
    <row r="1395" spans="1:8" ht="12.75" customHeight="1">
      <c r="B1395" s="628" t="s">
        <v>607</v>
      </c>
      <c r="C1395" s="628"/>
      <c r="D1395" s="103" t="s">
        <v>579</v>
      </c>
      <c r="E1395" s="103" t="s">
        <v>580</v>
      </c>
      <c r="F1395" s="103" t="s">
        <v>581</v>
      </c>
      <c r="G1395" s="103" t="s">
        <v>582</v>
      </c>
      <c r="H1395" s="103" t="s">
        <v>583</v>
      </c>
    </row>
    <row r="1396" spans="1:8">
      <c r="B1396" s="130" t="s">
        <v>639</v>
      </c>
      <c r="C1396" s="229" t="s">
        <v>640</v>
      </c>
      <c r="D1396" s="130" t="s">
        <v>119</v>
      </c>
      <c r="E1396" s="130" t="s">
        <v>121</v>
      </c>
      <c r="F1396" s="230">
        <v>0.29709999999999998</v>
      </c>
      <c r="G1396" s="494">
        <v>31.34</v>
      </c>
      <c r="H1396" s="494">
        <v>9.31</v>
      </c>
    </row>
    <row r="1397" spans="1:8">
      <c r="B1397" s="130" t="s">
        <v>625</v>
      </c>
      <c r="C1397" s="229" t="s">
        <v>626</v>
      </c>
      <c r="D1397" s="130" t="s">
        <v>119</v>
      </c>
      <c r="E1397" s="130" t="s">
        <v>121</v>
      </c>
      <c r="F1397" s="230">
        <v>0.14849999999999999</v>
      </c>
      <c r="G1397" s="494">
        <v>23.75</v>
      </c>
      <c r="H1397" s="494">
        <v>3.53</v>
      </c>
    </row>
    <row r="1398" spans="1:8" ht="12.75" customHeight="1">
      <c r="B1398" s="105"/>
      <c r="C1398" s="105"/>
      <c r="D1398" s="105"/>
      <c r="E1398" s="105"/>
      <c r="F1398" s="629" t="s">
        <v>610</v>
      </c>
      <c r="G1398" s="629"/>
      <c r="H1398" s="495">
        <v>12.84</v>
      </c>
    </row>
    <row r="1399" spans="1:8">
      <c r="B1399" s="628" t="s">
        <v>586</v>
      </c>
      <c r="C1399" s="628"/>
      <c r="D1399" s="103" t="s">
        <v>579</v>
      </c>
      <c r="E1399" s="103" t="s">
        <v>580</v>
      </c>
      <c r="F1399" s="103" t="s">
        <v>581</v>
      </c>
      <c r="G1399" s="103" t="s">
        <v>582</v>
      </c>
      <c r="H1399" s="103" t="s">
        <v>583</v>
      </c>
    </row>
    <row r="1400" spans="1:8" ht="38.25">
      <c r="B1400" s="130" t="s">
        <v>1462</v>
      </c>
      <c r="C1400" s="229" t="s">
        <v>1463</v>
      </c>
      <c r="D1400" s="130" t="s">
        <v>119</v>
      </c>
      <c r="E1400" s="130" t="s">
        <v>167</v>
      </c>
      <c r="F1400" s="230">
        <v>1.9400000000000001E-2</v>
      </c>
      <c r="G1400" s="494">
        <v>762.32</v>
      </c>
      <c r="H1400" s="494">
        <v>14.79</v>
      </c>
    </row>
    <row r="1401" spans="1:8">
      <c r="B1401" s="105"/>
      <c r="C1401" s="105"/>
      <c r="D1401" s="105"/>
      <c r="E1401" s="105"/>
      <c r="F1401" s="629" t="s">
        <v>587</v>
      </c>
      <c r="G1401" s="629"/>
      <c r="H1401" s="495">
        <v>14.79</v>
      </c>
    </row>
    <row r="1402" spans="1:8" ht="12.75" customHeight="1">
      <c r="B1402" s="105"/>
      <c r="C1402" s="105"/>
      <c r="D1402" s="105"/>
      <c r="E1402" s="105"/>
      <c r="F1402" s="630" t="s">
        <v>464</v>
      </c>
      <c r="G1402" s="630"/>
      <c r="H1402" s="102">
        <v>27.63</v>
      </c>
    </row>
    <row r="1403" spans="1:8">
      <c r="B1403" s="105"/>
      <c r="C1403" s="105"/>
      <c r="D1403" s="105"/>
      <c r="E1403" s="105"/>
      <c r="F1403" s="634"/>
      <c r="G1403" s="634"/>
      <c r="H1403" s="634"/>
    </row>
    <row r="1404" spans="1:8" s="220" customFormat="1" ht="27" customHeight="1">
      <c r="A1404" s="178" t="str">
        <f>'3 - PLAN. ORÇAMENTÁRIA'!A248</f>
        <v>4.1.5.3.2</v>
      </c>
      <c r="B1404" s="242">
        <f>VLOOKUP(A1404,'3 - PLAN. ORÇAMENTÁRIA'!$A$16:$B$721,2,FALSE)</f>
        <v>96114</v>
      </c>
      <c r="C1404" s="631" t="str">
        <f>VLOOKUP(A1404,'3 - PLAN. ORÇAMENTÁRIA'!$A$16:$C$721,3,FALSE)</f>
        <v>FORRO EM GESSO ACARTONADO, PARA AMBIENTES COMERCIAIS, INCLUSIVE ESTRUTURA BIRECIONAL DE FIXAÇÃO. AF_08/2023_PS</v>
      </c>
      <c r="D1404" s="632"/>
      <c r="E1404" s="632"/>
      <c r="F1404" s="632"/>
      <c r="G1404" s="633"/>
      <c r="H1404" s="131" t="str">
        <f>VLOOKUP(A1404,'3 - PLAN. ORÇAMENTÁRIA'!$A$17:$E$721,5,FALSE)</f>
        <v>M2</v>
      </c>
    </row>
    <row r="1405" spans="1:8">
      <c r="B1405" s="628" t="s">
        <v>593</v>
      </c>
      <c r="C1405" s="628"/>
      <c r="D1405" s="103" t="s">
        <v>579</v>
      </c>
      <c r="E1405" s="103" t="s">
        <v>580</v>
      </c>
      <c r="F1405" s="103" t="s">
        <v>581</v>
      </c>
      <c r="G1405" s="103" t="s">
        <v>582</v>
      </c>
      <c r="H1405" s="103" t="s">
        <v>583</v>
      </c>
    </row>
    <row r="1406" spans="1:8" ht="25.5">
      <c r="B1406" s="130" t="s">
        <v>1531</v>
      </c>
      <c r="C1406" s="229" t="s">
        <v>1532</v>
      </c>
      <c r="D1406" s="130" t="s">
        <v>119</v>
      </c>
      <c r="E1406" s="130" t="s">
        <v>200</v>
      </c>
      <c r="F1406" s="230">
        <v>3.6999999999999998E-2</v>
      </c>
      <c r="G1406" s="494">
        <v>22.51</v>
      </c>
      <c r="H1406" s="494">
        <v>0.83</v>
      </c>
    </row>
    <row r="1407" spans="1:8" ht="25.5">
      <c r="B1407" s="130" t="s">
        <v>1482</v>
      </c>
      <c r="C1407" s="229" t="s">
        <v>1483</v>
      </c>
      <c r="D1407" s="130" t="s">
        <v>119</v>
      </c>
      <c r="E1407" s="130" t="s">
        <v>173</v>
      </c>
      <c r="F1407" s="230">
        <v>1.4276</v>
      </c>
      <c r="G1407" s="494">
        <v>2.42</v>
      </c>
      <c r="H1407" s="494">
        <v>3.45</v>
      </c>
    </row>
    <row r="1408" spans="1:8" ht="25.5">
      <c r="B1408" s="130" t="s">
        <v>1484</v>
      </c>
      <c r="C1408" s="229" t="s">
        <v>1485</v>
      </c>
      <c r="D1408" s="130" t="s">
        <v>119</v>
      </c>
      <c r="E1408" s="130" t="s">
        <v>200</v>
      </c>
      <c r="F1408" s="230">
        <v>0.69259999999999999</v>
      </c>
      <c r="G1408" s="494">
        <v>3.03</v>
      </c>
      <c r="H1408" s="494">
        <v>2.1</v>
      </c>
    </row>
    <row r="1409" spans="1:8" ht="25.5">
      <c r="B1409" s="130" t="s">
        <v>1486</v>
      </c>
      <c r="C1409" s="229" t="s">
        <v>1487</v>
      </c>
      <c r="D1409" s="130" t="s">
        <v>119</v>
      </c>
      <c r="E1409" s="130" t="s">
        <v>144</v>
      </c>
      <c r="F1409" s="230">
        <v>9.6469000000000005</v>
      </c>
      <c r="G1409" s="494">
        <v>0.12</v>
      </c>
      <c r="H1409" s="494">
        <v>1.1599999999999999</v>
      </c>
    </row>
    <row r="1410" spans="1:8" ht="25.5">
      <c r="B1410" s="130" t="s">
        <v>1490</v>
      </c>
      <c r="C1410" s="229" t="s">
        <v>1491</v>
      </c>
      <c r="D1410" s="130" t="s">
        <v>119</v>
      </c>
      <c r="E1410" s="130" t="s">
        <v>144</v>
      </c>
      <c r="F1410" s="230">
        <v>1.2266999999999999</v>
      </c>
      <c r="G1410" s="494">
        <v>0.28000000000000003</v>
      </c>
      <c r="H1410" s="494">
        <v>0.34</v>
      </c>
    </row>
    <row r="1411" spans="1:8">
      <c r="B1411" s="130" t="s">
        <v>1533</v>
      </c>
      <c r="C1411" s="229" t="s">
        <v>1534</v>
      </c>
      <c r="D1411" s="130" t="s">
        <v>119</v>
      </c>
      <c r="E1411" s="130" t="s">
        <v>1457</v>
      </c>
      <c r="F1411" s="230">
        <v>1.23E-2</v>
      </c>
      <c r="G1411" s="494">
        <v>31.56</v>
      </c>
      <c r="H1411" s="494">
        <v>0.39</v>
      </c>
    </row>
    <row r="1412" spans="1:8" ht="25.5">
      <c r="B1412" s="130" t="s">
        <v>1535</v>
      </c>
      <c r="C1412" s="229" t="s">
        <v>1536</v>
      </c>
      <c r="D1412" s="130" t="s">
        <v>119</v>
      </c>
      <c r="E1412" s="130" t="s">
        <v>144</v>
      </c>
      <c r="F1412" s="230">
        <v>1.2266999999999999</v>
      </c>
      <c r="G1412" s="494">
        <v>1.72</v>
      </c>
      <c r="H1412" s="494">
        <v>2.11</v>
      </c>
    </row>
    <row r="1413" spans="1:8" ht="25.5">
      <c r="B1413" s="130" t="s">
        <v>1537</v>
      </c>
      <c r="C1413" s="229" t="s">
        <v>1538</v>
      </c>
      <c r="D1413" s="130" t="s">
        <v>119</v>
      </c>
      <c r="E1413" s="130" t="s">
        <v>173</v>
      </c>
      <c r="F1413" s="230">
        <v>3.5470000000000002</v>
      </c>
      <c r="G1413" s="494">
        <v>4.57</v>
      </c>
      <c r="H1413" s="494">
        <v>16.21</v>
      </c>
    </row>
    <row r="1414" spans="1:8" ht="25.5">
      <c r="B1414" s="130" t="s">
        <v>1498</v>
      </c>
      <c r="C1414" s="229" t="s">
        <v>1499</v>
      </c>
      <c r="D1414" s="130" t="s">
        <v>119</v>
      </c>
      <c r="E1414" s="130" t="s">
        <v>139</v>
      </c>
      <c r="F1414" s="230">
        <v>1.0838000000000001</v>
      </c>
      <c r="G1414" s="494">
        <v>17.47</v>
      </c>
      <c r="H1414" s="494">
        <v>18.93</v>
      </c>
    </row>
    <row r="1415" spans="1:8">
      <c r="B1415" s="105"/>
      <c r="C1415" s="105"/>
      <c r="D1415" s="105"/>
      <c r="E1415" s="105"/>
      <c r="F1415" s="629" t="s">
        <v>604</v>
      </c>
      <c r="G1415" s="629"/>
      <c r="H1415" s="495">
        <v>45.52</v>
      </c>
    </row>
    <row r="1416" spans="1:8" ht="12.75" customHeight="1">
      <c r="B1416" s="628" t="s">
        <v>607</v>
      </c>
      <c r="C1416" s="628"/>
      <c r="D1416" s="103" t="s">
        <v>579</v>
      </c>
      <c r="E1416" s="103" t="s">
        <v>580</v>
      </c>
      <c r="F1416" s="103" t="s">
        <v>581</v>
      </c>
      <c r="G1416" s="103" t="s">
        <v>582</v>
      </c>
      <c r="H1416" s="103" t="s">
        <v>583</v>
      </c>
    </row>
    <row r="1417" spans="1:8">
      <c r="B1417" s="130" t="s">
        <v>1329</v>
      </c>
      <c r="C1417" s="229" t="s">
        <v>1330</v>
      </c>
      <c r="D1417" s="130" t="s">
        <v>119</v>
      </c>
      <c r="E1417" s="130" t="s">
        <v>121</v>
      </c>
      <c r="F1417" s="230">
        <v>0.47860000000000003</v>
      </c>
      <c r="G1417" s="494">
        <v>25.64</v>
      </c>
      <c r="H1417" s="494">
        <v>12.27</v>
      </c>
    </row>
    <row r="1418" spans="1:8">
      <c r="B1418" s="130" t="s">
        <v>625</v>
      </c>
      <c r="C1418" s="229" t="s">
        <v>626</v>
      </c>
      <c r="D1418" s="130" t="s">
        <v>119</v>
      </c>
      <c r="E1418" s="130" t="s">
        <v>121</v>
      </c>
      <c r="F1418" s="230">
        <v>0.47860000000000003</v>
      </c>
      <c r="G1418" s="494">
        <v>23.75</v>
      </c>
      <c r="H1418" s="494">
        <v>11.37</v>
      </c>
    </row>
    <row r="1419" spans="1:8" ht="12.75" customHeight="1">
      <c r="B1419" s="105"/>
      <c r="C1419" s="105"/>
      <c r="D1419" s="105"/>
      <c r="E1419" s="105"/>
      <c r="F1419" s="629" t="s">
        <v>610</v>
      </c>
      <c r="G1419" s="629"/>
      <c r="H1419" s="495">
        <v>23.64</v>
      </c>
    </row>
    <row r="1420" spans="1:8" ht="12.75" customHeight="1">
      <c r="B1420" s="105"/>
      <c r="C1420" s="105"/>
      <c r="D1420" s="105"/>
      <c r="E1420" s="105"/>
      <c r="F1420" s="630" t="s">
        <v>464</v>
      </c>
      <c r="G1420" s="630"/>
      <c r="H1420" s="102">
        <v>69.099999999999994</v>
      </c>
    </row>
    <row r="1421" spans="1:8">
      <c r="B1421" s="105"/>
      <c r="C1421" s="105"/>
      <c r="D1421" s="105"/>
      <c r="E1421" s="105"/>
      <c r="F1421" s="634"/>
      <c r="G1421" s="634"/>
      <c r="H1421" s="634"/>
    </row>
    <row r="1422" spans="1:8" s="220" customFormat="1" ht="27" customHeight="1">
      <c r="A1422" s="178" t="str">
        <f>'3 - PLAN. ORÇAMENTÁRIA'!A249</f>
        <v>4.1.5.3.3</v>
      </c>
      <c r="B1422" s="242">
        <f>VLOOKUP(A1422,'3 - PLAN. ORÇAMENTÁRIA'!$A$16:$B$721,2,FALSE)</f>
        <v>96114</v>
      </c>
      <c r="C1422" s="631" t="str">
        <f>VLOOKUP(A1422,'3 - PLAN. ORÇAMENTÁRIA'!$A$16:$C$721,3,FALSE)</f>
        <v>CORTINEIRO EM GESSO ACARTONADO, PARA AMBIENTES COMERCIAIS, INCLUSIVE ESTRUTURA DE FIXAÇÃO. AF_08/2023_PS</v>
      </c>
      <c r="D1422" s="632"/>
      <c r="E1422" s="632"/>
      <c r="F1422" s="632"/>
      <c r="G1422" s="633"/>
      <c r="H1422" s="493" t="str">
        <f>VLOOKUP(A1422,'3 - PLAN. ORÇAMENTÁRIA'!$A$17:$E$721,5,FALSE)</f>
        <v>M2</v>
      </c>
    </row>
    <row r="1423" spans="1:8">
      <c r="B1423" s="628" t="s">
        <v>593</v>
      </c>
      <c r="C1423" s="628"/>
      <c r="D1423" s="103" t="s">
        <v>579</v>
      </c>
      <c r="E1423" s="103" t="s">
        <v>580</v>
      </c>
      <c r="F1423" s="103" t="s">
        <v>581</v>
      </c>
      <c r="G1423" s="103" t="s">
        <v>582</v>
      </c>
      <c r="H1423" s="103" t="s">
        <v>583</v>
      </c>
    </row>
    <row r="1424" spans="1:8" ht="25.5">
      <c r="B1424" s="130" t="s">
        <v>1531</v>
      </c>
      <c r="C1424" s="229" t="s">
        <v>1532</v>
      </c>
      <c r="D1424" s="130" t="s">
        <v>119</v>
      </c>
      <c r="E1424" s="130" t="s">
        <v>200</v>
      </c>
      <c r="F1424" s="230">
        <v>3.6999999999999998E-2</v>
      </c>
      <c r="G1424" s="494">
        <v>22.51</v>
      </c>
      <c r="H1424" s="494">
        <v>0.83</v>
      </c>
    </row>
    <row r="1425" spans="1:8" ht="25.5">
      <c r="B1425" s="130" t="s">
        <v>1482</v>
      </c>
      <c r="C1425" s="229" t="s">
        <v>1483</v>
      </c>
      <c r="D1425" s="130" t="s">
        <v>119</v>
      </c>
      <c r="E1425" s="130" t="s">
        <v>173</v>
      </c>
      <c r="F1425" s="230">
        <v>1.4276</v>
      </c>
      <c r="G1425" s="494">
        <v>2.42</v>
      </c>
      <c r="H1425" s="494">
        <v>3.45</v>
      </c>
    </row>
    <row r="1426" spans="1:8" ht="25.5">
      <c r="B1426" s="130" t="s">
        <v>1484</v>
      </c>
      <c r="C1426" s="229" t="s">
        <v>1485</v>
      </c>
      <c r="D1426" s="130" t="s">
        <v>119</v>
      </c>
      <c r="E1426" s="130" t="s">
        <v>200</v>
      </c>
      <c r="F1426" s="230">
        <v>0.69259999999999999</v>
      </c>
      <c r="G1426" s="494">
        <v>3.03</v>
      </c>
      <c r="H1426" s="494">
        <v>2.1</v>
      </c>
    </row>
    <row r="1427" spans="1:8" ht="25.5">
      <c r="B1427" s="130" t="s">
        <v>1486</v>
      </c>
      <c r="C1427" s="229" t="s">
        <v>1487</v>
      </c>
      <c r="D1427" s="130" t="s">
        <v>119</v>
      </c>
      <c r="E1427" s="130" t="s">
        <v>144</v>
      </c>
      <c r="F1427" s="230">
        <v>9.6469000000000005</v>
      </c>
      <c r="G1427" s="494">
        <v>0.12</v>
      </c>
      <c r="H1427" s="494">
        <v>1.1599999999999999</v>
      </c>
    </row>
    <row r="1428" spans="1:8" ht="25.5">
      <c r="B1428" s="130" t="s">
        <v>1490</v>
      </c>
      <c r="C1428" s="229" t="s">
        <v>1491</v>
      </c>
      <c r="D1428" s="130" t="s">
        <v>119</v>
      </c>
      <c r="E1428" s="130" t="s">
        <v>144</v>
      </c>
      <c r="F1428" s="230">
        <v>1.2266999999999999</v>
      </c>
      <c r="G1428" s="494">
        <v>0.28000000000000003</v>
      </c>
      <c r="H1428" s="494">
        <v>0.34</v>
      </c>
    </row>
    <row r="1429" spans="1:8">
      <c r="B1429" s="130" t="s">
        <v>1533</v>
      </c>
      <c r="C1429" s="229" t="s">
        <v>1534</v>
      </c>
      <c r="D1429" s="130" t="s">
        <v>119</v>
      </c>
      <c r="E1429" s="130" t="s">
        <v>1457</v>
      </c>
      <c r="F1429" s="230">
        <v>1.23E-2</v>
      </c>
      <c r="G1429" s="494">
        <v>31.56</v>
      </c>
      <c r="H1429" s="494">
        <v>0.39</v>
      </c>
    </row>
    <row r="1430" spans="1:8" ht="25.5">
      <c r="B1430" s="130" t="s">
        <v>1535</v>
      </c>
      <c r="C1430" s="229" t="s">
        <v>1536</v>
      </c>
      <c r="D1430" s="130" t="s">
        <v>119</v>
      </c>
      <c r="E1430" s="130" t="s">
        <v>144</v>
      </c>
      <c r="F1430" s="230">
        <v>1.2266999999999999</v>
      </c>
      <c r="G1430" s="494">
        <v>1.72</v>
      </c>
      <c r="H1430" s="494">
        <v>2.11</v>
      </c>
    </row>
    <row r="1431" spans="1:8" ht="25.5">
      <c r="B1431" s="130" t="s">
        <v>1537</v>
      </c>
      <c r="C1431" s="229" t="s">
        <v>1538</v>
      </c>
      <c r="D1431" s="130" t="s">
        <v>119</v>
      </c>
      <c r="E1431" s="130" t="s">
        <v>173</v>
      </c>
      <c r="F1431" s="230">
        <v>3.5470000000000002</v>
      </c>
      <c r="G1431" s="494">
        <v>4.57</v>
      </c>
      <c r="H1431" s="494">
        <v>16.21</v>
      </c>
    </row>
    <row r="1432" spans="1:8" ht="25.5">
      <c r="B1432" s="130" t="s">
        <v>1498</v>
      </c>
      <c r="C1432" s="229" t="s">
        <v>1499</v>
      </c>
      <c r="D1432" s="130" t="s">
        <v>119</v>
      </c>
      <c r="E1432" s="130" t="s">
        <v>139</v>
      </c>
      <c r="F1432" s="230">
        <v>1.0838000000000001</v>
      </c>
      <c r="G1432" s="494">
        <v>17.47</v>
      </c>
      <c r="H1432" s="494">
        <v>18.93</v>
      </c>
    </row>
    <row r="1433" spans="1:8">
      <c r="B1433" s="105"/>
      <c r="C1433" s="105"/>
      <c r="D1433" s="105"/>
      <c r="E1433" s="105"/>
      <c r="F1433" s="629" t="s">
        <v>604</v>
      </c>
      <c r="G1433" s="629"/>
      <c r="H1433" s="495">
        <v>45.52</v>
      </c>
    </row>
    <row r="1434" spans="1:8" ht="12.75" customHeight="1">
      <c r="B1434" s="628" t="s">
        <v>607</v>
      </c>
      <c r="C1434" s="628"/>
      <c r="D1434" s="103" t="s">
        <v>579</v>
      </c>
      <c r="E1434" s="103" t="s">
        <v>580</v>
      </c>
      <c r="F1434" s="103" t="s">
        <v>581</v>
      </c>
      <c r="G1434" s="103" t="s">
        <v>582</v>
      </c>
      <c r="H1434" s="103" t="s">
        <v>583</v>
      </c>
    </row>
    <row r="1435" spans="1:8">
      <c r="B1435" s="130" t="s">
        <v>1329</v>
      </c>
      <c r="C1435" s="229" t="s">
        <v>1330</v>
      </c>
      <c r="D1435" s="130" t="s">
        <v>119</v>
      </c>
      <c r="E1435" s="130" t="s">
        <v>121</v>
      </c>
      <c r="F1435" s="230">
        <v>0.47860000000000003</v>
      </c>
      <c r="G1435" s="494">
        <v>25.64</v>
      </c>
      <c r="H1435" s="494">
        <v>12.27</v>
      </c>
    </row>
    <row r="1436" spans="1:8">
      <c r="B1436" s="130" t="s">
        <v>625</v>
      </c>
      <c r="C1436" s="229" t="s">
        <v>626</v>
      </c>
      <c r="D1436" s="130" t="s">
        <v>119</v>
      </c>
      <c r="E1436" s="130" t="s">
        <v>121</v>
      </c>
      <c r="F1436" s="230">
        <v>0.47860000000000003</v>
      </c>
      <c r="G1436" s="494">
        <v>23.75</v>
      </c>
      <c r="H1436" s="494">
        <v>11.37</v>
      </c>
    </row>
    <row r="1437" spans="1:8" ht="12.75" customHeight="1">
      <c r="B1437" s="105"/>
      <c r="C1437" s="105"/>
      <c r="D1437" s="105"/>
      <c r="E1437" s="105"/>
      <c r="F1437" s="629" t="s">
        <v>610</v>
      </c>
      <c r="G1437" s="629"/>
      <c r="H1437" s="495">
        <v>23.64</v>
      </c>
    </row>
    <row r="1438" spans="1:8" ht="12.75" customHeight="1">
      <c r="B1438" s="105"/>
      <c r="C1438" s="105"/>
      <c r="D1438" s="105"/>
      <c r="E1438" s="105"/>
      <c r="F1438" s="630" t="s">
        <v>464</v>
      </c>
      <c r="G1438" s="630"/>
      <c r="H1438" s="102">
        <v>69.099999999999994</v>
      </c>
    </row>
    <row r="1439" spans="1:8">
      <c r="B1439" s="105"/>
      <c r="C1439" s="105"/>
      <c r="D1439" s="105"/>
      <c r="E1439" s="105"/>
      <c r="F1439" s="634"/>
      <c r="G1439" s="634"/>
      <c r="H1439" s="634"/>
    </row>
    <row r="1440" spans="1:8" s="220" customFormat="1" ht="27" customHeight="1">
      <c r="A1440" s="178" t="str">
        <f>'3 - PLAN. ORÇAMENTÁRIA'!A250</f>
        <v>4.1.5.3.4</v>
      </c>
      <c r="B1440" s="242">
        <f>VLOOKUP(A1440,'3 - PLAN. ORÇAMENTÁRIA'!$A$16:$B$721,2,FALSE)</f>
        <v>88484</v>
      </c>
      <c r="C1440" s="631" t="str">
        <f>VLOOKUP(A1440,'3 - PLAN. ORÇAMENTÁRIA'!$A$16:$C$721,3,FALSE)</f>
        <v>FUNDO SELADOR ACRÍLICO, APLICAÇÃO MANUAL EM TETO, UMA DEMÃO. AF_04/2023</v>
      </c>
      <c r="D1440" s="632"/>
      <c r="E1440" s="632"/>
      <c r="F1440" s="632"/>
      <c r="G1440" s="633"/>
      <c r="H1440" s="493" t="str">
        <f>VLOOKUP(A1440,'3 - PLAN. ORÇAMENTÁRIA'!$A$17:$E$721,5,FALSE)</f>
        <v>M2</v>
      </c>
    </row>
    <row r="1441" spans="1:8">
      <c r="B1441" s="628" t="s">
        <v>593</v>
      </c>
      <c r="C1441" s="628"/>
      <c r="D1441" s="103" t="s">
        <v>579</v>
      </c>
      <c r="E1441" s="103" t="s">
        <v>580</v>
      </c>
      <c r="F1441" s="103" t="s">
        <v>581</v>
      </c>
      <c r="G1441" s="103" t="s">
        <v>582</v>
      </c>
      <c r="H1441" s="103" t="s">
        <v>583</v>
      </c>
    </row>
    <row r="1442" spans="1:8">
      <c r="B1442" s="130" t="s">
        <v>1464</v>
      </c>
      <c r="C1442" s="229" t="s">
        <v>1465</v>
      </c>
      <c r="D1442" s="130" t="s">
        <v>119</v>
      </c>
      <c r="E1442" s="130" t="s">
        <v>107</v>
      </c>
      <c r="F1442" s="230">
        <v>0.1666</v>
      </c>
      <c r="G1442" s="494">
        <v>12.45</v>
      </c>
      <c r="H1442" s="494">
        <v>2.0699999999999998</v>
      </c>
    </row>
    <row r="1443" spans="1:8">
      <c r="B1443" s="105"/>
      <c r="C1443" s="105"/>
      <c r="D1443" s="105"/>
      <c r="E1443" s="105"/>
      <c r="F1443" s="629" t="s">
        <v>604</v>
      </c>
      <c r="G1443" s="629"/>
      <c r="H1443" s="495">
        <v>2.0699999999999998</v>
      </c>
    </row>
    <row r="1444" spans="1:8" ht="12.75" customHeight="1">
      <c r="B1444" s="628" t="s">
        <v>607</v>
      </c>
      <c r="C1444" s="628"/>
      <c r="D1444" s="103" t="s">
        <v>579</v>
      </c>
      <c r="E1444" s="103" t="s">
        <v>580</v>
      </c>
      <c r="F1444" s="103" t="s">
        <v>581</v>
      </c>
      <c r="G1444" s="103" t="s">
        <v>582</v>
      </c>
      <c r="H1444" s="103" t="s">
        <v>583</v>
      </c>
    </row>
    <row r="1445" spans="1:8">
      <c r="B1445" s="130" t="s">
        <v>1450</v>
      </c>
      <c r="C1445" s="229" t="s">
        <v>663</v>
      </c>
      <c r="D1445" s="130" t="s">
        <v>119</v>
      </c>
      <c r="E1445" s="130" t="s">
        <v>121</v>
      </c>
      <c r="F1445" s="230">
        <v>9.2700000000000005E-2</v>
      </c>
      <c r="G1445" s="494">
        <v>33.01</v>
      </c>
      <c r="H1445" s="494">
        <v>3.06</v>
      </c>
    </row>
    <row r="1446" spans="1:8">
      <c r="B1446" s="130" t="s">
        <v>625</v>
      </c>
      <c r="C1446" s="229" t="s">
        <v>626</v>
      </c>
      <c r="D1446" s="130" t="s">
        <v>119</v>
      </c>
      <c r="E1446" s="130" t="s">
        <v>121</v>
      </c>
      <c r="F1446" s="230">
        <v>3.09E-2</v>
      </c>
      <c r="G1446" s="494">
        <v>23.75</v>
      </c>
      <c r="H1446" s="494">
        <v>0.73</v>
      </c>
    </row>
    <row r="1447" spans="1:8" ht="12.75" customHeight="1">
      <c r="B1447" s="105"/>
      <c r="C1447" s="105"/>
      <c r="D1447" s="105"/>
      <c r="E1447" s="105"/>
      <c r="F1447" s="629" t="s">
        <v>610</v>
      </c>
      <c r="G1447" s="629"/>
      <c r="H1447" s="495">
        <v>3.79</v>
      </c>
    </row>
    <row r="1448" spans="1:8" ht="12.75" customHeight="1">
      <c r="B1448" s="105"/>
      <c r="C1448" s="105"/>
      <c r="D1448" s="105"/>
      <c r="E1448" s="105"/>
      <c r="F1448" s="630" t="s">
        <v>464</v>
      </c>
      <c r="G1448" s="630"/>
      <c r="H1448" s="102">
        <v>5.86</v>
      </c>
    </row>
    <row r="1449" spans="1:8">
      <c r="B1449" s="105"/>
      <c r="C1449" s="105"/>
      <c r="D1449" s="105"/>
      <c r="E1449" s="105"/>
      <c r="F1449" s="634"/>
      <c r="G1449" s="634"/>
      <c r="H1449" s="634"/>
    </row>
    <row r="1450" spans="1:8" s="220" customFormat="1" ht="27" customHeight="1">
      <c r="A1450" s="178" t="str">
        <f>'3 - PLAN. ORÇAMENTÁRIA'!A251</f>
        <v>4.1.5.3.5</v>
      </c>
      <c r="B1450" s="242">
        <f>VLOOKUP(A1450,'3 - PLAN. ORÇAMENTÁRIA'!$A$16:$B$721,2,FALSE)</f>
        <v>88488</v>
      </c>
      <c r="C1450" s="631" t="str">
        <f>VLOOKUP(A1450,'3 - PLAN. ORÇAMENTÁRIA'!$A$16:$C$721,3,FALSE)</f>
        <v>PINTURA LÁTEX ACRÍLICA PREMIUM, APLICAÇÃO MANUAL EM TETO, DUAS DEMÃOS. AF_04/2023</v>
      </c>
      <c r="D1450" s="632"/>
      <c r="E1450" s="632"/>
      <c r="F1450" s="632"/>
      <c r="G1450" s="633"/>
      <c r="H1450" s="493" t="str">
        <f>VLOOKUP(A1450,'3 - PLAN. ORÇAMENTÁRIA'!$A$17:$E$721,5,FALSE)</f>
        <v>M2</v>
      </c>
    </row>
    <row r="1451" spans="1:8">
      <c r="B1451" s="628" t="s">
        <v>593</v>
      </c>
      <c r="C1451" s="628"/>
      <c r="D1451" s="103" t="s">
        <v>579</v>
      </c>
      <c r="E1451" s="103" t="s">
        <v>580</v>
      </c>
      <c r="F1451" s="103" t="s">
        <v>581</v>
      </c>
      <c r="G1451" s="103" t="s">
        <v>582</v>
      </c>
      <c r="H1451" s="103" t="s">
        <v>583</v>
      </c>
    </row>
    <row r="1452" spans="1:8">
      <c r="B1452" s="130" t="s">
        <v>632</v>
      </c>
      <c r="C1452" s="229" t="s">
        <v>633</v>
      </c>
      <c r="D1452" s="130" t="s">
        <v>119</v>
      </c>
      <c r="E1452" s="130" t="s">
        <v>107</v>
      </c>
      <c r="F1452" s="230">
        <v>0.22850000000000001</v>
      </c>
      <c r="G1452" s="494">
        <v>31.4</v>
      </c>
      <c r="H1452" s="494">
        <v>7.17</v>
      </c>
    </row>
    <row r="1453" spans="1:8">
      <c r="B1453" s="105"/>
      <c r="C1453" s="105"/>
      <c r="D1453" s="105"/>
      <c r="E1453" s="105"/>
      <c r="F1453" s="629" t="s">
        <v>604</v>
      </c>
      <c r="G1453" s="629"/>
      <c r="H1453" s="495">
        <v>7.17</v>
      </c>
    </row>
    <row r="1454" spans="1:8" ht="12.75" customHeight="1">
      <c r="B1454" s="628" t="s">
        <v>607</v>
      </c>
      <c r="C1454" s="628"/>
      <c r="D1454" s="103" t="s">
        <v>579</v>
      </c>
      <c r="E1454" s="103" t="s">
        <v>580</v>
      </c>
      <c r="F1454" s="103" t="s">
        <v>581</v>
      </c>
      <c r="G1454" s="103" t="s">
        <v>582</v>
      </c>
      <c r="H1454" s="103" t="s">
        <v>583</v>
      </c>
    </row>
    <row r="1455" spans="1:8">
      <c r="B1455" s="130" t="s">
        <v>1450</v>
      </c>
      <c r="C1455" s="229" t="s">
        <v>663</v>
      </c>
      <c r="D1455" s="130" t="s">
        <v>119</v>
      </c>
      <c r="E1455" s="130" t="s">
        <v>121</v>
      </c>
      <c r="F1455" s="230">
        <v>0.22700000000000001</v>
      </c>
      <c r="G1455" s="494">
        <v>33.01</v>
      </c>
      <c r="H1455" s="494">
        <v>7.49</v>
      </c>
    </row>
    <row r="1456" spans="1:8">
      <c r="B1456" s="130" t="s">
        <v>625</v>
      </c>
      <c r="C1456" s="229" t="s">
        <v>626</v>
      </c>
      <c r="D1456" s="130" t="s">
        <v>119</v>
      </c>
      <c r="E1456" s="130" t="s">
        <v>121</v>
      </c>
      <c r="F1456" s="230">
        <v>7.5700000000000003E-2</v>
      </c>
      <c r="G1456" s="494">
        <v>23.75</v>
      </c>
      <c r="H1456" s="494">
        <v>1.8</v>
      </c>
    </row>
    <row r="1457" spans="1:8" ht="12.75" customHeight="1">
      <c r="B1457" s="105"/>
      <c r="C1457" s="105"/>
      <c r="D1457" s="105"/>
      <c r="E1457" s="105"/>
      <c r="F1457" s="629" t="s">
        <v>610</v>
      </c>
      <c r="G1457" s="629"/>
      <c r="H1457" s="495">
        <v>9.2899999999999991</v>
      </c>
    </row>
    <row r="1458" spans="1:8" ht="12.75" customHeight="1">
      <c r="B1458" s="105"/>
      <c r="C1458" s="105"/>
      <c r="D1458" s="105"/>
      <c r="E1458" s="105"/>
      <c r="F1458" s="630" t="s">
        <v>464</v>
      </c>
      <c r="G1458" s="630"/>
      <c r="H1458" s="102">
        <v>16.45</v>
      </c>
    </row>
    <row r="1459" spans="1:8">
      <c r="B1459" s="105"/>
      <c r="C1459" s="105"/>
      <c r="D1459" s="105"/>
      <c r="E1459" s="105"/>
      <c r="F1459" s="634"/>
      <c r="G1459" s="634"/>
      <c r="H1459" s="634"/>
    </row>
    <row r="1460" spans="1:8" s="220" customFormat="1" ht="27" customHeight="1">
      <c r="A1460" s="178" t="str">
        <f>'3 - PLAN. ORÇAMENTÁRIA'!A257</f>
        <v>4.1.6.1.4</v>
      </c>
      <c r="B1460" s="242">
        <f>VLOOKUP(A1460,'3 - PLAN. ORÇAMENTÁRIA'!$A$16:$B$721,2,FALSE)</f>
        <v>86887</v>
      </c>
      <c r="C1460" s="631" t="str">
        <f>VLOOKUP(A1460,'3 - PLAN. ORÇAMENTÁRIA'!$A$16:$C$721,3,FALSE)</f>
        <v>ENGATE FLEXÍVEL EM INOX, 1/2 X 40CM - FORNECIMENTO E INSTALAÇÃO. AF_01/2020</v>
      </c>
      <c r="D1460" s="632"/>
      <c r="E1460" s="632"/>
      <c r="F1460" s="632"/>
      <c r="G1460" s="633"/>
      <c r="H1460" s="508" t="str">
        <f>VLOOKUP(A1460,'3 - PLAN. ORÇAMENTÁRIA'!$A$17:$E$721,5,FALSE)</f>
        <v>UN</v>
      </c>
    </row>
    <row r="1461" spans="1:8">
      <c r="B1461" s="628" t="s">
        <v>593</v>
      </c>
      <c r="C1461" s="628"/>
      <c r="D1461" s="103" t="s">
        <v>579</v>
      </c>
      <c r="E1461" s="103" t="s">
        <v>580</v>
      </c>
      <c r="F1461" s="103" t="s">
        <v>581</v>
      </c>
      <c r="G1461" s="103" t="s">
        <v>582</v>
      </c>
      <c r="H1461" s="103" t="s">
        <v>583</v>
      </c>
    </row>
    <row r="1462" spans="1:8">
      <c r="B1462" s="239" t="s">
        <v>4044</v>
      </c>
      <c r="C1462" s="229" t="s">
        <v>4045</v>
      </c>
      <c r="D1462" s="130" t="s">
        <v>119</v>
      </c>
      <c r="E1462" s="130" t="s">
        <v>144</v>
      </c>
      <c r="F1462" s="230">
        <v>1</v>
      </c>
      <c r="G1462" s="504">
        <v>36.49</v>
      </c>
      <c r="H1462" s="504">
        <v>36.49</v>
      </c>
    </row>
    <row r="1463" spans="1:8">
      <c r="B1463" s="239" t="s">
        <v>1544</v>
      </c>
      <c r="C1463" s="229" t="s">
        <v>3794</v>
      </c>
      <c r="D1463" s="130" t="s">
        <v>119</v>
      </c>
      <c r="E1463" s="130" t="s">
        <v>144</v>
      </c>
      <c r="F1463" s="230">
        <v>2.1000000000000001E-2</v>
      </c>
      <c r="G1463" s="504">
        <v>3.9</v>
      </c>
      <c r="H1463" s="504">
        <v>0.08</v>
      </c>
    </row>
    <row r="1464" spans="1:8">
      <c r="B1464" s="105"/>
      <c r="C1464" s="105"/>
      <c r="D1464" s="105"/>
      <c r="E1464" s="105"/>
      <c r="F1464" s="629" t="s">
        <v>604</v>
      </c>
      <c r="G1464" s="629"/>
      <c r="H1464" s="505">
        <v>36.57</v>
      </c>
    </row>
    <row r="1465" spans="1:8">
      <c r="B1465" s="628" t="s">
        <v>607</v>
      </c>
      <c r="C1465" s="628"/>
      <c r="D1465" s="103" t="s">
        <v>579</v>
      </c>
      <c r="E1465" s="103" t="s">
        <v>580</v>
      </c>
      <c r="F1465" s="103" t="s">
        <v>581</v>
      </c>
      <c r="G1465" s="103" t="s">
        <v>582</v>
      </c>
      <c r="H1465" s="103" t="s">
        <v>583</v>
      </c>
    </row>
    <row r="1466" spans="1:8">
      <c r="B1466" s="130">
        <v>88267</v>
      </c>
      <c r="C1466" s="229" t="s">
        <v>612</v>
      </c>
      <c r="D1466" s="130" t="s">
        <v>119</v>
      </c>
      <c r="E1466" s="130" t="s">
        <v>121</v>
      </c>
      <c r="F1466" s="230">
        <v>0.1525</v>
      </c>
      <c r="G1466" s="504">
        <v>30.62</v>
      </c>
      <c r="H1466" s="504">
        <v>4.67</v>
      </c>
    </row>
    <row r="1467" spans="1:8">
      <c r="B1467" s="130" t="s">
        <v>625</v>
      </c>
      <c r="C1467" s="229" t="s">
        <v>626</v>
      </c>
      <c r="D1467" s="130" t="s">
        <v>119</v>
      </c>
      <c r="E1467" s="130" t="s">
        <v>121</v>
      </c>
      <c r="F1467" s="230">
        <v>4.8099999999999997E-2</v>
      </c>
      <c r="G1467" s="504">
        <v>23.75</v>
      </c>
      <c r="H1467" s="504">
        <v>1.1399999999999999</v>
      </c>
    </row>
    <row r="1468" spans="1:8">
      <c r="B1468" s="105"/>
      <c r="C1468" s="105"/>
      <c r="D1468" s="105"/>
      <c r="E1468" s="105"/>
      <c r="F1468" s="629" t="s">
        <v>610</v>
      </c>
      <c r="G1468" s="629"/>
      <c r="H1468" s="505">
        <v>5.81</v>
      </c>
    </row>
    <row r="1469" spans="1:8">
      <c r="B1469" s="105"/>
      <c r="C1469" s="105"/>
      <c r="D1469" s="105"/>
      <c r="E1469" s="105"/>
      <c r="F1469" s="630" t="s">
        <v>464</v>
      </c>
      <c r="G1469" s="630"/>
      <c r="H1469" s="102">
        <v>42.37</v>
      </c>
    </row>
    <row r="1470" spans="1:8">
      <c r="B1470" s="105"/>
      <c r="C1470" s="105"/>
      <c r="D1470" s="105"/>
      <c r="E1470" s="105"/>
      <c r="F1470" s="503"/>
      <c r="G1470" s="503"/>
      <c r="H1470" s="503"/>
    </row>
    <row r="1471" spans="1:8" s="220" customFormat="1" ht="27" customHeight="1">
      <c r="A1471" s="178" t="str">
        <f>'3 - PLAN. ORÇAMENTÁRIA'!A262</f>
        <v>4.1.6.1.9</v>
      </c>
      <c r="B1471" s="242">
        <f>VLOOKUP(A1471,'3 - PLAN. ORÇAMENTÁRIA'!$A$16:$B$721,2,FALSE)</f>
        <v>86886</v>
      </c>
      <c r="C1471" s="631" t="str">
        <f>VLOOKUP(A1471,'3 - PLAN. ORÇAMENTÁRIA'!$A$16:$C$721,3,FALSE)</f>
        <v>ENGATE FLEXÍVEL EM INOX, 1/2 X 30CM - FORNECIMENTO E INSTALAÇÃO. AF_01/2020</v>
      </c>
      <c r="D1471" s="632"/>
      <c r="E1471" s="632"/>
      <c r="F1471" s="632"/>
      <c r="G1471" s="633"/>
      <c r="H1471" s="511" t="str">
        <f>VLOOKUP(A1471,'3 - PLAN. ORÇAMENTÁRIA'!$A$17:$E$721,5,FALSE)</f>
        <v>UN</v>
      </c>
    </row>
    <row r="1472" spans="1:8">
      <c r="B1472" s="628" t="s">
        <v>593</v>
      </c>
      <c r="C1472" s="628"/>
      <c r="D1472" s="103" t="s">
        <v>579</v>
      </c>
      <c r="E1472" s="103" t="s">
        <v>580</v>
      </c>
      <c r="F1472" s="103" t="s">
        <v>581</v>
      </c>
      <c r="G1472" s="103" t="s">
        <v>582</v>
      </c>
      <c r="H1472" s="103" t="s">
        <v>583</v>
      </c>
    </row>
    <row r="1473" spans="1:8">
      <c r="B1473" s="239" t="s">
        <v>2330</v>
      </c>
      <c r="C1473" s="229" t="s">
        <v>2331</v>
      </c>
      <c r="D1473" s="130" t="s">
        <v>119</v>
      </c>
      <c r="E1473" s="130" t="s">
        <v>144</v>
      </c>
      <c r="F1473" s="230">
        <v>1</v>
      </c>
      <c r="G1473" s="513">
        <v>33.33</v>
      </c>
      <c r="H1473" s="513">
        <v>33.33</v>
      </c>
    </row>
    <row r="1474" spans="1:8">
      <c r="B1474" s="239" t="s">
        <v>1544</v>
      </c>
      <c r="C1474" s="229" t="s">
        <v>3794</v>
      </c>
      <c r="D1474" s="130" t="s">
        <v>119</v>
      </c>
      <c r="E1474" s="130" t="s">
        <v>144</v>
      </c>
      <c r="F1474" s="230">
        <v>2.1000000000000001E-2</v>
      </c>
      <c r="G1474" s="513">
        <v>3.9</v>
      </c>
      <c r="H1474" s="513">
        <v>0.08</v>
      </c>
    </row>
    <row r="1475" spans="1:8">
      <c r="B1475" s="105"/>
      <c r="C1475" s="105"/>
      <c r="D1475" s="105"/>
      <c r="E1475" s="105"/>
      <c r="F1475" s="629" t="s">
        <v>604</v>
      </c>
      <c r="G1475" s="629"/>
      <c r="H1475" s="514">
        <v>33.409999999999997</v>
      </c>
    </row>
    <row r="1476" spans="1:8">
      <c r="B1476" s="628" t="s">
        <v>607</v>
      </c>
      <c r="C1476" s="628"/>
      <c r="D1476" s="103" t="s">
        <v>579</v>
      </c>
      <c r="E1476" s="103" t="s">
        <v>580</v>
      </c>
      <c r="F1476" s="103" t="s">
        <v>581</v>
      </c>
      <c r="G1476" s="103" t="s">
        <v>582</v>
      </c>
      <c r="H1476" s="103" t="s">
        <v>583</v>
      </c>
    </row>
    <row r="1477" spans="1:8">
      <c r="B1477" s="130">
        <v>88267</v>
      </c>
      <c r="C1477" s="229" t="s">
        <v>612</v>
      </c>
      <c r="D1477" s="130" t="s">
        <v>119</v>
      </c>
      <c r="E1477" s="130" t="s">
        <v>121</v>
      </c>
      <c r="F1477" s="230">
        <v>0.1525</v>
      </c>
      <c r="G1477" s="513">
        <v>30.62</v>
      </c>
      <c r="H1477" s="513">
        <v>4.67</v>
      </c>
    </row>
    <row r="1478" spans="1:8">
      <c r="B1478" s="130" t="s">
        <v>625</v>
      </c>
      <c r="C1478" s="229" t="s">
        <v>626</v>
      </c>
      <c r="D1478" s="130" t="s">
        <v>119</v>
      </c>
      <c r="E1478" s="130" t="s">
        <v>121</v>
      </c>
      <c r="F1478" s="230">
        <v>4.8099999999999997E-2</v>
      </c>
      <c r="G1478" s="513">
        <v>23.75</v>
      </c>
      <c r="H1478" s="513">
        <v>1.1399999999999999</v>
      </c>
    </row>
    <row r="1479" spans="1:8">
      <c r="B1479" s="105"/>
      <c r="C1479" s="105"/>
      <c r="D1479" s="105"/>
      <c r="E1479" s="105"/>
      <c r="F1479" s="629" t="s">
        <v>610</v>
      </c>
      <c r="G1479" s="629"/>
      <c r="H1479" s="514">
        <v>5.81</v>
      </c>
    </row>
    <row r="1480" spans="1:8">
      <c r="B1480" s="105"/>
      <c r="C1480" s="105"/>
      <c r="D1480" s="105"/>
      <c r="E1480" s="105"/>
      <c r="F1480" s="630" t="s">
        <v>464</v>
      </c>
      <c r="G1480" s="630"/>
      <c r="H1480" s="102">
        <v>39.21</v>
      </c>
    </row>
    <row r="1481" spans="1:8">
      <c r="B1481" s="105"/>
      <c r="C1481" s="105"/>
      <c r="D1481" s="105"/>
      <c r="E1481" s="105"/>
      <c r="F1481" s="510"/>
      <c r="G1481" s="510"/>
      <c r="H1481" s="510"/>
    </row>
    <row r="1482" spans="1:8" s="220" customFormat="1" ht="27" customHeight="1">
      <c r="A1482" s="178" t="str">
        <f>'3 - PLAN. ORÇAMENTÁRIA'!A263</f>
        <v>4.1.6.1.10</v>
      </c>
      <c r="B1482" s="242">
        <f>VLOOKUP(A1482,'3 - PLAN. ORÇAMENTÁRIA'!$A$16:$B$721,2,FALSE)</f>
        <v>86881</v>
      </c>
      <c r="C1482" s="631" t="str">
        <f>VLOOKUP(A1482,'3 - PLAN. ORÇAMENTÁRIA'!$A$16:$C$721,3,FALSE)</f>
        <v>SIFÃO DO TIPO GARRAFA EM METAL CROMADO 1 X 1.1/2" - FORNECIMENTO E INSTALAÇÃO. AF_01/2020</v>
      </c>
      <c r="D1482" s="632"/>
      <c r="E1482" s="632"/>
      <c r="F1482" s="632"/>
      <c r="G1482" s="633"/>
      <c r="H1482" s="511" t="str">
        <f>VLOOKUP(A1482,'3 - PLAN. ORÇAMENTÁRIA'!$A$17:$E$721,5,FALSE)</f>
        <v>UN</v>
      </c>
    </row>
    <row r="1483" spans="1:8">
      <c r="B1483" s="628" t="s">
        <v>593</v>
      </c>
      <c r="C1483" s="628"/>
      <c r="D1483" s="103" t="s">
        <v>579</v>
      </c>
      <c r="E1483" s="103" t="s">
        <v>580</v>
      </c>
      <c r="F1483" s="103" t="s">
        <v>581</v>
      </c>
      <c r="G1483" s="103" t="s">
        <v>582</v>
      </c>
      <c r="H1483" s="103" t="s">
        <v>583</v>
      </c>
    </row>
    <row r="1484" spans="1:8">
      <c r="B1484" s="239" t="s">
        <v>1544</v>
      </c>
      <c r="C1484" s="229" t="s">
        <v>3794</v>
      </c>
      <c r="D1484" s="130" t="s">
        <v>119</v>
      </c>
      <c r="E1484" s="130" t="s">
        <v>144</v>
      </c>
      <c r="F1484" s="230">
        <v>3.32E-2</v>
      </c>
      <c r="G1484" s="513">
        <v>3.9</v>
      </c>
      <c r="H1484" s="513">
        <v>0.13</v>
      </c>
    </row>
    <row r="1485" spans="1:8">
      <c r="B1485" s="239" t="s">
        <v>1545</v>
      </c>
      <c r="C1485" s="229" t="s">
        <v>1546</v>
      </c>
      <c r="D1485" s="130" t="s">
        <v>119</v>
      </c>
      <c r="E1485" s="130" t="s">
        <v>144</v>
      </c>
      <c r="F1485" s="230">
        <v>1</v>
      </c>
      <c r="G1485" s="513">
        <v>145.33699999999999</v>
      </c>
      <c r="H1485" s="513">
        <v>145.37</v>
      </c>
    </row>
    <row r="1486" spans="1:8">
      <c r="B1486" s="105"/>
      <c r="C1486" s="105"/>
      <c r="D1486" s="105"/>
      <c r="E1486" s="105"/>
      <c r="F1486" s="629" t="s">
        <v>604</v>
      </c>
      <c r="G1486" s="629"/>
      <c r="H1486" s="514">
        <v>145.5</v>
      </c>
    </row>
    <row r="1487" spans="1:8">
      <c r="B1487" s="628" t="s">
        <v>607</v>
      </c>
      <c r="C1487" s="628"/>
      <c r="D1487" s="103" t="s">
        <v>579</v>
      </c>
      <c r="E1487" s="103" t="s">
        <v>580</v>
      </c>
      <c r="F1487" s="103" t="s">
        <v>581</v>
      </c>
      <c r="G1487" s="103" t="s">
        <v>582</v>
      </c>
      <c r="H1487" s="103" t="s">
        <v>583</v>
      </c>
    </row>
    <row r="1488" spans="1:8">
      <c r="B1488" s="130">
        <v>88267</v>
      </c>
      <c r="C1488" s="229" t="s">
        <v>612</v>
      </c>
      <c r="D1488" s="130" t="s">
        <v>119</v>
      </c>
      <c r="E1488" s="130" t="s">
        <v>121</v>
      </c>
      <c r="F1488" s="230">
        <v>0.27339999999999998</v>
      </c>
      <c r="G1488" s="513">
        <v>30.62</v>
      </c>
      <c r="H1488" s="513">
        <v>8.3699999999999992</v>
      </c>
    </row>
    <row r="1489" spans="1:8">
      <c r="B1489" s="130" t="s">
        <v>625</v>
      </c>
      <c r="C1489" s="229" t="s">
        <v>626</v>
      </c>
      <c r="D1489" s="130" t="s">
        <v>119</v>
      </c>
      <c r="E1489" s="130" t="s">
        <v>121</v>
      </c>
      <c r="F1489" s="230">
        <v>8.6199999999999999E-2</v>
      </c>
      <c r="G1489" s="513">
        <v>23.75</v>
      </c>
      <c r="H1489" s="513">
        <v>2.0499999999999998</v>
      </c>
    </row>
    <row r="1490" spans="1:8">
      <c r="B1490" s="105"/>
      <c r="C1490" s="105"/>
      <c r="D1490" s="105"/>
      <c r="E1490" s="105"/>
      <c r="F1490" s="629" t="s">
        <v>610</v>
      </c>
      <c r="G1490" s="629"/>
      <c r="H1490" s="514">
        <v>10.42</v>
      </c>
    </row>
    <row r="1491" spans="1:8">
      <c r="B1491" s="105"/>
      <c r="C1491" s="105"/>
      <c r="D1491" s="105"/>
      <c r="E1491" s="105"/>
      <c r="F1491" s="630" t="s">
        <v>464</v>
      </c>
      <c r="G1491" s="630"/>
      <c r="H1491" s="102">
        <v>155.9</v>
      </c>
    </row>
    <row r="1492" spans="1:8">
      <c r="B1492" s="105"/>
      <c r="C1492" s="105"/>
      <c r="D1492" s="105"/>
      <c r="E1492" s="105"/>
      <c r="F1492" s="510"/>
      <c r="G1492" s="510"/>
      <c r="H1492" s="510"/>
    </row>
    <row r="1493" spans="1:8" s="220" customFormat="1" ht="27" customHeight="1">
      <c r="A1493" s="178" t="str">
        <f>'3 - PLAN. ORÇAMENTÁRIA'!A264</f>
        <v>4.1.6.1.11</v>
      </c>
      <c r="B1493" s="242">
        <f>VLOOKUP(A1493,'3 - PLAN. ORÇAMENTÁRIA'!$A$16:$B$721,2,FALSE)</f>
        <v>86882</v>
      </c>
      <c r="C1493" s="631" t="str">
        <f>VLOOKUP(A1493,'3 - PLAN. ORÇAMENTÁRIA'!$A$16:$C$721,3,FALSE)</f>
        <v>SIFÃO DO TIPO GARRAFA/COPO EM PVC 1.1/4 X 1.1/2" - FORNECIMENTO E INSTALAÇÃO. AF_01/2020</v>
      </c>
      <c r="D1493" s="632"/>
      <c r="E1493" s="632"/>
      <c r="F1493" s="632"/>
      <c r="G1493" s="633"/>
      <c r="H1493" s="511" t="str">
        <f>VLOOKUP(A1493,'3 - PLAN. ORÇAMENTÁRIA'!$A$17:$E$721,5,FALSE)</f>
        <v>UN</v>
      </c>
    </row>
    <row r="1494" spans="1:8">
      <c r="B1494" s="628" t="s">
        <v>593</v>
      </c>
      <c r="C1494" s="628"/>
      <c r="D1494" s="103" t="s">
        <v>579</v>
      </c>
      <c r="E1494" s="103" t="s">
        <v>580</v>
      </c>
      <c r="F1494" s="103" t="s">
        <v>581</v>
      </c>
      <c r="G1494" s="103" t="s">
        <v>582</v>
      </c>
      <c r="H1494" s="103" t="s">
        <v>583</v>
      </c>
    </row>
    <row r="1495" spans="1:8">
      <c r="B1495" s="239" t="s">
        <v>1544</v>
      </c>
      <c r="C1495" s="229" t="s">
        <v>3794</v>
      </c>
      <c r="D1495" s="130" t="s">
        <v>119</v>
      </c>
      <c r="E1495" s="130" t="s">
        <v>144</v>
      </c>
      <c r="F1495" s="230">
        <v>4.2000000000000003E-2</v>
      </c>
      <c r="G1495" s="513">
        <v>3.9</v>
      </c>
      <c r="H1495" s="513">
        <v>0.16</v>
      </c>
    </row>
    <row r="1496" spans="1:8">
      <c r="B1496" s="239" t="s">
        <v>4106</v>
      </c>
      <c r="C1496" s="229" t="s">
        <v>4107</v>
      </c>
      <c r="D1496" s="130" t="s">
        <v>119</v>
      </c>
      <c r="E1496" s="130" t="s">
        <v>144</v>
      </c>
      <c r="F1496" s="230">
        <v>1</v>
      </c>
      <c r="G1496" s="513">
        <v>16.239999999999998</v>
      </c>
      <c r="H1496" s="513">
        <v>16.239999999999998</v>
      </c>
    </row>
    <row r="1497" spans="1:8">
      <c r="B1497" s="105"/>
      <c r="C1497" s="105"/>
      <c r="D1497" s="105"/>
      <c r="E1497" s="105"/>
      <c r="F1497" s="629" t="s">
        <v>604</v>
      </c>
      <c r="G1497" s="629"/>
      <c r="H1497" s="514">
        <v>33.409999999999997</v>
      </c>
    </row>
    <row r="1498" spans="1:8">
      <c r="B1498" s="628" t="s">
        <v>607</v>
      </c>
      <c r="C1498" s="628"/>
      <c r="D1498" s="103" t="s">
        <v>579</v>
      </c>
      <c r="E1498" s="103" t="s">
        <v>580</v>
      </c>
      <c r="F1498" s="103" t="s">
        <v>581</v>
      </c>
      <c r="G1498" s="103" t="s">
        <v>582</v>
      </c>
      <c r="H1498" s="103" t="s">
        <v>583</v>
      </c>
    </row>
    <row r="1499" spans="1:8">
      <c r="B1499" s="130">
        <v>88267</v>
      </c>
      <c r="C1499" s="229" t="s">
        <v>612</v>
      </c>
      <c r="D1499" s="130" t="s">
        <v>119</v>
      </c>
      <c r="E1499" s="130" t="s">
        <v>121</v>
      </c>
      <c r="F1499" s="230">
        <v>0.1356</v>
      </c>
      <c r="G1499" s="513">
        <v>30.62</v>
      </c>
      <c r="H1499" s="513">
        <v>4.1500000000000004</v>
      </c>
    </row>
    <row r="1500" spans="1:8">
      <c r="B1500" s="130" t="s">
        <v>625</v>
      </c>
      <c r="C1500" s="229" t="s">
        <v>626</v>
      </c>
      <c r="D1500" s="130" t="s">
        <v>119</v>
      </c>
      <c r="E1500" s="130" t="s">
        <v>121</v>
      </c>
      <c r="F1500" s="230">
        <v>4.2700000000000002E-2</v>
      </c>
      <c r="G1500" s="513">
        <v>23.75</v>
      </c>
      <c r="H1500" s="513">
        <v>1.01</v>
      </c>
    </row>
    <row r="1501" spans="1:8">
      <c r="B1501" s="105"/>
      <c r="C1501" s="105"/>
      <c r="D1501" s="105"/>
      <c r="E1501" s="105"/>
      <c r="F1501" s="629" t="s">
        <v>610</v>
      </c>
      <c r="G1501" s="629"/>
      <c r="H1501" s="514">
        <v>5.16</v>
      </c>
    </row>
    <row r="1502" spans="1:8">
      <c r="B1502" s="105"/>
      <c r="C1502" s="105"/>
      <c r="D1502" s="105"/>
      <c r="E1502" s="105"/>
      <c r="F1502" s="630" t="s">
        <v>464</v>
      </c>
      <c r="G1502" s="630"/>
      <c r="H1502" s="102">
        <v>21.56</v>
      </c>
    </row>
    <row r="1503" spans="1:8">
      <c r="B1503" s="105"/>
      <c r="C1503" s="105"/>
      <c r="D1503" s="105"/>
      <c r="E1503" s="105"/>
      <c r="F1503" s="510"/>
      <c r="G1503" s="510"/>
      <c r="H1503" s="510"/>
    </row>
    <row r="1504" spans="1:8" s="220" customFormat="1" ht="27" customHeight="1">
      <c r="A1504" s="178" t="str">
        <f>'3 - PLAN. ORÇAMENTÁRIA'!A265</f>
        <v>4.1.6.1.12</v>
      </c>
      <c r="B1504" s="242">
        <f>VLOOKUP(A1504,'3 - PLAN. ORÇAMENTÁRIA'!$A$16:$B$721,2,FALSE)</f>
        <v>86878</v>
      </c>
      <c r="C1504" s="631" t="str">
        <f>VLOOKUP(A1504,'3 - PLAN. ORÇAMENTÁRIA'!$A$16:$C$721,3,FALSE)</f>
        <v>VÁLVULA EM METAL CROMADO TIPO AMERICANA 3.1/2" X 1.1/2" PARA PIA - FORNECIMENTO E INSTALAÇÃO. AF_01/2020</v>
      </c>
      <c r="D1504" s="632"/>
      <c r="E1504" s="632"/>
      <c r="F1504" s="632"/>
      <c r="G1504" s="633"/>
      <c r="H1504" s="511" t="str">
        <f>VLOOKUP(A1504,'3 - PLAN. ORÇAMENTÁRIA'!$A$17:$E$721,5,FALSE)</f>
        <v>UN</v>
      </c>
    </row>
    <row r="1505" spans="1:8">
      <c r="B1505" s="628" t="s">
        <v>593</v>
      </c>
      <c r="C1505" s="628"/>
      <c r="D1505" s="103" t="s">
        <v>579</v>
      </c>
      <c r="E1505" s="103" t="s">
        <v>580</v>
      </c>
      <c r="F1505" s="103" t="s">
        <v>581</v>
      </c>
      <c r="G1505" s="103" t="s">
        <v>582</v>
      </c>
      <c r="H1505" s="103" t="s">
        <v>583</v>
      </c>
    </row>
    <row r="1506" spans="1:8">
      <c r="B1506" s="239" t="s">
        <v>1544</v>
      </c>
      <c r="C1506" s="229" t="s">
        <v>3794</v>
      </c>
      <c r="D1506" s="130" t="s">
        <v>119</v>
      </c>
      <c r="E1506" s="130" t="s">
        <v>144</v>
      </c>
      <c r="F1506" s="230">
        <v>4.8000000000000001E-2</v>
      </c>
      <c r="G1506" s="513">
        <v>3.9</v>
      </c>
      <c r="H1506" s="513">
        <v>0.19</v>
      </c>
    </row>
    <row r="1507" spans="1:8">
      <c r="B1507" s="239" t="s">
        <v>2333</v>
      </c>
      <c r="C1507" s="229" t="s">
        <v>2334</v>
      </c>
      <c r="D1507" s="130" t="s">
        <v>119</v>
      </c>
      <c r="E1507" s="130" t="s">
        <v>144</v>
      </c>
      <c r="F1507" s="230">
        <v>1</v>
      </c>
      <c r="G1507" s="513">
        <v>49.64</v>
      </c>
      <c r="H1507" s="513">
        <v>49.64</v>
      </c>
    </row>
    <row r="1508" spans="1:8">
      <c r="B1508" s="105"/>
      <c r="C1508" s="105"/>
      <c r="D1508" s="105"/>
      <c r="E1508" s="105"/>
      <c r="F1508" s="629" t="s">
        <v>604</v>
      </c>
      <c r="G1508" s="629"/>
      <c r="H1508" s="514">
        <v>49.83</v>
      </c>
    </row>
    <row r="1509" spans="1:8">
      <c r="B1509" s="628" t="s">
        <v>607</v>
      </c>
      <c r="C1509" s="628"/>
      <c r="D1509" s="103" t="s">
        <v>579</v>
      </c>
      <c r="E1509" s="103" t="s">
        <v>580</v>
      </c>
      <c r="F1509" s="103" t="s">
        <v>581</v>
      </c>
      <c r="G1509" s="103" t="s">
        <v>582</v>
      </c>
      <c r="H1509" s="103" t="s">
        <v>583</v>
      </c>
    </row>
    <row r="1510" spans="1:8">
      <c r="B1510" s="130">
        <v>88267</v>
      </c>
      <c r="C1510" s="229" t="s">
        <v>612</v>
      </c>
      <c r="D1510" s="130" t="s">
        <v>119</v>
      </c>
      <c r="E1510" s="130" t="s">
        <v>121</v>
      </c>
      <c r="F1510" s="230">
        <v>0.17399999999999999</v>
      </c>
      <c r="G1510" s="513">
        <v>30.62</v>
      </c>
      <c r="H1510" s="513">
        <v>5.33</v>
      </c>
    </row>
    <row r="1511" spans="1:8">
      <c r="B1511" s="130" t="s">
        <v>625</v>
      </c>
      <c r="C1511" s="229" t="s">
        <v>626</v>
      </c>
      <c r="D1511" s="130" t="s">
        <v>119</v>
      </c>
      <c r="E1511" s="130" t="s">
        <v>121</v>
      </c>
      <c r="F1511" s="230">
        <v>5.4800000000000001E-2</v>
      </c>
      <c r="G1511" s="513">
        <v>23.75</v>
      </c>
      <c r="H1511" s="513">
        <v>1.3</v>
      </c>
    </row>
    <row r="1512" spans="1:8">
      <c r="B1512" s="105"/>
      <c r="C1512" s="105"/>
      <c r="D1512" s="105"/>
      <c r="E1512" s="105"/>
      <c r="F1512" s="629" t="s">
        <v>610</v>
      </c>
      <c r="G1512" s="629"/>
      <c r="H1512" s="514">
        <v>6.63</v>
      </c>
    </row>
    <row r="1513" spans="1:8">
      <c r="B1513" s="105"/>
      <c r="C1513" s="105"/>
      <c r="D1513" s="105"/>
      <c r="E1513" s="105"/>
      <c r="F1513" s="630" t="s">
        <v>464</v>
      </c>
      <c r="G1513" s="630"/>
      <c r="H1513" s="102">
        <v>56.44</v>
      </c>
    </row>
    <row r="1514" spans="1:8">
      <c r="B1514" s="105"/>
      <c r="C1514" s="105"/>
      <c r="D1514" s="105"/>
      <c r="E1514" s="105"/>
      <c r="F1514" s="510"/>
      <c r="G1514" s="510"/>
      <c r="H1514" s="510"/>
    </row>
    <row r="1515" spans="1:8" s="220" customFormat="1" ht="27" customHeight="1">
      <c r="A1515" s="178" t="str">
        <f>'3 - PLAN. ORÇAMENTÁRIA'!A270</f>
        <v>4.1.6.1.17</v>
      </c>
      <c r="B1515" s="178">
        <f>VLOOKUP(A1515,'3 - PLAN. ORÇAMENTÁRIA'!$A$16:$B$721,2,FALSE)</f>
        <v>89354</v>
      </c>
      <c r="C1515" s="631" t="str">
        <f>VLOOKUP(A1515,'3 - PLAN. ORÇAMENTÁRIA'!$A$16:$C$721,3,FALSE)</f>
        <v>MISTURADOR MONOCOMANDO PARA CHUVEIRO, BASE BRUTA E ACABAMENTO CROMADO - FORNECIMENTO E INSTALAÇÃO. AF_08/2021</v>
      </c>
      <c r="D1515" s="632"/>
      <c r="E1515" s="632"/>
      <c r="F1515" s="632"/>
      <c r="G1515" s="633"/>
      <c r="H1515" s="433" t="str">
        <f>VLOOKUP(A1515,'3 - PLAN. ORÇAMENTÁRIA'!$A$17:$E$721,5,FALSE)</f>
        <v>UN</v>
      </c>
    </row>
    <row r="1516" spans="1:8">
      <c r="B1516" s="628" t="s">
        <v>593</v>
      </c>
      <c r="C1516" s="628"/>
      <c r="D1516" s="103" t="s">
        <v>579</v>
      </c>
      <c r="E1516" s="103" t="s">
        <v>580</v>
      </c>
      <c r="F1516" s="103" t="s">
        <v>581</v>
      </c>
      <c r="G1516" s="103" t="s">
        <v>582</v>
      </c>
      <c r="H1516" s="103" t="s">
        <v>583</v>
      </c>
    </row>
    <row r="1517" spans="1:8">
      <c r="B1517" s="130" t="s">
        <v>1286</v>
      </c>
      <c r="C1517" s="229" t="s">
        <v>3793</v>
      </c>
      <c r="D1517" s="130" t="s">
        <v>119</v>
      </c>
      <c r="E1517" s="130" t="s">
        <v>144</v>
      </c>
      <c r="F1517" s="230">
        <v>2.12E-2</v>
      </c>
      <c r="G1517" s="494">
        <v>14.38</v>
      </c>
      <c r="H1517" s="494">
        <v>0.3</v>
      </c>
    </row>
    <row r="1518" spans="1:8" ht="25.5">
      <c r="B1518" s="130" t="s">
        <v>2807</v>
      </c>
      <c r="C1518" s="229" t="s">
        <v>1539</v>
      </c>
      <c r="D1518" s="130" t="s">
        <v>119</v>
      </c>
      <c r="E1518" s="130" t="s">
        <v>144</v>
      </c>
      <c r="F1518" s="230">
        <v>1</v>
      </c>
      <c r="G1518" s="494">
        <v>501.41</v>
      </c>
      <c r="H1518" s="494">
        <v>501.41</v>
      </c>
    </row>
    <row r="1519" spans="1:8">
      <c r="B1519" s="105"/>
      <c r="C1519" s="105"/>
      <c r="D1519" s="105"/>
      <c r="E1519" s="105"/>
      <c r="F1519" s="629" t="s">
        <v>604</v>
      </c>
      <c r="G1519" s="629"/>
      <c r="H1519" s="495">
        <v>501.71</v>
      </c>
    </row>
    <row r="1520" spans="1:8" ht="12.75" customHeight="1">
      <c r="B1520" s="628" t="s">
        <v>607</v>
      </c>
      <c r="C1520" s="628"/>
      <c r="D1520" s="103" t="s">
        <v>579</v>
      </c>
      <c r="E1520" s="103" t="s">
        <v>580</v>
      </c>
      <c r="F1520" s="103" t="s">
        <v>581</v>
      </c>
      <c r="G1520" s="103" t="s">
        <v>582</v>
      </c>
      <c r="H1520" s="103" t="s">
        <v>583</v>
      </c>
    </row>
    <row r="1521" spans="1:8">
      <c r="B1521" s="130" t="s">
        <v>1296</v>
      </c>
      <c r="C1521" s="229" t="s">
        <v>611</v>
      </c>
      <c r="D1521" s="130" t="s">
        <v>119</v>
      </c>
      <c r="E1521" s="130" t="s">
        <v>121</v>
      </c>
      <c r="F1521" s="230">
        <v>0.61870000000000003</v>
      </c>
      <c r="G1521" s="494">
        <v>24.02</v>
      </c>
      <c r="H1521" s="494">
        <v>14.86</v>
      </c>
    </row>
    <row r="1522" spans="1:8">
      <c r="B1522" s="130" t="s">
        <v>1297</v>
      </c>
      <c r="C1522" s="229" t="s">
        <v>612</v>
      </c>
      <c r="D1522" s="130" t="s">
        <v>119</v>
      </c>
      <c r="E1522" s="130" t="s">
        <v>121</v>
      </c>
      <c r="F1522" s="230">
        <v>0.61870000000000003</v>
      </c>
      <c r="G1522" s="494">
        <v>30.62</v>
      </c>
      <c r="H1522" s="494">
        <v>18.940000000000001</v>
      </c>
    </row>
    <row r="1523" spans="1:8" ht="12.75" customHeight="1">
      <c r="B1523" s="105"/>
      <c r="C1523" s="105"/>
      <c r="D1523" s="105"/>
      <c r="E1523" s="105"/>
      <c r="F1523" s="629" t="s">
        <v>610</v>
      </c>
      <c r="G1523" s="629"/>
      <c r="H1523" s="495">
        <v>33.799999999999997</v>
      </c>
    </row>
    <row r="1524" spans="1:8" ht="12.75" customHeight="1">
      <c r="B1524" s="105"/>
      <c r="C1524" s="105"/>
      <c r="D1524" s="105"/>
      <c r="E1524" s="105"/>
      <c r="F1524" s="630" t="s">
        <v>464</v>
      </c>
      <c r="G1524" s="630"/>
      <c r="H1524" s="102">
        <v>535.51</v>
      </c>
    </row>
    <row r="1525" spans="1:8">
      <c r="B1525" s="105"/>
      <c r="C1525" s="105"/>
      <c r="D1525" s="105"/>
      <c r="E1525" s="105"/>
      <c r="F1525" s="110"/>
      <c r="G1525" s="110"/>
      <c r="H1525" s="110"/>
    </row>
    <row r="1526" spans="1:8" s="220" customFormat="1" ht="27" customHeight="1">
      <c r="A1526" s="178" t="str">
        <f>'3 - PLAN. ORÇAMENTÁRIA'!A273</f>
        <v>4.1.6.1.20</v>
      </c>
      <c r="B1526" s="242">
        <f>VLOOKUP(A1526,'3 - PLAN. ORÇAMENTÁRIA'!$A$16:$B$721,2,FALSE)</f>
        <v>100875</v>
      </c>
      <c r="C1526" s="631" t="str">
        <f>VLOOKUP(A1526,'3 - PLAN. ORÇAMENTÁRIA'!$A$16:$C$721,3,FALSE)</f>
        <v>BANCO ARTICULADO, EM ACO INOX, PARA PCD, FIXADO NA PAREDE - FORNECIMENTO E INSTALAÇÃO. AF_01/2020</v>
      </c>
      <c r="D1526" s="632"/>
      <c r="E1526" s="632"/>
      <c r="F1526" s="632"/>
      <c r="G1526" s="633"/>
      <c r="H1526" s="131" t="str">
        <f>VLOOKUP(A1526,'3 - PLAN. ORÇAMENTÁRIA'!$A$17:$E$721,5,FALSE)</f>
        <v>UN</v>
      </c>
    </row>
    <row r="1527" spans="1:8">
      <c r="B1527" s="628" t="s">
        <v>593</v>
      </c>
      <c r="C1527" s="628"/>
      <c r="D1527" s="103" t="s">
        <v>579</v>
      </c>
      <c r="E1527" s="103" t="s">
        <v>580</v>
      </c>
      <c r="F1527" s="103" t="s">
        <v>581</v>
      </c>
      <c r="G1527" s="103" t="s">
        <v>582</v>
      </c>
      <c r="H1527" s="103" t="s">
        <v>583</v>
      </c>
    </row>
    <row r="1528" spans="1:8">
      <c r="B1528" s="130" t="s">
        <v>2808</v>
      </c>
      <c r="C1528" s="229" t="s">
        <v>2809</v>
      </c>
      <c r="D1528" s="130" t="s">
        <v>119</v>
      </c>
      <c r="E1528" s="130" t="s">
        <v>144</v>
      </c>
      <c r="F1528" s="230">
        <v>1</v>
      </c>
      <c r="G1528" s="494">
        <v>791.26</v>
      </c>
      <c r="H1528" s="494">
        <v>791.26</v>
      </c>
    </row>
    <row r="1529" spans="1:8" ht="25.5">
      <c r="B1529" s="130" t="s">
        <v>1502</v>
      </c>
      <c r="C1529" s="229" t="s">
        <v>1503</v>
      </c>
      <c r="D1529" s="130" t="s">
        <v>119</v>
      </c>
      <c r="E1529" s="130" t="s">
        <v>144</v>
      </c>
      <c r="F1529" s="230">
        <v>8</v>
      </c>
      <c r="G1529" s="494">
        <v>19.260000000000002</v>
      </c>
      <c r="H1529" s="494">
        <v>154.08000000000001</v>
      </c>
    </row>
    <row r="1530" spans="1:8">
      <c r="B1530" s="105"/>
      <c r="C1530" s="105"/>
      <c r="D1530" s="105"/>
      <c r="E1530" s="105"/>
      <c r="F1530" s="629" t="s">
        <v>604</v>
      </c>
      <c r="G1530" s="629"/>
      <c r="H1530" s="495">
        <v>945.34</v>
      </c>
    </row>
    <row r="1531" spans="1:8" ht="12.75" customHeight="1">
      <c r="B1531" s="628" t="s">
        <v>607</v>
      </c>
      <c r="C1531" s="628"/>
      <c r="D1531" s="103" t="s">
        <v>579</v>
      </c>
      <c r="E1531" s="103" t="s">
        <v>580</v>
      </c>
      <c r="F1531" s="103" t="s">
        <v>581</v>
      </c>
      <c r="G1531" s="103" t="s">
        <v>582</v>
      </c>
      <c r="H1531" s="103" t="s">
        <v>583</v>
      </c>
    </row>
    <row r="1532" spans="1:8">
      <c r="B1532" s="130" t="s">
        <v>1297</v>
      </c>
      <c r="C1532" s="229" t="s">
        <v>612</v>
      </c>
      <c r="D1532" s="130" t="s">
        <v>119</v>
      </c>
      <c r="E1532" s="130" t="s">
        <v>121</v>
      </c>
      <c r="F1532" s="230">
        <v>1.2646999999999999</v>
      </c>
      <c r="G1532" s="494">
        <v>30.62</v>
      </c>
      <c r="H1532" s="494">
        <v>38.729999999999997</v>
      </c>
    </row>
    <row r="1533" spans="1:8">
      <c r="B1533" s="130" t="s">
        <v>625</v>
      </c>
      <c r="C1533" s="229" t="s">
        <v>626</v>
      </c>
      <c r="D1533" s="130" t="s">
        <v>119</v>
      </c>
      <c r="E1533" s="130" t="s">
        <v>121</v>
      </c>
      <c r="F1533" s="230">
        <v>0.39850000000000002</v>
      </c>
      <c r="G1533" s="494">
        <v>23.75</v>
      </c>
      <c r="H1533" s="494">
        <v>9.4600000000000009</v>
      </c>
    </row>
    <row r="1534" spans="1:8" ht="12.75" customHeight="1">
      <c r="B1534" s="105"/>
      <c r="C1534" s="105"/>
      <c r="D1534" s="105"/>
      <c r="E1534" s="105"/>
      <c r="F1534" s="629" t="s">
        <v>610</v>
      </c>
      <c r="G1534" s="629"/>
      <c r="H1534" s="495">
        <v>48.19</v>
      </c>
    </row>
    <row r="1535" spans="1:8" ht="12.75" customHeight="1">
      <c r="B1535" s="105"/>
      <c r="C1535" s="105"/>
      <c r="D1535" s="105"/>
      <c r="E1535" s="105"/>
      <c r="F1535" s="630" t="s">
        <v>464</v>
      </c>
      <c r="G1535" s="630"/>
      <c r="H1535" s="102">
        <v>993.52</v>
      </c>
    </row>
    <row r="1536" spans="1:8">
      <c r="B1536" s="105"/>
      <c r="C1536" s="105"/>
      <c r="D1536" s="105"/>
      <c r="E1536" s="105"/>
      <c r="F1536" s="634"/>
      <c r="G1536" s="634"/>
      <c r="H1536" s="634"/>
    </row>
    <row r="1537" spans="1:8" s="220" customFormat="1" ht="27" customHeight="1">
      <c r="A1537" s="178" t="str">
        <f>'3 - PLAN. ORÇAMENTÁRIA'!A274</f>
        <v>4.1.6.1.21</v>
      </c>
      <c r="B1537" s="242">
        <f>VLOOKUP(A1537,'3 - PLAN. ORÇAMENTÁRIA'!$A$16:$B$721,2,FALSE)</f>
        <v>100867</v>
      </c>
      <c r="C1537" s="631" t="str">
        <f>VLOOKUP(A1537,'3 - PLAN. ORÇAMENTÁRIA'!$A$16:$C$721,3,FALSE)</f>
        <v>BARRA DE APOIO RETA, EM ACO INOX POLIDO, COMPRIMENTO 70 CM, FIXADA NA PAREDE - FORNECIMENTO E INSTALAÇÃO. AF_01/2020</v>
      </c>
      <c r="D1537" s="632"/>
      <c r="E1537" s="632"/>
      <c r="F1537" s="632"/>
      <c r="G1537" s="633"/>
      <c r="H1537" s="493" t="str">
        <f>VLOOKUP(A1537,'3 - PLAN. ORÇAMENTÁRIA'!$A$17:$E$721,5,FALSE)</f>
        <v>UN</v>
      </c>
    </row>
    <row r="1538" spans="1:8">
      <c r="B1538" s="628" t="s">
        <v>593</v>
      </c>
      <c r="C1538" s="628"/>
      <c r="D1538" s="103" t="s">
        <v>579</v>
      </c>
      <c r="E1538" s="103" t="s">
        <v>580</v>
      </c>
      <c r="F1538" s="103" t="s">
        <v>581</v>
      </c>
      <c r="G1538" s="103" t="s">
        <v>582</v>
      </c>
      <c r="H1538" s="103" t="s">
        <v>583</v>
      </c>
    </row>
    <row r="1539" spans="1:8">
      <c r="B1539" s="130" t="s">
        <v>3077</v>
      </c>
      <c r="C1539" s="229" t="s">
        <v>3078</v>
      </c>
      <c r="D1539" s="130" t="s">
        <v>119</v>
      </c>
      <c r="E1539" s="130" t="s">
        <v>144</v>
      </c>
      <c r="F1539" s="230">
        <v>1</v>
      </c>
      <c r="G1539" s="494">
        <v>171.36</v>
      </c>
      <c r="H1539" s="494">
        <v>171.36</v>
      </c>
    </row>
    <row r="1540" spans="1:8" ht="25.5">
      <c r="B1540" s="130" t="s">
        <v>1502</v>
      </c>
      <c r="C1540" s="229" t="s">
        <v>1503</v>
      </c>
      <c r="D1540" s="130" t="s">
        <v>119</v>
      </c>
      <c r="E1540" s="130" t="s">
        <v>144</v>
      </c>
      <c r="F1540" s="230">
        <v>6</v>
      </c>
      <c r="G1540" s="494">
        <v>19.260000000000002</v>
      </c>
      <c r="H1540" s="494">
        <v>115.56</v>
      </c>
    </row>
    <row r="1541" spans="1:8">
      <c r="B1541" s="105"/>
      <c r="C1541" s="105"/>
      <c r="D1541" s="105"/>
      <c r="E1541" s="105"/>
      <c r="F1541" s="629" t="s">
        <v>604</v>
      </c>
      <c r="G1541" s="629"/>
      <c r="H1541" s="495">
        <v>286.92</v>
      </c>
    </row>
    <row r="1542" spans="1:8" ht="12.75" customHeight="1">
      <c r="B1542" s="628" t="s">
        <v>607</v>
      </c>
      <c r="C1542" s="628"/>
      <c r="D1542" s="103" t="s">
        <v>579</v>
      </c>
      <c r="E1542" s="103" t="s">
        <v>580</v>
      </c>
      <c r="F1542" s="103" t="s">
        <v>581</v>
      </c>
      <c r="G1542" s="103" t="s">
        <v>582</v>
      </c>
      <c r="H1542" s="103" t="s">
        <v>583</v>
      </c>
    </row>
    <row r="1543" spans="1:8">
      <c r="B1543" s="130" t="s">
        <v>1297</v>
      </c>
      <c r="C1543" s="229" t="s">
        <v>612</v>
      </c>
      <c r="D1543" s="130" t="s">
        <v>119</v>
      </c>
      <c r="E1543" s="130" t="s">
        <v>121</v>
      </c>
      <c r="F1543" s="230">
        <v>0.94850000000000001</v>
      </c>
      <c r="G1543" s="494">
        <v>30.62</v>
      </c>
      <c r="H1543" s="494">
        <v>29.04</v>
      </c>
    </row>
    <row r="1544" spans="1:8">
      <c r="B1544" s="130" t="s">
        <v>625</v>
      </c>
      <c r="C1544" s="229" t="s">
        <v>626</v>
      </c>
      <c r="D1544" s="130" t="s">
        <v>119</v>
      </c>
      <c r="E1544" s="130" t="s">
        <v>121</v>
      </c>
      <c r="F1544" s="230">
        <v>0.29880000000000001</v>
      </c>
      <c r="G1544" s="494">
        <v>23.75</v>
      </c>
      <c r="H1544" s="494">
        <v>7.1</v>
      </c>
    </row>
    <row r="1545" spans="1:8" ht="12.75" customHeight="1">
      <c r="B1545" s="105"/>
      <c r="C1545" s="105"/>
      <c r="D1545" s="105"/>
      <c r="E1545" s="105"/>
      <c r="F1545" s="629" t="s">
        <v>610</v>
      </c>
      <c r="G1545" s="629"/>
      <c r="H1545" s="495">
        <v>36.14</v>
      </c>
    </row>
    <row r="1546" spans="1:8" ht="12.75" customHeight="1">
      <c r="B1546" s="105"/>
      <c r="C1546" s="105"/>
      <c r="D1546" s="105"/>
      <c r="E1546" s="105"/>
      <c r="F1546" s="630" t="s">
        <v>464</v>
      </c>
      <c r="G1546" s="630"/>
      <c r="H1546" s="102">
        <v>323.05</v>
      </c>
    </row>
    <row r="1547" spans="1:8">
      <c r="B1547" s="105"/>
      <c r="C1547" s="105"/>
      <c r="D1547" s="105"/>
      <c r="E1547" s="105"/>
      <c r="F1547" s="317"/>
      <c r="G1547" s="317"/>
      <c r="H1547" s="317"/>
    </row>
    <row r="1548" spans="1:8" s="220" customFormat="1" ht="27" customHeight="1">
      <c r="A1548" s="178" t="str">
        <f>'3 - PLAN. ORÇAMENTÁRIA'!A276</f>
        <v>4.1.6.1.23</v>
      </c>
      <c r="B1548" s="178">
        <f>VLOOKUP(A1548,'3 - PLAN. ORÇAMENTÁRIA'!$A$16:$B$721,2,FALSE)</f>
        <v>100868</v>
      </c>
      <c r="C1548" s="631" t="str">
        <f>VLOOKUP(A1548,'3 - PLAN. ORÇAMENTÁRIA'!$A$16:$C$721,3,FALSE)</f>
        <v>BARRA DE APOIO RETA, EM ACO INOX POLIDO, COMPRIMENTO 80 CM, FIXADA NA PAREDE - FORNECIMENTO E INSTALAÇÃO. AF_01/2020</v>
      </c>
      <c r="D1548" s="632"/>
      <c r="E1548" s="632"/>
      <c r="F1548" s="632"/>
      <c r="G1548" s="633"/>
      <c r="H1548" s="433" t="str">
        <f>VLOOKUP(A1548,'3 - PLAN. ORÇAMENTÁRIA'!$A$17:$E$721,5,FALSE)</f>
        <v>UN</v>
      </c>
    </row>
    <row r="1549" spans="1:8">
      <c r="B1549" s="628" t="s">
        <v>593</v>
      </c>
      <c r="C1549" s="628"/>
      <c r="D1549" s="103" t="s">
        <v>579</v>
      </c>
      <c r="E1549" s="103" t="s">
        <v>580</v>
      </c>
      <c r="F1549" s="103" t="s">
        <v>581</v>
      </c>
      <c r="G1549" s="103" t="s">
        <v>582</v>
      </c>
      <c r="H1549" s="103" t="s">
        <v>583</v>
      </c>
    </row>
    <row r="1550" spans="1:8">
      <c r="B1550" s="130" t="s">
        <v>1500</v>
      </c>
      <c r="C1550" s="229" t="s">
        <v>1501</v>
      </c>
      <c r="D1550" s="130" t="s">
        <v>119</v>
      </c>
      <c r="E1550" s="130" t="s">
        <v>144</v>
      </c>
      <c r="F1550" s="230">
        <v>1</v>
      </c>
      <c r="G1550" s="494">
        <v>182.72</v>
      </c>
      <c r="H1550" s="494">
        <v>182.72</v>
      </c>
    </row>
    <row r="1551" spans="1:8" ht="25.5">
      <c r="B1551" s="130" t="s">
        <v>1502</v>
      </c>
      <c r="C1551" s="229" t="s">
        <v>1503</v>
      </c>
      <c r="D1551" s="130" t="s">
        <v>119</v>
      </c>
      <c r="E1551" s="130" t="s">
        <v>144</v>
      </c>
      <c r="F1551" s="230">
        <v>6</v>
      </c>
      <c r="G1551" s="494">
        <v>19.260000000000002</v>
      </c>
      <c r="H1551" s="494">
        <v>115.56</v>
      </c>
    </row>
    <row r="1552" spans="1:8">
      <c r="B1552" s="105"/>
      <c r="C1552" s="105"/>
      <c r="D1552" s="105"/>
      <c r="E1552" s="105"/>
      <c r="F1552" s="629" t="s">
        <v>604</v>
      </c>
      <c r="G1552" s="629"/>
      <c r="H1552" s="495">
        <v>298.27999999999997</v>
      </c>
    </row>
    <row r="1553" spans="1:8" ht="12.75" customHeight="1">
      <c r="B1553" s="628" t="s">
        <v>607</v>
      </c>
      <c r="C1553" s="628"/>
      <c r="D1553" s="103" t="s">
        <v>579</v>
      </c>
      <c r="E1553" s="103" t="s">
        <v>580</v>
      </c>
      <c r="F1553" s="103" t="s">
        <v>581</v>
      </c>
      <c r="G1553" s="103" t="s">
        <v>582</v>
      </c>
      <c r="H1553" s="103" t="s">
        <v>583</v>
      </c>
    </row>
    <row r="1554" spans="1:8">
      <c r="B1554" s="130" t="s">
        <v>1297</v>
      </c>
      <c r="C1554" s="229" t="s">
        <v>612</v>
      </c>
      <c r="D1554" s="130" t="s">
        <v>119</v>
      </c>
      <c r="E1554" s="130" t="s">
        <v>121</v>
      </c>
      <c r="F1554" s="230">
        <v>0.94850000000000001</v>
      </c>
      <c r="G1554" s="494">
        <v>30.62</v>
      </c>
      <c r="H1554" s="494">
        <v>29.04</v>
      </c>
    </row>
    <row r="1555" spans="1:8">
      <c r="B1555" s="130" t="s">
        <v>625</v>
      </c>
      <c r="C1555" s="229" t="s">
        <v>626</v>
      </c>
      <c r="D1555" s="130" t="s">
        <v>119</v>
      </c>
      <c r="E1555" s="130" t="s">
        <v>121</v>
      </c>
      <c r="F1555" s="230">
        <v>0.29880000000000001</v>
      </c>
      <c r="G1555" s="494">
        <v>23.75</v>
      </c>
      <c r="H1555" s="494">
        <v>7.1</v>
      </c>
    </row>
    <row r="1556" spans="1:8" ht="12.75" customHeight="1">
      <c r="B1556" s="105"/>
      <c r="C1556" s="105"/>
      <c r="D1556" s="105"/>
      <c r="E1556" s="105"/>
      <c r="F1556" s="629" t="s">
        <v>610</v>
      </c>
      <c r="G1556" s="629"/>
      <c r="H1556" s="495">
        <v>36.14</v>
      </c>
    </row>
    <row r="1557" spans="1:8" ht="12.75" customHeight="1">
      <c r="B1557" s="105"/>
      <c r="C1557" s="105"/>
      <c r="D1557" s="105"/>
      <c r="E1557" s="105"/>
      <c r="F1557" s="630" t="s">
        <v>464</v>
      </c>
      <c r="G1557" s="630"/>
      <c r="H1557" s="102">
        <v>334.41</v>
      </c>
    </row>
    <row r="1558" spans="1:8">
      <c r="B1558" s="105"/>
      <c r="C1558" s="105"/>
      <c r="D1558" s="105"/>
      <c r="E1558" s="105"/>
      <c r="F1558" s="110"/>
      <c r="G1558" s="110"/>
      <c r="H1558" s="110"/>
    </row>
    <row r="1559" spans="1:8" s="220" customFormat="1" ht="27" customHeight="1">
      <c r="A1559" s="178" t="str">
        <f>'3 - PLAN. ORÇAMENTÁRIA'!A290</f>
        <v>4.1.6.2.3</v>
      </c>
      <c r="B1559" s="242">
        <f>VLOOKUP(A1559,'3 - PLAN. ORÇAMENTÁRIA'!$A$16:$B$721,2,FALSE)</f>
        <v>86909</v>
      </c>
      <c r="C1559" s="631" t="str">
        <f>VLOOKUP(A1559,'3 - PLAN. ORÇAMENTÁRIA'!$A$16:$C$721,3,FALSE)</f>
        <v>TORNEIRA CROMADA TUBO MÓVEL, DE MESA, 1/2? OU 3/4?, PARA PIA DE COZINHA, PADRÃO ALTO - FORNECIMENTO E INSTALAÇÃO. AF_01/2020</v>
      </c>
      <c r="D1559" s="632"/>
      <c r="E1559" s="632"/>
      <c r="F1559" s="632"/>
      <c r="G1559" s="633"/>
      <c r="H1559" s="131" t="str">
        <f>VLOOKUP(A1559,'3 - PLAN. ORÇAMENTÁRIA'!$A$17:$E$721,5,FALSE)</f>
        <v>UN</v>
      </c>
    </row>
    <row r="1560" spans="1:8">
      <c r="B1560" s="628" t="s">
        <v>593</v>
      </c>
      <c r="C1560" s="628"/>
      <c r="D1560" s="103" t="s">
        <v>579</v>
      </c>
      <c r="E1560" s="103" t="s">
        <v>580</v>
      </c>
      <c r="F1560" s="103" t="s">
        <v>581</v>
      </c>
      <c r="G1560" s="103" t="s">
        <v>582</v>
      </c>
      <c r="H1560" s="103" t="s">
        <v>583</v>
      </c>
    </row>
    <row r="1561" spans="1:8">
      <c r="B1561" s="130" t="s">
        <v>1544</v>
      </c>
      <c r="C1561" s="229" t="s">
        <v>3794</v>
      </c>
      <c r="D1561" s="130" t="s">
        <v>119</v>
      </c>
      <c r="E1561" s="130" t="s">
        <v>144</v>
      </c>
      <c r="F1561" s="230">
        <v>2.1000000000000001E-2</v>
      </c>
      <c r="G1561" s="494">
        <v>3.9</v>
      </c>
      <c r="H1561" s="494">
        <v>0.08</v>
      </c>
    </row>
    <row r="1562" spans="1:8" ht="25.5">
      <c r="B1562" s="130" t="s">
        <v>3607</v>
      </c>
      <c r="C1562" s="229" t="s">
        <v>3790</v>
      </c>
      <c r="D1562" s="130" t="s">
        <v>119</v>
      </c>
      <c r="E1562" s="130" t="s">
        <v>144</v>
      </c>
      <c r="F1562" s="230">
        <v>1</v>
      </c>
      <c r="G1562" s="494">
        <v>121.43</v>
      </c>
      <c r="H1562" s="494">
        <v>121.43</v>
      </c>
    </row>
    <row r="1563" spans="1:8">
      <c r="B1563" s="105"/>
      <c r="C1563" s="105"/>
      <c r="D1563" s="105"/>
      <c r="E1563" s="105"/>
      <c r="F1563" s="629" t="s">
        <v>604</v>
      </c>
      <c r="G1563" s="629"/>
      <c r="H1563" s="495">
        <v>121.51</v>
      </c>
    </row>
    <row r="1564" spans="1:8" ht="12.75" customHeight="1">
      <c r="B1564" s="628" t="s">
        <v>607</v>
      </c>
      <c r="C1564" s="628"/>
      <c r="D1564" s="103" t="s">
        <v>579</v>
      </c>
      <c r="E1564" s="103" t="s">
        <v>580</v>
      </c>
      <c r="F1564" s="103" t="s">
        <v>581</v>
      </c>
      <c r="G1564" s="103" t="s">
        <v>582</v>
      </c>
      <c r="H1564" s="103" t="s">
        <v>583</v>
      </c>
    </row>
    <row r="1565" spans="1:8">
      <c r="B1565" s="130" t="s">
        <v>1297</v>
      </c>
      <c r="C1565" s="229" t="s">
        <v>612</v>
      </c>
      <c r="D1565" s="130" t="s">
        <v>119</v>
      </c>
      <c r="E1565" s="130" t="s">
        <v>121</v>
      </c>
      <c r="F1565" s="230">
        <v>0.16669999999999999</v>
      </c>
      <c r="G1565" s="494">
        <v>30.62</v>
      </c>
      <c r="H1565" s="494">
        <v>5.0999999999999996</v>
      </c>
    </row>
    <row r="1566" spans="1:8">
      <c r="B1566" s="130" t="s">
        <v>625</v>
      </c>
      <c r="C1566" s="229" t="s">
        <v>626</v>
      </c>
      <c r="D1566" s="130" t="s">
        <v>119</v>
      </c>
      <c r="E1566" s="130" t="s">
        <v>121</v>
      </c>
      <c r="F1566" s="230">
        <v>5.2499999999999998E-2</v>
      </c>
      <c r="G1566" s="494">
        <v>23.75</v>
      </c>
      <c r="H1566" s="494">
        <v>1.25</v>
      </c>
    </row>
    <row r="1567" spans="1:8" ht="12.75" customHeight="1">
      <c r="B1567" s="105"/>
      <c r="C1567" s="105"/>
      <c r="D1567" s="105"/>
      <c r="E1567" s="105"/>
      <c r="F1567" s="629" t="s">
        <v>610</v>
      </c>
      <c r="G1567" s="629"/>
      <c r="H1567" s="495">
        <v>6.35</v>
      </c>
    </row>
    <row r="1568" spans="1:8" ht="12.75" customHeight="1">
      <c r="B1568" s="105"/>
      <c r="C1568" s="105"/>
      <c r="D1568" s="105"/>
      <c r="E1568" s="105"/>
      <c r="F1568" s="630" t="s">
        <v>464</v>
      </c>
      <c r="G1568" s="630"/>
      <c r="H1568" s="102">
        <v>127.85</v>
      </c>
    </row>
    <row r="1569" spans="1:8">
      <c r="B1569" s="105"/>
      <c r="C1569" s="105"/>
      <c r="D1569" s="105"/>
      <c r="E1569" s="105"/>
      <c r="F1569" s="634"/>
      <c r="G1569" s="634"/>
      <c r="H1569" s="634"/>
    </row>
    <row r="1570" spans="1:8" s="220" customFormat="1" ht="27" customHeight="1">
      <c r="A1570" s="178" t="str">
        <f>'3 - PLAN. ORÇAMENTÁRIA'!A292</f>
        <v>4.1.6.2.5</v>
      </c>
      <c r="B1570" s="242" t="str">
        <f>VLOOKUP(A1570,'3 - PLAN. ORÇAMENTÁRIA'!$A$16:$B$721,2,FALSE)</f>
        <v>CCU 072</v>
      </c>
      <c r="C1570" s="631" t="str">
        <f>VLOOKUP(A1570,'3 - PLAN. ORÇAMENTÁRIA'!$A$16:$C$721,3,FALSE)</f>
        <v>SIFÃO COM VÁLVULA PARA TANQUE DE LAVAR, 1 1/4"X40, AKROS N°. 8 OU SIMILAR - FORNECIMENTO E INSTALAÇÃO</v>
      </c>
      <c r="D1570" s="632"/>
      <c r="E1570" s="632"/>
      <c r="F1570" s="632"/>
      <c r="G1570" s="633"/>
      <c r="H1570" s="131" t="str">
        <f>VLOOKUP(A1570,'3 - PLAN. ORÇAMENTÁRIA'!$A$17:$E$721,5,FALSE)</f>
        <v>UN</v>
      </c>
    </row>
    <row r="1571" spans="1:8">
      <c r="B1571" s="628" t="s">
        <v>593</v>
      </c>
      <c r="C1571" s="628"/>
      <c r="D1571" s="103" t="s">
        <v>579</v>
      </c>
      <c r="E1571" s="103" t="s">
        <v>580</v>
      </c>
      <c r="F1571" s="103" t="s">
        <v>581</v>
      </c>
      <c r="G1571" s="103" t="s">
        <v>582</v>
      </c>
      <c r="H1571" s="103" t="s">
        <v>583</v>
      </c>
    </row>
    <row r="1572" spans="1:8">
      <c r="B1572" s="130" t="s">
        <v>1544</v>
      </c>
      <c r="C1572" s="229" t="s">
        <v>3794</v>
      </c>
      <c r="D1572" s="130" t="s">
        <v>119</v>
      </c>
      <c r="E1572" s="130" t="s">
        <v>144</v>
      </c>
      <c r="F1572" s="230">
        <v>3.32E-2</v>
      </c>
      <c r="G1572" s="494">
        <v>3.9</v>
      </c>
      <c r="H1572" s="494">
        <v>0.13</v>
      </c>
    </row>
    <row r="1573" spans="1:8">
      <c r="B1573" s="130" t="s">
        <v>1545</v>
      </c>
      <c r="C1573" s="229" t="s">
        <v>1546</v>
      </c>
      <c r="D1573" s="130" t="s">
        <v>119</v>
      </c>
      <c r="E1573" s="130" t="s">
        <v>144</v>
      </c>
      <c r="F1573" s="230">
        <v>1</v>
      </c>
      <c r="G1573" s="494">
        <v>145.37</v>
      </c>
      <c r="H1573" s="494">
        <v>145.37</v>
      </c>
    </row>
    <row r="1574" spans="1:8">
      <c r="B1574" s="105"/>
      <c r="C1574" s="105"/>
      <c r="D1574" s="105"/>
      <c r="E1574" s="105"/>
      <c r="F1574" s="629" t="s">
        <v>604</v>
      </c>
      <c r="G1574" s="629"/>
      <c r="H1574" s="495">
        <v>145.5</v>
      </c>
    </row>
    <row r="1575" spans="1:8" ht="12.75" customHeight="1">
      <c r="B1575" s="628" t="s">
        <v>607</v>
      </c>
      <c r="C1575" s="628"/>
      <c r="D1575" s="103" t="s">
        <v>579</v>
      </c>
      <c r="E1575" s="103" t="s">
        <v>580</v>
      </c>
      <c r="F1575" s="103" t="s">
        <v>581</v>
      </c>
      <c r="G1575" s="103" t="s">
        <v>582</v>
      </c>
      <c r="H1575" s="103" t="s">
        <v>583</v>
      </c>
    </row>
    <row r="1576" spans="1:8">
      <c r="B1576" s="130" t="s">
        <v>1297</v>
      </c>
      <c r="C1576" s="229" t="s">
        <v>612</v>
      </c>
      <c r="D1576" s="130" t="s">
        <v>119</v>
      </c>
      <c r="E1576" s="130" t="s">
        <v>121</v>
      </c>
      <c r="F1576" s="230">
        <v>0.27339999999999998</v>
      </c>
      <c r="G1576" s="494">
        <v>30.62</v>
      </c>
      <c r="H1576" s="494">
        <v>8.3699999999999992</v>
      </c>
    </row>
    <row r="1577" spans="1:8">
      <c r="B1577" s="130" t="s">
        <v>625</v>
      </c>
      <c r="C1577" s="229" t="s">
        <v>626</v>
      </c>
      <c r="D1577" s="130" t="s">
        <v>119</v>
      </c>
      <c r="E1577" s="130" t="s">
        <v>121</v>
      </c>
      <c r="F1577" s="230">
        <v>8.6199999999999999E-2</v>
      </c>
      <c r="G1577" s="494">
        <v>23.75</v>
      </c>
      <c r="H1577" s="494">
        <v>2.0499999999999998</v>
      </c>
    </row>
    <row r="1578" spans="1:8" ht="12.75" customHeight="1">
      <c r="B1578" s="105"/>
      <c r="C1578" s="105"/>
      <c r="D1578" s="105"/>
      <c r="E1578" s="105"/>
      <c r="F1578" s="629" t="s">
        <v>610</v>
      </c>
      <c r="G1578" s="629"/>
      <c r="H1578" s="495">
        <v>10.42</v>
      </c>
    </row>
    <row r="1579" spans="1:8" ht="12.75" customHeight="1">
      <c r="B1579" s="105"/>
      <c r="C1579" s="105"/>
      <c r="D1579" s="105"/>
      <c r="E1579" s="105"/>
      <c r="F1579" s="630" t="s">
        <v>464</v>
      </c>
      <c r="G1579" s="630"/>
      <c r="H1579" s="102">
        <v>155.9</v>
      </c>
    </row>
    <row r="1580" spans="1:8">
      <c r="B1580" s="105"/>
      <c r="C1580" s="105"/>
      <c r="D1580" s="105"/>
      <c r="E1580" s="105"/>
      <c r="F1580" s="634"/>
      <c r="G1580" s="634"/>
      <c r="H1580" s="634"/>
    </row>
    <row r="1581" spans="1:8" s="220" customFormat="1" ht="27" customHeight="1">
      <c r="A1581" s="178" t="str">
        <f>'3 - PLAN. ORÇAMENTÁRIA'!A308</f>
        <v>4.3.1</v>
      </c>
      <c r="B1581" s="242">
        <f>VLOOKUP(A1581,'3 - PLAN. ORÇAMENTÁRIA'!$A$16:$B$721,2,FALSE)</f>
        <v>98519</v>
      </c>
      <c r="C1581" s="631" t="str">
        <f>VLOOKUP(A1581,'3 - PLAN. ORÇAMENTÁRIA'!$A$16:$C$721,3,FALSE)</f>
        <v>REVOLVIMENTO E LIMPEZA MANUAL DE SOLO. AF_07/2024</v>
      </c>
      <c r="D1581" s="632"/>
      <c r="E1581" s="632"/>
      <c r="F1581" s="632"/>
      <c r="G1581" s="633"/>
      <c r="H1581" s="131" t="str">
        <f>VLOOKUP(A1581,'3 - PLAN. ORÇAMENTÁRIA'!$A$17:$E$721,5,FALSE)</f>
        <v>M2</v>
      </c>
    </row>
    <row r="1582" spans="1:8" ht="12.75" customHeight="1">
      <c r="B1582" s="628" t="s">
        <v>607</v>
      </c>
      <c r="C1582" s="628"/>
      <c r="D1582" s="103" t="s">
        <v>579</v>
      </c>
      <c r="E1582" s="103" t="s">
        <v>580</v>
      </c>
      <c r="F1582" s="103" t="s">
        <v>581</v>
      </c>
      <c r="G1582" s="103" t="s">
        <v>582</v>
      </c>
      <c r="H1582" s="103" t="s">
        <v>583</v>
      </c>
    </row>
    <row r="1583" spans="1:8">
      <c r="B1583" s="130" t="s">
        <v>1341</v>
      </c>
      <c r="C1583" s="229" t="s">
        <v>634</v>
      </c>
      <c r="D1583" s="130" t="s">
        <v>119</v>
      </c>
      <c r="E1583" s="130" t="s">
        <v>121</v>
      </c>
      <c r="F1583" s="230">
        <v>2.8000000000000001E-2</v>
      </c>
      <c r="G1583" s="494">
        <v>28</v>
      </c>
      <c r="H1583" s="494">
        <v>0.78</v>
      </c>
    </row>
    <row r="1584" spans="1:8">
      <c r="B1584" s="130" t="s">
        <v>625</v>
      </c>
      <c r="C1584" s="229" t="s">
        <v>626</v>
      </c>
      <c r="D1584" s="130" t="s">
        <v>119</v>
      </c>
      <c r="E1584" s="130" t="s">
        <v>121</v>
      </c>
      <c r="F1584" s="230">
        <v>0.14000000000000001</v>
      </c>
      <c r="G1584" s="494">
        <v>23.75</v>
      </c>
      <c r="H1584" s="494">
        <v>3.33</v>
      </c>
    </row>
    <row r="1585" spans="1:8" ht="12.75" customHeight="1">
      <c r="B1585" s="105"/>
      <c r="C1585" s="105"/>
      <c r="D1585" s="105"/>
      <c r="E1585" s="105"/>
      <c r="F1585" s="629" t="s">
        <v>610</v>
      </c>
      <c r="G1585" s="629"/>
      <c r="H1585" s="495">
        <v>4.1100000000000003</v>
      </c>
    </row>
    <row r="1586" spans="1:8" ht="12.75" customHeight="1">
      <c r="B1586" s="105"/>
      <c r="C1586" s="105"/>
      <c r="D1586" s="105"/>
      <c r="E1586" s="105"/>
      <c r="F1586" s="630" t="s">
        <v>464</v>
      </c>
      <c r="G1586" s="630"/>
      <c r="H1586" s="102">
        <v>4.0999999999999996</v>
      </c>
    </row>
    <row r="1587" spans="1:8">
      <c r="B1587" s="105"/>
      <c r="C1587" s="105"/>
      <c r="D1587" s="105"/>
      <c r="E1587" s="105"/>
      <c r="F1587" s="634"/>
      <c r="G1587" s="634"/>
      <c r="H1587" s="634"/>
    </row>
    <row r="1588" spans="1:8" s="220" customFormat="1" ht="27" customHeight="1">
      <c r="A1588" s="178" t="str">
        <f>'3 - PLAN. ORÇAMENTÁRIA'!A309</f>
        <v>4.3.2</v>
      </c>
      <c r="B1588" s="242">
        <f>VLOOKUP(A1588,'3 - PLAN. ORÇAMENTÁRIA'!$A$16:$B$721,2,FALSE)</f>
        <v>103946</v>
      </c>
      <c r="C1588" s="631" t="str">
        <f>VLOOKUP(A1588,'3 - PLAN. ORÇAMENTÁRIA'!$A$16:$C$721,3,FALSE)</f>
        <v>PLANTIO DE GRAMA ESMERALDA OU SÃO CARLOS OU CURITIBANA, EM PLACAS. AF_07/2024</v>
      </c>
      <c r="D1588" s="632"/>
      <c r="E1588" s="632"/>
      <c r="F1588" s="632"/>
      <c r="G1588" s="633"/>
      <c r="H1588" s="131" t="str">
        <f>VLOOKUP(A1588,'3 - PLAN. ORÇAMENTÁRIA'!$A$17:$E$721,5,FALSE)</f>
        <v>M2</v>
      </c>
    </row>
    <row r="1589" spans="1:8">
      <c r="B1589" s="628" t="s">
        <v>593</v>
      </c>
      <c r="C1589" s="628"/>
      <c r="D1589" s="103" t="s">
        <v>579</v>
      </c>
      <c r="E1589" s="103" t="s">
        <v>580</v>
      </c>
      <c r="F1589" s="103" t="s">
        <v>581</v>
      </c>
      <c r="G1589" s="103" t="s">
        <v>582</v>
      </c>
      <c r="H1589" s="103" t="s">
        <v>583</v>
      </c>
    </row>
    <row r="1590" spans="1:8">
      <c r="B1590" s="130" t="s">
        <v>1564</v>
      </c>
      <c r="C1590" s="229" t="s">
        <v>1565</v>
      </c>
      <c r="D1590" s="130" t="s">
        <v>119</v>
      </c>
      <c r="E1590" s="130" t="s">
        <v>139</v>
      </c>
      <c r="F1590" s="230">
        <v>1</v>
      </c>
      <c r="G1590" s="494">
        <v>18</v>
      </c>
      <c r="H1590" s="494">
        <v>18</v>
      </c>
    </row>
    <row r="1591" spans="1:8">
      <c r="B1591" s="105"/>
      <c r="C1591" s="105"/>
      <c r="D1591" s="105"/>
      <c r="E1591" s="105"/>
      <c r="F1591" s="629" t="s">
        <v>604</v>
      </c>
      <c r="G1591" s="629"/>
      <c r="H1591" s="495">
        <v>18</v>
      </c>
    </row>
    <row r="1592" spans="1:8" ht="12.75" customHeight="1">
      <c r="B1592" s="628" t="s">
        <v>607</v>
      </c>
      <c r="C1592" s="628"/>
      <c r="D1592" s="103" t="s">
        <v>579</v>
      </c>
      <c r="E1592" s="103" t="s">
        <v>580</v>
      </c>
      <c r="F1592" s="103" t="s">
        <v>581</v>
      </c>
      <c r="G1592" s="103" t="s">
        <v>582</v>
      </c>
      <c r="H1592" s="103" t="s">
        <v>583</v>
      </c>
    </row>
    <row r="1593" spans="1:8">
      <c r="B1593" s="130" t="s">
        <v>1341</v>
      </c>
      <c r="C1593" s="229" t="s">
        <v>634</v>
      </c>
      <c r="D1593" s="130" t="s">
        <v>119</v>
      </c>
      <c r="E1593" s="130" t="s">
        <v>121</v>
      </c>
      <c r="F1593" s="230">
        <v>2.7699999999999999E-2</v>
      </c>
      <c r="G1593" s="494">
        <v>28</v>
      </c>
      <c r="H1593" s="494">
        <v>0.78</v>
      </c>
    </row>
    <row r="1594" spans="1:8">
      <c r="B1594" s="130" t="s">
        <v>625</v>
      </c>
      <c r="C1594" s="229" t="s">
        <v>626</v>
      </c>
      <c r="D1594" s="130" t="s">
        <v>119</v>
      </c>
      <c r="E1594" s="130" t="s">
        <v>121</v>
      </c>
      <c r="F1594" s="230">
        <v>0.1386</v>
      </c>
      <c r="G1594" s="494">
        <v>23.75</v>
      </c>
      <c r="H1594" s="494">
        <v>3.29</v>
      </c>
    </row>
    <row r="1595" spans="1:8" ht="12.75" customHeight="1">
      <c r="B1595" s="105"/>
      <c r="C1595" s="105"/>
      <c r="D1595" s="105"/>
      <c r="E1595" s="105"/>
      <c r="F1595" s="629" t="s">
        <v>610</v>
      </c>
      <c r="G1595" s="629"/>
      <c r="H1595" s="495">
        <v>4.07</v>
      </c>
    </row>
    <row r="1596" spans="1:8" ht="12.75" customHeight="1">
      <c r="B1596" s="105"/>
      <c r="C1596" s="105"/>
      <c r="D1596" s="105"/>
      <c r="E1596" s="105"/>
      <c r="F1596" s="630" t="s">
        <v>464</v>
      </c>
      <c r="G1596" s="630"/>
      <c r="H1596" s="102">
        <v>22.06</v>
      </c>
    </row>
    <row r="1597" spans="1:8">
      <c r="B1597" s="105"/>
      <c r="C1597" s="105"/>
      <c r="D1597" s="105"/>
      <c r="E1597" s="105"/>
      <c r="F1597" s="634"/>
      <c r="G1597" s="634"/>
      <c r="H1597" s="634"/>
    </row>
    <row r="1598" spans="1:8" s="220" customFormat="1" ht="27" customHeight="1">
      <c r="A1598" s="178" t="str">
        <f>'3 - PLAN. ORÇAMENTÁRIA'!A311</f>
        <v>4.3.4</v>
      </c>
      <c r="B1598" s="242">
        <f>VLOOKUP(A1598,'3 - PLAN. ORÇAMENTÁRIA'!$A$16:$B$721,2,FALSE)</f>
        <v>98520</v>
      </c>
      <c r="C1598" s="631" t="str">
        <f>VLOOKUP(A1598,'3 - PLAN. ORÇAMENTÁRIA'!$A$16:$C$721,3,FALSE)</f>
        <v>APLICAÇÃO DE ADUBO EM SOLO. AF_07/2024</v>
      </c>
      <c r="D1598" s="632"/>
      <c r="E1598" s="632"/>
      <c r="F1598" s="632"/>
      <c r="G1598" s="633"/>
      <c r="H1598" s="131" t="str">
        <f>VLOOKUP(A1598,'3 - PLAN. ORÇAMENTÁRIA'!$A$17:$E$721,5,FALSE)</f>
        <v>M2</v>
      </c>
    </row>
    <row r="1599" spans="1:8">
      <c r="B1599" s="628" t="s">
        <v>593</v>
      </c>
      <c r="C1599" s="628"/>
      <c r="D1599" s="103" t="s">
        <v>579</v>
      </c>
      <c r="E1599" s="103" t="s">
        <v>580</v>
      </c>
      <c r="F1599" s="103" t="s">
        <v>581</v>
      </c>
      <c r="G1599" s="103" t="s">
        <v>582</v>
      </c>
      <c r="H1599" s="103" t="s">
        <v>583</v>
      </c>
    </row>
    <row r="1600" spans="1:8">
      <c r="B1600" s="130" t="s">
        <v>1566</v>
      </c>
      <c r="C1600" s="229" t="s">
        <v>1567</v>
      </c>
      <c r="D1600" s="130" t="s">
        <v>119</v>
      </c>
      <c r="E1600" s="130" t="s">
        <v>200</v>
      </c>
      <c r="F1600" s="230">
        <v>0.125</v>
      </c>
      <c r="G1600" s="494">
        <v>3.04</v>
      </c>
      <c r="H1600" s="494">
        <v>0.38</v>
      </c>
    </row>
    <row r="1601" spans="1:8">
      <c r="B1601" s="130" t="s">
        <v>1568</v>
      </c>
      <c r="C1601" s="229" t="s">
        <v>1569</v>
      </c>
      <c r="D1601" s="130" t="s">
        <v>119</v>
      </c>
      <c r="E1601" s="130" t="s">
        <v>200</v>
      </c>
      <c r="F1601" s="230">
        <v>2.6526000000000001</v>
      </c>
      <c r="G1601" s="494">
        <v>1.28</v>
      </c>
      <c r="H1601" s="494">
        <v>3.4</v>
      </c>
    </row>
    <row r="1602" spans="1:8">
      <c r="B1602" s="105"/>
      <c r="C1602" s="105"/>
      <c r="D1602" s="105"/>
      <c r="E1602" s="105"/>
      <c r="F1602" s="629" t="s">
        <v>604</v>
      </c>
      <c r="G1602" s="629"/>
      <c r="H1602" s="495">
        <v>3.78</v>
      </c>
    </row>
    <row r="1603" spans="1:8" ht="12.75" customHeight="1">
      <c r="B1603" s="628" t="s">
        <v>607</v>
      </c>
      <c r="C1603" s="628"/>
      <c r="D1603" s="103" t="s">
        <v>579</v>
      </c>
      <c r="E1603" s="103" t="s">
        <v>580</v>
      </c>
      <c r="F1603" s="103" t="s">
        <v>581</v>
      </c>
      <c r="G1603" s="103" t="s">
        <v>582</v>
      </c>
      <c r="H1603" s="103" t="s">
        <v>583</v>
      </c>
    </row>
    <row r="1604" spans="1:8">
      <c r="B1604" s="130" t="s">
        <v>1341</v>
      </c>
      <c r="C1604" s="229" t="s">
        <v>634</v>
      </c>
      <c r="D1604" s="130" t="s">
        <v>119</v>
      </c>
      <c r="E1604" s="130" t="s">
        <v>121</v>
      </c>
      <c r="F1604" s="230">
        <v>1.12E-2</v>
      </c>
      <c r="G1604" s="494">
        <v>28</v>
      </c>
      <c r="H1604" s="494">
        <v>0.31</v>
      </c>
    </row>
    <row r="1605" spans="1:8">
      <c r="B1605" s="130" t="s">
        <v>625</v>
      </c>
      <c r="C1605" s="229" t="s">
        <v>626</v>
      </c>
      <c r="D1605" s="130" t="s">
        <v>119</v>
      </c>
      <c r="E1605" s="130" t="s">
        <v>121</v>
      </c>
      <c r="F1605" s="230">
        <v>5.5800000000000002E-2</v>
      </c>
      <c r="G1605" s="494">
        <v>23.75</v>
      </c>
      <c r="H1605" s="494">
        <v>1.33</v>
      </c>
    </row>
    <row r="1606" spans="1:8" ht="12.75" customHeight="1">
      <c r="B1606" s="105"/>
      <c r="C1606" s="105"/>
      <c r="D1606" s="105"/>
      <c r="E1606" s="105"/>
      <c r="F1606" s="629" t="s">
        <v>610</v>
      </c>
      <c r="G1606" s="629"/>
      <c r="H1606" s="495">
        <v>1.64</v>
      </c>
    </row>
    <row r="1607" spans="1:8" ht="12.75" customHeight="1">
      <c r="B1607" s="105"/>
      <c r="C1607" s="105"/>
      <c r="D1607" s="105"/>
      <c r="E1607" s="105"/>
      <c r="F1607" s="630" t="s">
        <v>464</v>
      </c>
      <c r="G1607" s="630"/>
      <c r="H1607" s="102">
        <v>5.4</v>
      </c>
    </row>
    <row r="1608" spans="1:8">
      <c r="B1608" s="105"/>
      <c r="C1608" s="105"/>
      <c r="D1608" s="105"/>
      <c r="E1608" s="105"/>
      <c r="F1608" s="634"/>
      <c r="G1608" s="634"/>
      <c r="H1608" s="634"/>
    </row>
    <row r="1609" spans="1:8" s="220" customFormat="1" ht="27" customHeight="1">
      <c r="A1609" s="178" t="str">
        <f>'3 - PLAN. ORÇAMENTÁRIA'!A312</f>
        <v>4.3.5</v>
      </c>
      <c r="B1609" s="242">
        <f>VLOOKUP(A1609,'3 - PLAN. ORÇAMENTÁRIA'!$A$16:$B$721,2,FALSE)</f>
        <v>98521</v>
      </c>
      <c r="C1609" s="631" t="str">
        <f>VLOOKUP(A1609,'3 - PLAN. ORÇAMENTÁRIA'!$A$16:$C$721,3,FALSE)</f>
        <v>APLICAÇÃO DE CALCÁRIO PARA CORREÇÃO DO PH DO SOLO. AF_07/2024</v>
      </c>
      <c r="D1609" s="632"/>
      <c r="E1609" s="632"/>
      <c r="F1609" s="632"/>
      <c r="G1609" s="633"/>
      <c r="H1609" s="528" t="str">
        <f>VLOOKUP(A1609,'3 - PLAN. ORÇAMENTÁRIA'!$A$17:$E$721,5,FALSE)</f>
        <v>M2</v>
      </c>
    </row>
    <row r="1610" spans="1:8">
      <c r="B1610" s="628" t="s">
        <v>593</v>
      </c>
      <c r="C1610" s="628"/>
      <c r="D1610" s="103" t="s">
        <v>579</v>
      </c>
      <c r="E1610" s="103" t="s">
        <v>580</v>
      </c>
      <c r="F1610" s="103" t="s">
        <v>581</v>
      </c>
      <c r="G1610" s="103" t="s">
        <v>582</v>
      </c>
      <c r="H1610" s="103" t="s">
        <v>583</v>
      </c>
    </row>
    <row r="1611" spans="1:8">
      <c r="B1611" s="239" t="s">
        <v>4153</v>
      </c>
      <c r="C1611" s="229" t="s">
        <v>4154</v>
      </c>
      <c r="D1611" s="130" t="s">
        <v>119</v>
      </c>
      <c r="E1611" s="130" t="s">
        <v>200</v>
      </c>
      <c r="F1611" s="230">
        <v>0.25</v>
      </c>
      <c r="G1611" s="526">
        <v>0.3</v>
      </c>
      <c r="H1611" s="526">
        <v>0.08</v>
      </c>
    </row>
    <row r="1612" spans="1:8">
      <c r="B1612" s="105"/>
      <c r="C1612" s="105"/>
      <c r="D1612" s="105"/>
      <c r="E1612" s="105"/>
      <c r="F1612" s="629" t="s">
        <v>604</v>
      </c>
      <c r="G1612" s="629"/>
      <c r="H1612" s="527">
        <v>0.08</v>
      </c>
    </row>
    <row r="1613" spans="1:8">
      <c r="B1613" s="628" t="s">
        <v>607</v>
      </c>
      <c r="C1613" s="628"/>
      <c r="D1613" s="103" t="s">
        <v>579</v>
      </c>
      <c r="E1613" s="103" t="s">
        <v>580</v>
      </c>
      <c r="F1613" s="103" t="s">
        <v>581</v>
      </c>
      <c r="G1613" s="103" t="s">
        <v>582</v>
      </c>
      <c r="H1613" s="103" t="s">
        <v>583</v>
      </c>
    </row>
    <row r="1614" spans="1:8">
      <c r="B1614" s="130" t="s">
        <v>1341</v>
      </c>
      <c r="C1614" s="229" t="s">
        <v>634</v>
      </c>
      <c r="D1614" s="130" t="s">
        <v>119</v>
      </c>
      <c r="E1614" s="130" t="s">
        <v>121</v>
      </c>
      <c r="F1614" s="230">
        <v>2.3E-3</v>
      </c>
      <c r="G1614" s="526">
        <v>28</v>
      </c>
      <c r="H1614" s="526">
        <v>0.06</v>
      </c>
    </row>
    <row r="1615" spans="1:8">
      <c r="B1615" s="130" t="s">
        <v>625</v>
      </c>
      <c r="C1615" s="229" t="s">
        <v>626</v>
      </c>
      <c r="D1615" s="130" t="s">
        <v>119</v>
      </c>
      <c r="E1615" s="130" t="s">
        <v>121</v>
      </c>
      <c r="F1615" s="230">
        <v>1.1599999999999999E-2</v>
      </c>
      <c r="G1615" s="526">
        <v>23.75</v>
      </c>
      <c r="H1615" s="526">
        <v>0.28000000000000003</v>
      </c>
    </row>
    <row r="1616" spans="1:8">
      <c r="B1616" s="105"/>
      <c r="C1616" s="105"/>
      <c r="D1616" s="105"/>
      <c r="E1616" s="105"/>
      <c r="F1616" s="629" t="s">
        <v>610</v>
      </c>
      <c r="G1616" s="629"/>
      <c r="H1616" s="527">
        <v>0.34</v>
      </c>
    </row>
    <row r="1617" spans="1:8">
      <c r="B1617" s="105"/>
      <c r="C1617" s="105"/>
      <c r="D1617" s="105"/>
      <c r="E1617" s="105"/>
      <c r="F1617" s="630" t="s">
        <v>464</v>
      </c>
      <c r="G1617" s="630"/>
      <c r="H1617" s="102">
        <v>0.4</v>
      </c>
    </row>
    <row r="1618" spans="1:8">
      <c r="B1618" s="105"/>
      <c r="C1618" s="105"/>
      <c r="D1618" s="105"/>
      <c r="E1618" s="105"/>
      <c r="F1618" s="524"/>
      <c r="G1618" s="524"/>
      <c r="H1618" s="524"/>
    </row>
    <row r="1619" spans="1:8" s="220" customFormat="1" ht="27" customHeight="1">
      <c r="A1619" s="178" t="str">
        <f>'3 - PLAN. ORÇAMENTÁRIA'!A316</f>
        <v>4.3.9</v>
      </c>
      <c r="B1619" s="242">
        <f>VLOOKUP(A1619,'3 - PLAN. ORÇAMENTÁRIA'!$A$16:$B$721,2,FALSE)</f>
        <v>98516</v>
      </c>
      <c r="C1619" s="631" t="str">
        <f>VLOOKUP(A1619,'3 - PLAN. ORÇAMENTÁRIA'!$A$16:$C$721,3,FALSE)</f>
        <v>PLANTIO DE PALMEIRA COM ALTURA DE MUDA MENOR OU IGUAL A 2,00 M . AF_07/2024</v>
      </c>
      <c r="D1619" s="632"/>
      <c r="E1619" s="632"/>
      <c r="F1619" s="632"/>
      <c r="G1619" s="633"/>
      <c r="H1619" s="131" t="str">
        <f>VLOOKUP(A1619,'3 - PLAN. ORÇAMENTÁRIA'!$A$17:$E$721,5,FALSE)</f>
        <v>UN</v>
      </c>
    </row>
    <row r="1620" spans="1:8" ht="12.75" customHeight="1">
      <c r="B1620" s="628" t="s">
        <v>1301</v>
      </c>
      <c r="C1620" s="628"/>
      <c r="D1620" s="103" t="s">
        <v>579</v>
      </c>
      <c r="E1620" s="103" t="s">
        <v>580</v>
      </c>
      <c r="F1620" s="103" t="s">
        <v>581</v>
      </c>
      <c r="G1620" s="103" t="s">
        <v>582</v>
      </c>
      <c r="H1620" s="103" t="s">
        <v>583</v>
      </c>
    </row>
    <row r="1621" spans="1:8" ht="38.25">
      <c r="B1621" s="130" t="s">
        <v>1573</v>
      </c>
      <c r="C1621" s="229" t="s">
        <v>1574</v>
      </c>
      <c r="D1621" s="130" t="s">
        <v>119</v>
      </c>
      <c r="E1621" s="130" t="s">
        <v>1304</v>
      </c>
      <c r="F1621" s="230">
        <v>0.87809999999999999</v>
      </c>
      <c r="G1621" s="494">
        <v>64.37</v>
      </c>
      <c r="H1621" s="494">
        <v>56.52</v>
      </c>
    </row>
    <row r="1622" spans="1:8" ht="38.25">
      <c r="B1622" s="130" t="s">
        <v>1575</v>
      </c>
      <c r="C1622" s="229" t="s">
        <v>1576</v>
      </c>
      <c r="D1622" s="130" t="s">
        <v>119</v>
      </c>
      <c r="E1622" s="130" t="s">
        <v>1307</v>
      </c>
      <c r="F1622" s="230">
        <v>0.24740000000000001</v>
      </c>
      <c r="G1622" s="494">
        <v>234.26</v>
      </c>
      <c r="H1622" s="494">
        <v>57.96</v>
      </c>
    </row>
    <row r="1623" spans="1:8" ht="12.75" customHeight="1">
      <c r="B1623" s="105"/>
      <c r="C1623" s="105"/>
      <c r="D1623" s="105"/>
      <c r="E1623" s="105"/>
      <c r="F1623" s="629" t="s">
        <v>1308</v>
      </c>
      <c r="G1623" s="629"/>
      <c r="H1623" s="495">
        <v>114.48</v>
      </c>
    </row>
    <row r="1624" spans="1:8">
      <c r="B1624" s="628" t="s">
        <v>593</v>
      </c>
      <c r="C1624" s="628"/>
      <c r="D1624" s="103" t="s">
        <v>579</v>
      </c>
      <c r="E1624" s="103" t="s">
        <v>580</v>
      </c>
      <c r="F1624" s="103" t="s">
        <v>581</v>
      </c>
      <c r="G1624" s="103" t="s">
        <v>582</v>
      </c>
      <c r="H1624" s="103" t="s">
        <v>583</v>
      </c>
    </row>
    <row r="1625" spans="1:8">
      <c r="B1625" s="130" t="s">
        <v>1577</v>
      </c>
      <c r="C1625" s="229" t="s">
        <v>1578</v>
      </c>
      <c r="D1625" s="130" t="s">
        <v>119</v>
      </c>
      <c r="E1625" s="130" t="s">
        <v>144</v>
      </c>
      <c r="F1625" s="230">
        <v>1</v>
      </c>
      <c r="G1625" s="494">
        <v>120.68</v>
      </c>
      <c r="H1625" s="494">
        <v>120.68</v>
      </c>
    </row>
    <row r="1626" spans="1:8">
      <c r="B1626" s="105"/>
      <c r="C1626" s="105"/>
      <c r="D1626" s="105"/>
      <c r="E1626" s="105"/>
      <c r="F1626" s="629" t="s">
        <v>604</v>
      </c>
      <c r="G1626" s="629"/>
      <c r="H1626" s="495">
        <v>120.68</v>
      </c>
    </row>
    <row r="1627" spans="1:8" ht="12.75" customHeight="1">
      <c r="B1627" s="628" t="s">
        <v>607</v>
      </c>
      <c r="C1627" s="628"/>
      <c r="D1627" s="103" t="s">
        <v>579</v>
      </c>
      <c r="E1627" s="103" t="s">
        <v>580</v>
      </c>
      <c r="F1627" s="103" t="s">
        <v>581</v>
      </c>
      <c r="G1627" s="103" t="s">
        <v>582</v>
      </c>
      <c r="H1627" s="103" t="s">
        <v>583</v>
      </c>
    </row>
    <row r="1628" spans="1:8">
      <c r="B1628" s="130" t="s">
        <v>1341</v>
      </c>
      <c r="C1628" s="229" t="s">
        <v>634</v>
      </c>
      <c r="D1628" s="130" t="s">
        <v>119</v>
      </c>
      <c r="E1628" s="130" t="s">
        <v>121</v>
      </c>
      <c r="F1628" s="230">
        <v>0.61129999999999995</v>
      </c>
      <c r="G1628" s="494">
        <v>28</v>
      </c>
      <c r="H1628" s="494">
        <v>17.12</v>
      </c>
    </row>
    <row r="1629" spans="1:8">
      <c r="B1629" s="130" t="s">
        <v>625</v>
      </c>
      <c r="C1629" s="229" t="s">
        <v>626</v>
      </c>
      <c r="D1629" s="130" t="s">
        <v>119</v>
      </c>
      <c r="E1629" s="130" t="s">
        <v>121</v>
      </c>
      <c r="F1629" s="230">
        <v>3.0567000000000002</v>
      </c>
      <c r="G1629" s="494">
        <v>23.75</v>
      </c>
      <c r="H1629" s="494">
        <v>72.599999999999994</v>
      </c>
    </row>
    <row r="1630" spans="1:8" ht="12.75" customHeight="1">
      <c r="B1630" s="105"/>
      <c r="C1630" s="105"/>
      <c r="D1630" s="105"/>
      <c r="E1630" s="105"/>
      <c r="F1630" s="629" t="s">
        <v>610</v>
      </c>
      <c r="G1630" s="629"/>
      <c r="H1630" s="495">
        <v>89.72</v>
      </c>
    </row>
    <row r="1631" spans="1:8" ht="12.75" customHeight="1">
      <c r="B1631" s="105"/>
      <c r="C1631" s="105"/>
      <c r="D1631" s="105"/>
      <c r="E1631" s="105"/>
      <c r="F1631" s="630" t="s">
        <v>464</v>
      </c>
      <c r="G1631" s="630"/>
      <c r="H1631" s="102">
        <v>324.85000000000002</v>
      </c>
    </row>
    <row r="1632" spans="1:8">
      <c r="B1632" s="105"/>
      <c r="C1632" s="105"/>
      <c r="D1632" s="105"/>
      <c r="E1632" s="105"/>
      <c r="F1632" s="634"/>
      <c r="G1632" s="634"/>
      <c r="H1632" s="634"/>
    </row>
    <row r="1633" spans="1:8" s="220" customFormat="1" ht="27" customHeight="1">
      <c r="A1633" s="178" t="str">
        <f>'3 - PLAN. ORÇAMENTÁRIA'!A317</f>
        <v>4.3.10</v>
      </c>
      <c r="B1633" s="242">
        <f>VLOOKUP(A1633,'3 - PLAN. ORÇAMENTÁRIA'!$A$16:$B$721,2,FALSE)</f>
        <v>98511</v>
      </c>
      <c r="C1633" s="631" t="str">
        <f>VLOOKUP(A1633,'3 - PLAN. ORÇAMENTÁRIA'!$A$16:$C$721,3,FALSE)</f>
        <v>PLANTIO DE ÁRVORE ORNAMENTAL AMOREIA COM ALTURA DE MUDA MAIOR QUE 2,00 M E MENOR OU IGUAL A 4,00 M . AF_07/2024</v>
      </c>
      <c r="D1633" s="632"/>
      <c r="E1633" s="632"/>
      <c r="F1633" s="632"/>
      <c r="G1633" s="633"/>
      <c r="H1633" s="493" t="str">
        <f>VLOOKUP(A1633,'3 - PLAN. ORÇAMENTÁRIA'!$A$17:$E$721,5,FALSE)</f>
        <v>UN</v>
      </c>
    </row>
    <row r="1634" spans="1:8">
      <c r="B1634" s="628" t="s">
        <v>593</v>
      </c>
      <c r="C1634" s="628"/>
      <c r="D1634" s="103" t="s">
        <v>579</v>
      </c>
      <c r="E1634" s="103" t="s">
        <v>580</v>
      </c>
      <c r="F1634" s="103" t="s">
        <v>581</v>
      </c>
      <c r="G1634" s="103" t="s">
        <v>582</v>
      </c>
      <c r="H1634" s="103" t="s">
        <v>583</v>
      </c>
    </row>
    <row r="1635" spans="1:8" ht="25.5">
      <c r="B1635" s="130" t="s">
        <v>2440</v>
      </c>
      <c r="C1635" s="229" t="s">
        <v>2441</v>
      </c>
      <c r="D1635" s="130" t="s">
        <v>119</v>
      </c>
      <c r="E1635" s="130" t="s">
        <v>144</v>
      </c>
      <c r="F1635" s="230">
        <v>1</v>
      </c>
      <c r="G1635" s="494">
        <v>122.29</v>
      </c>
      <c r="H1635" s="494">
        <v>122.29</v>
      </c>
    </row>
    <row r="1636" spans="1:8">
      <c r="B1636" s="105"/>
      <c r="C1636" s="105"/>
      <c r="D1636" s="105"/>
      <c r="E1636" s="105"/>
      <c r="F1636" s="629" t="s">
        <v>604</v>
      </c>
      <c r="G1636" s="629"/>
      <c r="H1636" s="495">
        <v>122.29</v>
      </c>
    </row>
    <row r="1637" spans="1:8" ht="12.75" customHeight="1">
      <c r="B1637" s="628" t="s">
        <v>607</v>
      </c>
      <c r="C1637" s="628"/>
      <c r="D1637" s="103" t="s">
        <v>579</v>
      </c>
      <c r="E1637" s="103" t="s">
        <v>580</v>
      </c>
      <c r="F1637" s="103" t="s">
        <v>581</v>
      </c>
      <c r="G1637" s="103" t="s">
        <v>582</v>
      </c>
      <c r="H1637" s="103" t="s">
        <v>583</v>
      </c>
    </row>
    <row r="1638" spans="1:8">
      <c r="B1638" s="130" t="s">
        <v>1341</v>
      </c>
      <c r="C1638" s="229" t="s">
        <v>634</v>
      </c>
      <c r="D1638" s="130" t="s">
        <v>119</v>
      </c>
      <c r="E1638" s="130" t="s">
        <v>121</v>
      </c>
      <c r="F1638" s="230">
        <v>0.24210000000000001</v>
      </c>
      <c r="G1638" s="494">
        <v>28</v>
      </c>
      <c r="H1638" s="494">
        <v>6.78</v>
      </c>
    </row>
    <row r="1639" spans="1:8">
      <c r="B1639" s="130" t="s">
        <v>625</v>
      </c>
      <c r="C1639" s="229" t="s">
        <v>626</v>
      </c>
      <c r="D1639" s="130" t="s">
        <v>119</v>
      </c>
      <c r="E1639" s="130" t="s">
        <v>121</v>
      </c>
      <c r="F1639" s="230">
        <v>1.2102999999999999</v>
      </c>
      <c r="G1639" s="494">
        <v>23.75</v>
      </c>
      <c r="H1639" s="494">
        <v>28.74</v>
      </c>
    </row>
    <row r="1640" spans="1:8" ht="12.75" customHeight="1">
      <c r="B1640" s="105"/>
      <c r="C1640" s="105"/>
      <c r="D1640" s="105"/>
      <c r="E1640" s="105"/>
      <c r="F1640" s="629" t="s">
        <v>610</v>
      </c>
      <c r="G1640" s="629"/>
      <c r="H1640" s="495">
        <v>35.520000000000003</v>
      </c>
    </row>
    <row r="1641" spans="1:8" ht="12.75" customHeight="1">
      <c r="B1641" s="105"/>
      <c r="C1641" s="105"/>
      <c r="D1641" s="105"/>
      <c r="E1641" s="105"/>
      <c r="F1641" s="630" t="s">
        <v>464</v>
      </c>
      <c r="G1641" s="630"/>
      <c r="H1641" s="102">
        <v>157.80000000000001</v>
      </c>
    </row>
    <row r="1642" spans="1:8">
      <c r="B1642" s="105"/>
      <c r="C1642" s="105"/>
      <c r="D1642" s="105"/>
      <c r="E1642" s="105"/>
      <c r="F1642" s="634"/>
      <c r="G1642" s="634"/>
      <c r="H1642" s="634"/>
    </row>
    <row r="1643" spans="1:8" s="220" customFormat="1" ht="27" customHeight="1">
      <c r="A1643" s="178" t="str">
        <f>'3 - PLAN. ORÇAMENTÁRIA'!A318</f>
        <v>4.3.11</v>
      </c>
      <c r="B1643" s="242">
        <f>VLOOKUP(A1643,'3 - PLAN. ORÇAMENTÁRIA'!$A$16:$B$721,2,FALSE)</f>
        <v>98510</v>
      </c>
      <c r="C1643" s="631" t="str">
        <f>VLOOKUP(A1643,'3 - PLAN. ORÇAMENTÁRIA'!$A$16:$C$721,3,FALSE)</f>
        <v>PLANTIO DE ÁRVORE ORNAMENTAL IPÊ COM ALTURA DE MUDA MENOR OU IGUAL A 2,00 M. AF_05/2018</v>
      </c>
      <c r="D1643" s="632"/>
      <c r="E1643" s="632"/>
      <c r="F1643" s="632"/>
      <c r="G1643" s="633"/>
      <c r="H1643" s="493" t="str">
        <f>VLOOKUP(A1643,'3 - PLAN. ORÇAMENTÁRIA'!$A$17:$E$721,5,FALSE)</f>
        <v>UN</v>
      </c>
    </row>
    <row r="1644" spans="1:8">
      <c r="B1644" s="628" t="s">
        <v>593</v>
      </c>
      <c r="C1644" s="628"/>
      <c r="D1644" s="103" t="s">
        <v>579</v>
      </c>
      <c r="E1644" s="103" t="s">
        <v>580</v>
      </c>
      <c r="F1644" s="103" t="s">
        <v>581</v>
      </c>
      <c r="G1644" s="103" t="s">
        <v>582</v>
      </c>
      <c r="H1644" s="103" t="s">
        <v>583</v>
      </c>
    </row>
    <row r="1645" spans="1:8" ht="25.5">
      <c r="B1645" s="130" t="s">
        <v>1579</v>
      </c>
      <c r="C1645" s="229" t="s">
        <v>1580</v>
      </c>
      <c r="D1645" s="130" t="s">
        <v>119</v>
      </c>
      <c r="E1645" s="130" t="s">
        <v>144</v>
      </c>
      <c r="F1645" s="230">
        <v>1</v>
      </c>
      <c r="G1645" s="494">
        <v>59.54</v>
      </c>
      <c r="H1645" s="494">
        <v>59.54</v>
      </c>
    </row>
    <row r="1646" spans="1:8">
      <c r="B1646" s="105"/>
      <c r="C1646" s="105"/>
      <c r="D1646" s="105"/>
      <c r="E1646" s="105"/>
      <c r="F1646" s="629" t="s">
        <v>604</v>
      </c>
      <c r="G1646" s="629"/>
      <c r="H1646" s="495">
        <v>59.54</v>
      </c>
    </row>
    <row r="1647" spans="1:8" ht="12.75" customHeight="1">
      <c r="B1647" s="628" t="s">
        <v>607</v>
      </c>
      <c r="C1647" s="628"/>
      <c r="D1647" s="103" t="s">
        <v>579</v>
      </c>
      <c r="E1647" s="103" t="s">
        <v>580</v>
      </c>
      <c r="F1647" s="103" t="s">
        <v>581</v>
      </c>
      <c r="G1647" s="103" t="s">
        <v>582</v>
      </c>
      <c r="H1647" s="103" t="s">
        <v>583</v>
      </c>
    </row>
    <row r="1648" spans="1:8">
      <c r="B1648" s="130" t="s">
        <v>1341</v>
      </c>
      <c r="C1648" s="229" t="s">
        <v>634</v>
      </c>
      <c r="D1648" s="130" t="s">
        <v>119</v>
      </c>
      <c r="E1648" s="130" t="s">
        <v>121</v>
      </c>
      <c r="F1648" s="230">
        <v>0.2117</v>
      </c>
      <c r="G1648" s="494">
        <v>28</v>
      </c>
      <c r="H1648" s="494">
        <v>5.93</v>
      </c>
    </row>
    <row r="1649" spans="1:8">
      <c r="B1649" s="130" t="s">
        <v>625</v>
      </c>
      <c r="C1649" s="229" t="s">
        <v>626</v>
      </c>
      <c r="D1649" s="130" t="s">
        <v>119</v>
      </c>
      <c r="E1649" s="130" t="s">
        <v>121</v>
      </c>
      <c r="F1649" s="230">
        <v>1.0584</v>
      </c>
      <c r="G1649" s="494">
        <v>23.75</v>
      </c>
      <c r="H1649" s="494">
        <v>25.14</v>
      </c>
    </row>
    <row r="1650" spans="1:8" ht="12.75" customHeight="1">
      <c r="B1650" s="105"/>
      <c r="C1650" s="105"/>
      <c r="D1650" s="105"/>
      <c r="E1650" s="105"/>
      <c r="F1650" s="629" t="s">
        <v>610</v>
      </c>
      <c r="G1650" s="629"/>
      <c r="H1650" s="495">
        <v>31.07</v>
      </c>
    </row>
    <row r="1651" spans="1:8" ht="12.75" customHeight="1">
      <c r="B1651" s="105"/>
      <c r="C1651" s="105"/>
      <c r="D1651" s="105"/>
      <c r="E1651" s="105"/>
      <c r="F1651" s="630" t="s">
        <v>464</v>
      </c>
      <c r="G1651" s="630"/>
      <c r="H1651" s="102">
        <v>90.59</v>
      </c>
    </row>
    <row r="1652" spans="1:8">
      <c r="B1652" s="105"/>
      <c r="C1652" s="105"/>
      <c r="D1652" s="105"/>
      <c r="E1652" s="105"/>
      <c r="F1652" s="634"/>
      <c r="G1652" s="634"/>
      <c r="H1652" s="634"/>
    </row>
    <row r="1653" spans="1:8" s="220" customFormat="1" ht="27" customHeight="1">
      <c r="A1653" s="178" t="str">
        <f>'3 - PLAN. ORÇAMENTÁRIA'!A319</f>
        <v>4.3.12</v>
      </c>
      <c r="B1653" s="242">
        <f>VLOOKUP(A1653,'3 - PLAN. ORÇAMENTÁRIA'!$A$16:$B$721,2,FALSE)</f>
        <v>98511</v>
      </c>
      <c r="C1653" s="631" t="str">
        <f>VLOOKUP(A1653,'3 - PLAN. ORÇAMENTÁRIA'!$A$16:$C$721,3,FALSE)</f>
        <v>PLANTIO DE ÁRVORE ORNAMENTAL OITI COM ALTURA DE MUDA MAIOR QUE 2,00 M E MENOR OU IGUAL A 4,00 M . AF_07/2024</v>
      </c>
      <c r="D1653" s="632"/>
      <c r="E1653" s="632"/>
      <c r="F1653" s="632"/>
      <c r="G1653" s="633"/>
      <c r="H1653" s="493" t="str">
        <f>VLOOKUP(A1653,'3 - PLAN. ORÇAMENTÁRIA'!$A$17:$E$721,5,FALSE)</f>
        <v>UN</v>
      </c>
    </row>
    <row r="1654" spans="1:8">
      <c r="B1654" s="628" t="s">
        <v>593</v>
      </c>
      <c r="C1654" s="628"/>
      <c r="D1654" s="103" t="s">
        <v>579</v>
      </c>
      <c r="E1654" s="103" t="s">
        <v>580</v>
      </c>
      <c r="F1654" s="103" t="s">
        <v>581</v>
      </c>
      <c r="G1654" s="103" t="s">
        <v>582</v>
      </c>
      <c r="H1654" s="103" t="s">
        <v>583</v>
      </c>
    </row>
    <row r="1655" spans="1:8" ht="25.5">
      <c r="B1655" s="130" t="s">
        <v>2440</v>
      </c>
      <c r="C1655" s="229" t="s">
        <v>2441</v>
      </c>
      <c r="D1655" s="130" t="s">
        <v>119</v>
      </c>
      <c r="E1655" s="130" t="s">
        <v>144</v>
      </c>
      <c r="F1655" s="230">
        <v>1</v>
      </c>
      <c r="G1655" s="494">
        <v>122.29</v>
      </c>
      <c r="H1655" s="494">
        <v>122.29</v>
      </c>
    </row>
    <row r="1656" spans="1:8">
      <c r="B1656" s="105"/>
      <c r="C1656" s="105"/>
      <c r="D1656" s="105"/>
      <c r="E1656" s="105"/>
      <c r="F1656" s="629" t="s">
        <v>604</v>
      </c>
      <c r="G1656" s="629"/>
      <c r="H1656" s="495">
        <v>122.29</v>
      </c>
    </row>
    <row r="1657" spans="1:8" ht="12.75" customHeight="1">
      <c r="B1657" s="628" t="s">
        <v>607</v>
      </c>
      <c r="C1657" s="628"/>
      <c r="D1657" s="103" t="s">
        <v>579</v>
      </c>
      <c r="E1657" s="103" t="s">
        <v>580</v>
      </c>
      <c r="F1657" s="103" t="s">
        <v>581</v>
      </c>
      <c r="G1657" s="103" t="s">
        <v>582</v>
      </c>
      <c r="H1657" s="103" t="s">
        <v>583</v>
      </c>
    </row>
    <row r="1658" spans="1:8">
      <c r="B1658" s="130" t="s">
        <v>1341</v>
      </c>
      <c r="C1658" s="229" t="s">
        <v>634</v>
      </c>
      <c r="D1658" s="130" t="s">
        <v>119</v>
      </c>
      <c r="E1658" s="130" t="s">
        <v>121</v>
      </c>
      <c r="F1658" s="230">
        <v>0.24210000000000001</v>
      </c>
      <c r="G1658" s="494">
        <v>28</v>
      </c>
      <c r="H1658" s="494">
        <v>6.78</v>
      </c>
    </row>
    <row r="1659" spans="1:8">
      <c r="B1659" s="130" t="s">
        <v>625</v>
      </c>
      <c r="C1659" s="229" t="s">
        <v>626</v>
      </c>
      <c r="D1659" s="130" t="s">
        <v>119</v>
      </c>
      <c r="E1659" s="130" t="s">
        <v>121</v>
      </c>
      <c r="F1659" s="230">
        <v>1.2102999999999999</v>
      </c>
      <c r="G1659" s="494">
        <v>23.75</v>
      </c>
      <c r="H1659" s="494">
        <v>28.74</v>
      </c>
    </row>
    <row r="1660" spans="1:8" ht="12.75" customHeight="1">
      <c r="B1660" s="105"/>
      <c r="C1660" s="105"/>
      <c r="D1660" s="105"/>
      <c r="E1660" s="105"/>
      <c r="F1660" s="629" t="s">
        <v>610</v>
      </c>
      <c r="G1660" s="629"/>
      <c r="H1660" s="495">
        <v>35.520000000000003</v>
      </c>
    </row>
    <row r="1661" spans="1:8" ht="12.75" customHeight="1">
      <c r="B1661" s="105"/>
      <c r="C1661" s="105"/>
      <c r="D1661" s="105"/>
      <c r="E1661" s="105"/>
      <c r="F1661" s="630" t="s">
        <v>464</v>
      </c>
      <c r="G1661" s="630"/>
      <c r="H1661" s="102">
        <v>157.80000000000001</v>
      </c>
    </row>
    <row r="1662" spans="1:8">
      <c r="B1662" s="105"/>
      <c r="C1662" s="105"/>
      <c r="D1662" s="105"/>
      <c r="E1662" s="105"/>
      <c r="F1662" s="317"/>
      <c r="G1662" s="317"/>
      <c r="H1662" s="317"/>
    </row>
    <row r="1663" spans="1:8" s="220" customFormat="1" ht="27" customHeight="1">
      <c r="A1663" s="178" t="str">
        <f>'3 - PLAN. ORÇAMENTÁRIA'!A329</f>
        <v>4.3.22</v>
      </c>
      <c r="B1663" s="242">
        <f>VLOOKUP(A1663,'3 - PLAN. ORÇAMENTÁRIA'!$A$16:$B$721,2,FALSE)</f>
        <v>98509</v>
      </c>
      <c r="C1663" s="631" t="str">
        <f>VLOOKUP(A1663,'3 - PLAN. ORÇAMENTÁRIA'!$A$16:$C$721,3,FALSE)</f>
        <v>PLANTIO DE TREPADEIRA. AF_07/2024</v>
      </c>
      <c r="D1663" s="632"/>
      <c r="E1663" s="632"/>
      <c r="F1663" s="632"/>
      <c r="G1663" s="633"/>
      <c r="H1663" s="131" t="str">
        <f>VLOOKUP(A1663,'3 - PLAN. ORÇAMENTÁRIA'!$A$17:$E$721,5,FALSE)</f>
        <v>UN</v>
      </c>
    </row>
    <row r="1664" spans="1:8">
      <c r="B1664" s="628" t="s">
        <v>593</v>
      </c>
      <c r="C1664" s="628"/>
      <c r="D1664" s="103" t="s">
        <v>579</v>
      </c>
      <c r="E1664" s="103" t="s">
        <v>580</v>
      </c>
      <c r="F1664" s="103" t="s">
        <v>581</v>
      </c>
      <c r="G1664" s="103" t="s">
        <v>582</v>
      </c>
      <c r="H1664" s="103" t="s">
        <v>583</v>
      </c>
    </row>
    <row r="1665" spans="1:8">
      <c r="B1665" s="130" t="s">
        <v>1581</v>
      </c>
      <c r="C1665" s="229" t="s">
        <v>1582</v>
      </c>
      <c r="D1665" s="130" t="s">
        <v>119</v>
      </c>
      <c r="E1665" s="130" t="s">
        <v>144</v>
      </c>
      <c r="F1665" s="230">
        <v>1</v>
      </c>
      <c r="G1665" s="494">
        <v>49.88</v>
      </c>
      <c r="H1665" s="494">
        <v>49.88</v>
      </c>
    </row>
    <row r="1666" spans="1:8">
      <c r="B1666" s="105"/>
      <c r="C1666" s="105"/>
      <c r="D1666" s="105"/>
      <c r="E1666" s="105"/>
      <c r="F1666" s="629" t="s">
        <v>604</v>
      </c>
      <c r="G1666" s="629"/>
      <c r="H1666" s="495">
        <v>49.88</v>
      </c>
    </row>
    <row r="1667" spans="1:8" ht="12.75" customHeight="1">
      <c r="B1667" s="628" t="s">
        <v>607</v>
      </c>
      <c r="C1667" s="628"/>
      <c r="D1667" s="103" t="s">
        <v>579</v>
      </c>
      <c r="E1667" s="103" t="s">
        <v>580</v>
      </c>
      <c r="F1667" s="103" t="s">
        <v>581</v>
      </c>
      <c r="G1667" s="103" t="s">
        <v>582</v>
      </c>
      <c r="H1667" s="103" t="s">
        <v>583</v>
      </c>
    </row>
    <row r="1668" spans="1:8">
      <c r="B1668" s="130" t="s">
        <v>1341</v>
      </c>
      <c r="C1668" s="229" t="s">
        <v>634</v>
      </c>
      <c r="D1668" s="130" t="s">
        <v>119</v>
      </c>
      <c r="E1668" s="130" t="s">
        <v>121</v>
      </c>
      <c r="F1668" s="230">
        <v>1.0800000000000001E-2</v>
      </c>
      <c r="G1668" s="494">
        <v>28</v>
      </c>
      <c r="H1668" s="494">
        <v>0.3</v>
      </c>
    </row>
    <row r="1669" spans="1:8">
      <c r="B1669" s="130" t="s">
        <v>625</v>
      </c>
      <c r="C1669" s="229" t="s">
        <v>626</v>
      </c>
      <c r="D1669" s="130" t="s">
        <v>119</v>
      </c>
      <c r="E1669" s="130" t="s">
        <v>121</v>
      </c>
      <c r="F1669" s="230">
        <v>5.4199999999999998E-2</v>
      </c>
      <c r="G1669" s="494">
        <v>23.75</v>
      </c>
      <c r="H1669" s="494">
        <v>1.29</v>
      </c>
    </row>
    <row r="1670" spans="1:8" ht="12.75" customHeight="1">
      <c r="B1670" s="105"/>
      <c r="C1670" s="105"/>
      <c r="D1670" s="105"/>
      <c r="E1670" s="105"/>
      <c r="F1670" s="629" t="s">
        <v>610</v>
      </c>
      <c r="G1670" s="629"/>
      <c r="H1670" s="495">
        <v>1.59</v>
      </c>
    </row>
    <row r="1671" spans="1:8" ht="12.75" customHeight="1">
      <c r="B1671" s="105"/>
      <c r="C1671" s="105"/>
      <c r="D1671" s="105"/>
      <c r="E1671" s="105"/>
      <c r="F1671" s="630" t="s">
        <v>464</v>
      </c>
      <c r="G1671" s="630"/>
      <c r="H1671" s="102">
        <v>51.46</v>
      </c>
    </row>
    <row r="1672" spans="1:8">
      <c r="B1672" s="105"/>
      <c r="C1672" s="105"/>
      <c r="D1672" s="105"/>
      <c r="E1672" s="105"/>
      <c r="F1672" s="634"/>
      <c r="G1672" s="634"/>
      <c r="H1672" s="634"/>
    </row>
    <row r="1673" spans="1:8" s="220" customFormat="1" ht="27" customHeight="1">
      <c r="A1673" s="178" t="str">
        <f>'3 - PLAN. ORÇAMENTÁRIA'!A332</f>
        <v>4.3.25</v>
      </c>
      <c r="B1673" s="242">
        <f>VLOOKUP(A1673,'3 - PLAN. ORÇAMENTÁRIA'!$A$16:$B$721,2,FALSE)</f>
        <v>101159</v>
      </c>
      <c r="C1673" s="631" t="str">
        <f>VLOOKUP(A1673,'3 - PLAN. ORÇAMENTÁRIA'!$A$16:$C$721,3,FALSE)</f>
        <v>ALVENARIA DE VEDAÇÃO DE BLOCOS CERÂMICOS MACIÇOS DE 5X10X20CM (ESPESSURA 10CM) E ARGAMASSA DE ASSENTAMENTO COM PREPARO EM BETONEIRA. AF_05/2020 (ALVENARIA FLOREIRA)</v>
      </c>
      <c r="D1673" s="632"/>
      <c r="E1673" s="632"/>
      <c r="F1673" s="632"/>
      <c r="G1673" s="633"/>
      <c r="H1673" s="131" t="str">
        <f>VLOOKUP(A1673,'3 - PLAN. ORÇAMENTÁRIA'!$A$17:$E$721,5,FALSE)</f>
        <v>M2</v>
      </c>
    </row>
    <row r="1674" spans="1:8">
      <c r="B1674" s="628" t="s">
        <v>593</v>
      </c>
      <c r="C1674" s="628"/>
      <c r="D1674" s="103" t="s">
        <v>579</v>
      </c>
      <c r="E1674" s="103" t="s">
        <v>580</v>
      </c>
      <c r="F1674" s="103" t="s">
        <v>581</v>
      </c>
      <c r="G1674" s="103" t="s">
        <v>582</v>
      </c>
      <c r="H1674" s="103" t="s">
        <v>583</v>
      </c>
    </row>
    <row r="1675" spans="1:8">
      <c r="B1675" s="130" t="s">
        <v>1472</v>
      </c>
      <c r="C1675" s="229" t="s">
        <v>1473</v>
      </c>
      <c r="D1675" s="130" t="s">
        <v>119</v>
      </c>
      <c r="E1675" s="130" t="s">
        <v>144</v>
      </c>
      <c r="F1675" s="230">
        <v>73.489999999999995</v>
      </c>
      <c r="G1675" s="494">
        <v>0.61</v>
      </c>
      <c r="H1675" s="494">
        <v>44.83</v>
      </c>
    </row>
    <row r="1676" spans="1:8">
      <c r="B1676" s="105"/>
      <c r="C1676" s="105"/>
      <c r="D1676" s="105"/>
      <c r="E1676" s="105"/>
      <c r="F1676" s="629" t="s">
        <v>604</v>
      </c>
      <c r="G1676" s="629"/>
      <c r="H1676" s="495">
        <v>44.83</v>
      </c>
    </row>
    <row r="1677" spans="1:8" ht="12.75" customHeight="1">
      <c r="B1677" s="628" t="s">
        <v>607</v>
      </c>
      <c r="C1677" s="628"/>
      <c r="D1677" s="103" t="s">
        <v>579</v>
      </c>
      <c r="E1677" s="103" t="s">
        <v>580</v>
      </c>
      <c r="F1677" s="103" t="s">
        <v>581</v>
      </c>
      <c r="G1677" s="103" t="s">
        <v>582</v>
      </c>
      <c r="H1677" s="103" t="s">
        <v>583</v>
      </c>
    </row>
    <row r="1678" spans="1:8">
      <c r="B1678" s="130" t="s">
        <v>639</v>
      </c>
      <c r="C1678" s="229" t="s">
        <v>640</v>
      </c>
      <c r="D1678" s="130" t="s">
        <v>119</v>
      </c>
      <c r="E1678" s="130" t="s">
        <v>121</v>
      </c>
      <c r="F1678" s="230">
        <v>1.9390000000000001</v>
      </c>
      <c r="G1678" s="494">
        <v>31.34</v>
      </c>
      <c r="H1678" s="494">
        <v>60.77</v>
      </c>
    </row>
    <row r="1679" spans="1:8">
      <c r="B1679" s="130" t="s">
        <v>625</v>
      </c>
      <c r="C1679" s="229" t="s">
        <v>626</v>
      </c>
      <c r="D1679" s="130" t="s">
        <v>119</v>
      </c>
      <c r="E1679" s="130" t="s">
        <v>121</v>
      </c>
      <c r="F1679" s="230">
        <v>0.97</v>
      </c>
      <c r="G1679" s="494">
        <v>23.75</v>
      </c>
      <c r="H1679" s="494">
        <v>23.04</v>
      </c>
    </row>
    <row r="1680" spans="1:8" ht="12.75" customHeight="1">
      <c r="B1680" s="105"/>
      <c r="C1680" s="105"/>
      <c r="D1680" s="105"/>
      <c r="E1680" s="105"/>
      <c r="F1680" s="629" t="s">
        <v>610</v>
      </c>
      <c r="G1680" s="629"/>
      <c r="H1680" s="495">
        <v>83.81</v>
      </c>
    </row>
    <row r="1681" spans="1:8">
      <c r="B1681" s="628" t="s">
        <v>586</v>
      </c>
      <c r="C1681" s="628"/>
      <c r="D1681" s="103" t="s">
        <v>579</v>
      </c>
      <c r="E1681" s="103" t="s">
        <v>580</v>
      </c>
      <c r="F1681" s="103" t="s">
        <v>581</v>
      </c>
      <c r="G1681" s="103" t="s">
        <v>582</v>
      </c>
      <c r="H1681" s="103" t="s">
        <v>583</v>
      </c>
    </row>
    <row r="1682" spans="1:8" ht="38.25">
      <c r="B1682" s="130" t="s">
        <v>1460</v>
      </c>
      <c r="C1682" s="229" t="s">
        <v>1461</v>
      </c>
      <c r="D1682" s="130" t="s">
        <v>119</v>
      </c>
      <c r="E1682" s="130" t="s">
        <v>167</v>
      </c>
      <c r="F1682" s="230">
        <v>2.8000000000000001E-2</v>
      </c>
      <c r="G1682" s="494">
        <v>627.42999999999995</v>
      </c>
      <c r="H1682" s="494">
        <v>17.57</v>
      </c>
    </row>
    <row r="1683" spans="1:8">
      <c r="B1683" s="105"/>
      <c r="C1683" s="105"/>
      <c r="D1683" s="105"/>
      <c r="E1683" s="105"/>
      <c r="F1683" s="629" t="s">
        <v>587</v>
      </c>
      <c r="G1683" s="629"/>
      <c r="H1683" s="495">
        <v>17.57</v>
      </c>
    </row>
    <row r="1684" spans="1:8" ht="12.75" customHeight="1">
      <c r="B1684" s="105"/>
      <c r="C1684" s="105"/>
      <c r="D1684" s="105"/>
      <c r="E1684" s="105"/>
      <c r="F1684" s="630" t="s">
        <v>464</v>
      </c>
      <c r="G1684" s="630"/>
      <c r="H1684" s="102">
        <v>146.21</v>
      </c>
    </row>
    <row r="1685" spans="1:8">
      <c r="B1685" s="105"/>
      <c r="C1685" s="105"/>
      <c r="D1685" s="105"/>
      <c r="E1685" s="105"/>
      <c r="F1685" s="634"/>
      <c r="G1685" s="634"/>
      <c r="H1685" s="634"/>
    </row>
    <row r="1686" spans="1:8" s="220" customFormat="1" ht="27" customHeight="1">
      <c r="A1686" s="178" t="str">
        <f>'3 - PLAN. ORÇAMENTÁRIA'!A333</f>
        <v>4.3.26</v>
      </c>
      <c r="B1686" s="242">
        <f>VLOOKUP(A1686,'3 - PLAN. ORÇAMENTÁRIA'!$A$16:$B$721,2,FALSE)</f>
        <v>87879</v>
      </c>
      <c r="C1686" s="631" t="str">
        <f>VLOOKUP(A1686,'3 - PLAN. ORÇAMENTÁRIA'!$A$16:$C$721,3,FALSE)</f>
        <v>CHAPISCO APLICADO EM ALVENARIAS E ESTRUTURAS DE CONCRETO INTERNAS, COM COLHER DE PEDREIRO. ARGAMASSA TRAÇO 1:3 COM PREPARO EM BETONEIRA 400L. AF_10/2022 (FLOREIRA - LATERAL EXTERNA)</v>
      </c>
      <c r="D1686" s="632"/>
      <c r="E1686" s="632"/>
      <c r="F1686" s="632"/>
      <c r="G1686" s="633"/>
      <c r="H1686" s="493" t="str">
        <f>VLOOKUP(A1686,'3 - PLAN. ORÇAMENTÁRIA'!$A$17:$E$721,5,FALSE)</f>
        <v>M2</v>
      </c>
    </row>
    <row r="1687" spans="1:8" ht="12.75" customHeight="1">
      <c r="B1687" s="628" t="s">
        <v>607</v>
      </c>
      <c r="C1687" s="628"/>
      <c r="D1687" s="103" t="s">
        <v>579</v>
      </c>
      <c r="E1687" s="103" t="s">
        <v>580</v>
      </c>
      <c r="F1687" s="103" t="s">
        <v>581</v>
      </c>
      <c r="G1687" s="103" t="s">
        <v>582</v>
      </c>
      <c r="H1687" s="103" t="s">
        <v>583</v>
      </c>
    </row>
    <row r="1688" spans="1:8">
      <c r="B1688" s="130" t="s">
        <v>639</v>
      </c>
      <c r="C1688" s="229" t="s">
        <v>640</v>
      </c>
      <c r="D1688" s="130" t="s">
        <v>119</v>
      </c>
      <c r="E1688" s="130" t="s">
        <v>121</v>
      </c>
      <c r="F1688" s="230">
        <v>6.8099999999999994E-2</v>
      </c>
      <c r="G1688" s="494">
        <v>31.34</v>
      </c>
      <c r="H1688" s="494">
        <v>2.13</v>
      </c>
    </row>
    <row r="1689" spans="1:8">
      <c r="B1689" s="130" t="s">
        <v>625</v>
      </c>
      <c r="C1689" s="229" t="s">
        <v>626</v>
      </c>
      <c r="D1689" s="130" t="s">
        <v>119</v>
      </c>
      <c r="E1689" s="130" t="s">
        <v>121</v>
      </c>
      <c r="F1689" s="230">
        <v>2.5499999999999998E-2</v>
      </c>
      <c r="G1689" s="494">
        <v>23.75</v>
      </c>
      <c r="H1689" s="494">
        <v>0.61</v>
      </c>
    </row>
    <row r="1690" spans="1:8" ht="12.75" customHeight="1">
      <c r="B1690" s="105"/>
      <c r="C1690" s="105"/>
      <c r="D1690" s="105"/>
      <c r="E1690" s="105"/>
      <c r="F1690" s="629" t="s">
        <v>610</v>
      </c>
      <c r="G1690" s="629"/>
      <c r="H1690" s="495">
        <v>2.74</v>
      </c>
    </row>
    <row r="1691" spans="1:8">
      <c r="B1691" s="628" t="s">
        <v>586</v>
      </c>
      <c r="C1691" s="628"/>
      <c r="D1691" s="103" t="s">
        <v>579</v>
      </c>
      <c r="E1691" s="103" t="s">
        <v>580</v>
      </c>
      <c r="F1691" s="103" t="s">
        <v>581</v>
      </c>
      <c r="G1691" s="103" t="s">
        <v>582</v>
      </c>
      <c r="H1691" s="103" t="s">
        <v>583</v>
      </c>
    </row>
    <row r="1692" spans="1:8" ht="25.5">
      <c r="B1692" s="130">
        <v>87313</v>
      </c>
      <c r="C1692" s="229" t="s">
        <v>3974</v>
      </c>
      <c r="D1692" s="130" t="s">
        <v>119</v>
      </c>
      <c r="E1692" s="130" t="s">
        <v>167</v>
      </c>
      <c r="F1692" s="230">
        <v>3.7000000000000002E-3</v>
      </c>
      <c r="G1692" s="494">
        <v>589.76</v>
      </c>
      <c r="H1692" s="494">
        <v>2.1800000000000002</v>
      </c>
    </row>
    <row r="1693" spans="1:8">
      <c r="B1693" s="105"/>
      <c r="C1693" s="105"/>
      <c r="D1693" s="105"/>
      <c r="E1693" s="105"/>
      <c r="F1693" s="629" t="s">
        <v>587</v>
      </c>
      <c r="G1693" s="629"/>
      <c r="H1693" s="495">
        <v>2.1800000000000002</v>
      </c>
    </row>
    <row r="1694" spans="1:8" ht="12.75" customHeight="1">
      <c r="B1694" s="105"/>
      <c r="C1694" s="105"/>
      <c r="D1694" s="105"/>
      <c r="E1694" s="105"/>
      <c r="F1694" s="630" t="s">
        <v>464</v>
      </c>
      <c r="G1694" s="630"/>
      <c r="H1694" s="102">
        <v>4.91</v>
      </c>
    </row>
    <row r="1695" spans="1:8">
      <c r="B1695" s="105"/>
      <c r="C1695" s="105"/>
      <c r="D1695" s="105"/>
      <c r="E1695" s="105"/>
      <c r="F1695" s="634"/>
      <c r="G1695" s="634"/>
      <c r="H1695" s="634"/>
    </row>
    <row r="1696" spans="1:8" s="220" customFormat="1" ht="27" customHeight="1">
      <c r="A1696" s="178" t="str">
        <f>'3 - PLAN. ORÇAMENTÁRIA'!A334</f>
        <v>4.3.27</v>
      </c>
      <c r="B1696" s="242">
        <f>VLOOKUP(A1696,'3 - PLAN. ORÇAMENTÁRIA'!$A$16:$B$721,2,FALSE)</f>
        <v>87547</v>
      </c>
      <c r="C1696" s="631" t="str">
        <f>VLOOKUP(A1696,'3 - PLAN. ORÇAMENTÁRIA'!$A$16:$C$721,3,FALSE)</f>
        <v>REBOCO, EM ARGAMASSA TRAÇO 1:2:8, PREPARO MECÂNICO, APLICADA MANUALMENTE EM PAREDES INTERNAS DE AMBIENTES COM ÁREA MENOR OU IGUAL 10M², E = 10MM, COM TALISCAS. AF_03/2024 (FLOREIRA - LATERAL EXTERNA)</v>
      </c>
      <c r="D1696" s="632"/>
      <c r="E1696" s="632"/>
      <c r="F1696" s="632"/>
      <c r="G1696" s="633"/>
      <c r="H1696" s="493" t="str">
        <f>VLOOKUP(A1696,'3 - PLAN. ORÇAMENTÁRIA'!$A$17:$E$721,5,FALSE)</f>
        <v>M2</v>
      </c>
    </row>
    <row r="1697" spans="1:8" ht="12.75" customHeight="1">
      <c r="B1697" s="628" t="s">
        <v>607</v>
      </c>
      <c r="C1697" s="628"/>
      <c r="D1697" s="103" t="s">
        <v>579</v>
      </c>
      <c r="E1697" s="103" t="s">
        <v>580</v>
      </c>
      <c r="F1697" s="103" t="s">
        <v>581</v>
      </c>
      <c r="G1697" s="103" t="s">
        <v>582</v>
      </c>
      <c r="H1697" s="103" t="s">
        <v>583</v>
      </c>
    </row>
    <row r="1698" spans="1:8">
      <c r="B1698" s="130" t="s">
        <v>639</v>
      </c>
      <c r="C1698" s="229" t="s">
        <v>640</v>
      </c>
      <c r="D1698" s="130" t="s">
        <v>119</v>
      </c>
      <c r="E1698" s="130" t="s">
        <v>121</v>
      </c>
      <c r="F1698" s="230">
        <v>0.37890000000000001</v>
      </c>
      <c r="G1698" s="497">
        <v>31.34</v>
      </c>
      <c r="H1698" s="497">
        <v>11.87</v>
      </c>
    </row>
    <row r="1699" spans="1:8">
      <c r="B1699" s="130" t="s">
        <v>625</v>
      </c>
      <c r="C1699" s="229" t="s">
        <v>626</v>
      </c>
      <c r="D1699" s="130" t="s">
        <v>119</v>
      </c>
      <c r="E1699" s="130" t="s">
        <v>121</v>
      </c>
      <c r="F1699" s="230">
        <v>0.18940000000000001</v>
      </c>
      <c r="G1699" s="497">
        <v>23.75</v>
      </c>
      <c r="H1699" s="497">
        <v>4.5</v>
      </c>
    </row>
    <row r="1700" spans="1:8" ht="12.75" customHeight="1">
      <c r="B1700" s="105"/>
      <c r="C1700" s="105"/>
      <c r="D1700" s="105"/>
      <c r="E1700" s="105"/>
      <c r="F1700" s="629" t="s">
        <v>610</v>
      </c>
      <c r="G1700" s="629"/>
      <c r="H1700" s="498">
        <v>16.37</v>
      </c>
    </row>
    <row r="1701" spans="1:8">
      <c r="B1701" s="628" t="s">
        <v>586</v>
      </c>
      <c r="C1701" s="628"/>
      <c r="D1701" s="103" t="s">
        <v>579</v>
      </c>
      <c r="E1701" s="103" t="s">
        <v>580</v>
      </c>
      <c r="F1701" s="103" t="s">
        <v>581</v>
      </c>
      <c r="G1701" s="103" t="s">
        <v>582</v>
      </c>
      <c r="H1701" s="103" t="s">
        <v>583</v>
      </c>
    </row>
    <row r="1702" spans="1:8" ht="38.25">
      <c r="B1702" s="130">
        <v>87292</v>
      </c>
      <c r="C1702" s="229" t="s">
        <v>1461</v>
      </c>
      <c r="D1702" s="130" t="s">
        <v>119</v>
      </c>
      <c r="E1702" s="130" t="s">
        <v>167</v>
      </c>
      <c r="F1702" s="230">
        <v>1.9400000000000001E-2</v>
      </c>
      <c r="G1702" s="497">
        <v>627.42999999999995</v>
      </c>
      <c r="H1702" s="497">
        <v>12.17</v>
      </c>
    </row>
    <row r="1703" spans="1:8">
      <c r="B1703" s="105"/>
      <c r="C1703" s="105"/>
      <c r="D1703" s="105"/>
      <c r="E1703" s="105"/>
      <c r="F1703" s="629" t="s">
        <v>587</v>
      </c>
      <c r="G1703" s="629"/>
      <c r="H1703" s="498">
        <v>12.17</v>
      </c>
    </row>
    <row r="1704" spans="1:8" ht="12.75" customHeight="1">
      <c r="B1704" s="105"/>
      <c r="C1704" s="105"/>
      <c r="D1704" s="105"/>
      <c r="E1704" s="105"/>
      <c r="F1704" s="630" t="s">
        <v>464</v>
      </c>
      <c r="G1704" s="630"/>
      <c r="H1704" s="102">
        <v>28.54</v>
      </c>
    </row>
    <row r="1705" spans="1:8">
      <c r="B1705" s="105"/>
      <c r="C1705" s="105"/>
      <c r="D1705" s="105"/>
      <c r="E1705" s="105"/>
      <c r="F1705" s="634"/>
      <c r="G1705" s="634"/>
      <c r="H1705" s="634"/>
    </row>
    <row r="1706" spans="1:8" s="220" customFormat="1" ht="27" customHeight="1">
      <c r="A1706" s="178" t="str">
        <f>'3 - PLAN. ORÇAMENTÁRIA'!A335</f>
        <v>4.3.28</v>
      </c>
      <c r="B1706" s="242">
        <f>VLOOKUP(A1706,'3 - PLAN. ORÇAMENTÁRIA'!$A$16:$B$721,2,FALSE)</f>
        <v>88485</v>
      </c>
      <c r="C1706" s="631" t="str">
        <f>VLOOKUP(A1706,'3 - PLAN. ORÇAMENTÁRIA'!$A$16:$C$721,3,FALSE)</f>
        <v>FUNDO SELADOR ACRÍLICO, APLICAÇÃO MANUAL EM PAREDE, UMA DEMÃO. AF_04/2023 (FLOREIRA - LATERAL EXTERNA)</v>
      </c>
      <c r="D1706" s="632"/>
      <c r="E1706" s="632"/>
      <c r="F1706" s="632"/>
      <c r="G1706" s="633"/>
      <c r="H1706" s="493" t="str">
        <f>VLOOKUP(A1706,'3 - PLAN. ORÇAMENTÁRIA'!$A$17:$E$721,5,FALSE)</f>
        <v>M2</v>
      </c>
    </row>
    <row r="1707" spans="1:8">
      <c r="B1707" s="628" t="s">
        <v>593</v>
      </c>
      <c r="C1707" s="628"/>
      <c r="D1707" s="103" t="s">
        <v>579</v>
      </c>
      <c r="E1707" s="103" t="s">
        <v>580</v>
      </c>
      <c r="F1707" s="103" t="s">
        <v>581</v>
      </c>
      <c r="G1707" s="103" t="s">
        <v>582</v>
      </c>
      <c r="H1707" s="103" t="s">
        <v>583</v>
      </c>
    </row>
    <row r="1708" spans="1:8">
      <c r="B1708" s="130" t="s">
        <v>1464</v>
      </c>
      <c r="C1708" s="229" t="s">
        <v>1465</v>
      </c>
      <c r="D1708" s="130" t="s">
        <v>119</v>
      </c>
      <c r="E1708" s="130" t="s">
        <v>107</v>
      </c>
      <c r="F1708" s="230">
        <v>0.1666</v>
      </c>
      <c r="G1708" s="494">
        <v>12.45</v>
      </c>
      <c r="H1708" s="494">
        <v>2.0699999999999998</v>
      </c>
    </row>
    <row r="1709" spans="1:8">
      <c r="B1709" s="105"/>
      <c r="C1709" s="105"/>
      <c r="D1709" s="105"/>
      <c r="E1709" s="105"/>
      <c r="F1709" s="629" t="s">
        <v>604</v>
      </c>
      <c r="G1709" s="629"/>
      <c r="H1709" s="495">
        <v>2.0699999999999998</v>
      </c>
    </row>
    <row r="1710" spans="1:8" ht="12.75" customHeight="1">
      <c r="B1710" s="628" t="s">
        <v>607</v>
      </c>
      <c r="C1710" s="628"/>
      <c r="D1710" s="103" t="s">
        <v>579</v>
      </c>
      <c r="E1710" s="103" t="s">
        <v>580</v>
      </c>
      <c r="F1710" s="103" t="s">
        <v>581</v>
      </c>
      <c r="G1710" s="103" t="s">
        <v>582</v>
      </c>
      <c r="H1710" s="103" t="s">
        <v>583</v>
      </c>
    </row>
    <row r="1711" spans="1:8">
      <c r="B1711" s="130" t="s">
        <v>1450</v>
      </c>
      <c r="C1711" s="229" t="s">
        <v>663</v>
      </c>
      <c r="D1711" s="130" t="s">
        <v>119</v>
      </c>
      <c r="E1711" s="130" t="s">
        <v>121</v>
      </c>
      <c r="F1711" s="230">
        <v>6.6600000000000006E-2</v>
      </c>
      <c r="G1711" s="494">
        <v>33.01</v>
      </c>
      <c r="H1711" s="494">
        <v>2.2000000000000002</v>
      </c>
    </row>
    <row r="1712" spans="1:8">
      <c r="B1712" s="130" t="s">
        <v>625</v>
      </c>
      <c r="C1712" s="229" t="s">
        <v>626</v>
      </c>
      <c r="D1712" s="130" t="s">
        <v>119</v>
      </c>
      <c r="E1712" s="130" t="s">
        <v>121</v>
      </c>
      <c r="F1712" s="230">
        <v>2.2200000000000001E-2</v>
      </c>
      <c r="G1712" s="494">
        <v>23.75</v>
      </c>
      <c r="H1712" s="494">
        <v>0.53</v>
      </c>
    </row>
    <row r="1713" spans="1:8" ht="12.75" customHeight="1">
      <c r="B1713" s="105"/>
      <c r="C1713" s="105"/>
      <c r="D1713" s="105"/>
      <c r="E1713" s="105"/>
      <c r="F1713" s="629" t="s">
        <v>610</v>
      </c>
      <c r="G1713" s="629"/>
      <c r="H1713" s="495">
        <v>2.73</v>
      </c>
    </row>
    <row r="1714" spans="1:8" ht="12.75" customHeight="1">
      <c r="B1714" s="105"/>
      <c r="C1714" s="105"/>
      <c r="D1714" s="105"/>
      <c r="E1714" s="105"/>
      <c r="F1714" s="630" t="s">
        <v>464</v>
      </c>
      <c r="G1714" s="630"/>
      <c r="H1714" s="102">
        <v>4.78</v>
      </c>
    </row>
    <row r="1715" spans="1:8">
      <c r="B1715" s="105"/>
      <c r="C1715" s="105"/>
      <c r="D1715" s="105"/>
      <c r="E1715" s="105"/>
      <c r="F1715" s="634"/>
      <c r="G1715" s="634"/>
      <c r="H1715" s="634"/>
    </row>
    <row r="1716" spans="1:8" s="220" customFormat="1" ht="27" customHeight="1">
      <c r="A1716" s="178" t="str">
        <f>'3 - PLAN. ORÇAMENTÁRIA'!A336</f>
        <v>4.3.29</v>
      </c>
      <c r="B1716" s="242">
        <f>VLOOKUP(A1716,'3 - PLAN. ORÇAMENTÁRIA'!$A$16:$B$721,2,FALSE)</f>
        <v>88489</v>
      </c>
      <c r="C1716" s="631" t="str">
        <f>VLOOKUP(A1716,'3 - PLAN. ORÇAMENTÁRIA'!$A$16:$C$721,3,FALSE)</f>
        <v>PINTURA LÁTEX ACRÍLICA PREMIUM, APLICAÇÃO MANUAL EM PAREDES, DUAS DEMÃOS. AF_04/2023 (FLOREIRA - LATERAL EXTERNA)</v>
      </c>
      <c r="D1716" s="632"/>
      <c r="E1716" s="632"/>
      <c r="F1716" s="632"/>
      <c r="G1716" s="633"/>
      <c r="H1716" s="493" t="str">
        <f>VLOOKUP(A1716,'3 - PLAN. ORÇAMENTÁRIA'!$A$17:$E$721,5,FALSE)</f>
        <v>M2</v>
      </c>
    </row>
    <row r="1717" spans="1:8">
      <c r="B1717" s="628" t="s">
        <v>593</v>
      </c>
      <c r="C1717" s="628"/>
      <c r="D1717" s="103" t="s">
        <v>579</v>
      </c>
      <c r="E1717" s="103" t="s">
        <v>580</v>
      </c>
      <c r="F1717" s="103" t="s">
        <v>581</v>
      </c>
      <c r="G1717" s="103" t="s">
        <v>582</v>
      </c>
      <c r="H1717" s="103" t="s">
        <v>583</v>
      </c>
    </row>
    <row r="1718" spans="1:8">
      <c r="B1718" s="130" t="s">
        <v>632</v>
      </c>
      <c r="C1718" s="229" t="s">
        <v>633</v>
      </c>
      <c r="D1718" s="130" t="s">
        <v>119</v>
      </c>
      <c r="E1718" s="130" t="s">
        <v>107</v>
      </c>
      <c r="F1718" s="230">
        <v>0.22850000000000001</v>
      </c>
      <c r="G1718" s="494">
        <v>31.4</v>
      </c>
      <c r="H1718" s="494">
        <v>7.17</v>
      </c>
    </row>
    <row r="1719" spans="1:8">
      <c r="B1719" s="105"/>
      <c r="C1719" s="105"/>
      <c r="D1719" s="105"/>
      <c r="E1719" s="105"/>
      <c r="F1719" s="629" t="s">
        <v>604</v>
      </c>
      <c r="G1719" s="629"/>
      <c r="H1719" s="495">
        <v>7.17</v>
      </c>
    </row>
    <row r="1720" spans="1:8" ht="12.75" customHeight="1">
      <c r="B1720" s="628" t="s">
        <v>607</v>
      </c>
      <c r="C1720" s="628"/>
      <c r="D1720" s="103" t="s">
        <v>579</v>
      </c>
      <c r="E1720" s="103" t="s">
        <v>580</v>
      </c>
      <c r="F1720" s="103" t="s">
        <v>581</v>
      </c>
      <c r="G1720" s="103" t="s">
        <v>582</v>
      </c>
      <c r="H1720" s="103" t="s">
        <v>583</v>
      </c>
    </row>
    <row r="1721" spans="1:8">
      <c r="B1721" s="130" t="s">
        <v>1450</v>
      </c>
      <c r="C1721" s="229" t="s">
        <v>663</v>
      </c>
      <c r="D1721" s="130" t="s">
        <v>119</v>
      </c>
      <c r="E1721" s="130" t="s">
        <v>121</v>
      </c>
      <c r="F1721" s="230">
        <v>0.16309999999999999</v>
      </c>
      <c r="G1721" s="494">
        <v>33.01</v>
      </c>
      <c r="H1721" s="494">
        <v>5.38</v>
      </c>
    </row>
    <row r="1722" spans="1:8">
      <c r="B1722" s="130" t="s">
        <v>625</v>
      </c>
      <c r="C1722" s="229" t="s">
        <v>626</v>
      </c>
      <c r="D1722" s="130" t="s">
        <v>119</v>
      </c>
      <c r="E1722" s="130" t="s">
        <v>121</v>
      </c>
      <c r="F1722" s="230">
        <v>5.4399999999999997E-2</v>
      </c>
      <c r="G1722" s="494">
        <v>23.75</v>
      </c>
      <c r="H1722" s="494">
        <v>1.29</v>
      </c>
    </row>
    <row r="1723" spans="1:8" ht="12.75" customHeight="1">
      <c r="B1723" s="105"/>
      <c r="C1723" s="105"/>
      <c r="D1723" s="105"/>
      <c r="E1723" s="105"/>
      <c r="F1723" s="629" t="s">
        <v>610</v>
      </c>
      <c r="G1723" s="629"/>
      <c r="H1723" s="495">
        <v>6.67</v>
      </c>
    </row>
    <row r="1724" spans="1:8" ht="12.75" customHeight="1">
      <c r="B1724" s="105"/>
      <c r="C1724" s="105"/>
      <c r="D1724" s="105"/>
      <c r="E1724" s="105"/>
      <c r="F1724" s="630" t="s">
        <v>464</v>
      </c>
      <c r="G1724" s="630"/>
      <c r="H1724" s="102">
        <v>13.84</v>
      </c>
    </row>
    <row r="1725" spans="1:8">
      <c r="B1725" s="105"/>
      <c r="C1725" s="105"/>
      <c r="D1725" s="105"/>
      <c r="E1725" s="105"/>
      <c r="F1725" s="634"/>
      <c r="G1725" s="634"/>
      <c r="H1725" s="634"/>
    </row>
    <row r="1726" spans="1:8" s="220" customFormat="1" ht="27" customHeight="1">
      <c r="A1726" s="178" t="str">
        <f>'3 - PLAN. ORÇAMENTÁRIA'!A338</f>
        <v>4.3.31</v>
      </c>
      <c r="B1726" s="242">
        <f>VLOOKUP(A1726,'3 - PLAN. ORÇAMENTÁRIA'!$A$16:$B$721,2,FALSE)</f>
        <v>98547</v>
      </c>
      <c r="C1726" s="631" t="str">
        <f>VLOOKUP(A1726,'3 - PLAN. ORÇAMENTÁRIA'!$A$16:$C$721,3,FALSE)</f>
        <v>IMPERMEABILIZAÇÃO DE SUPERFÍCIE COM MANTA ASFÁLTICA ANTI RAIZ, INCLUSIVE APLICAÇÃO DE PRIMER ASFÁLTICO, E=3MM E E=4MM (IMPERMEABILIZAÇÃO FLOREIRA - FUNDO E LATERAIS)</v>
      </c>
      <c r="D1726" s="632"/>
      <c r="E1726" s="632"/>
      <c r="F1726" s="632"/>
      <c r="G1726" s="633"/>
      <c r="H1726" s="493" t="str">
        <f>VLOOKUP(A1726,'3 - PLAN. ORÇAMENTÁRIA'!$A$17:$E$721,5,FALSE)</f>
        <v>M2</v>
      </c>
    </row>
    <row r="1727" spans="1:8">
      <c r="B1727" s="628" t="s">
        <v>593</v>
      </c>
      <c r="C1727" s="628"/>
      <c r="D1727" s="103" t="s">
        <v>579</v>
      </c>
      <c r="E1727" s="103" t="s">
        <v>580</v>
      </c>
      <c r="F1727" s="103" t="s">
        <v>581</v>
      </c>
      <c r="G1727" s="103" t="s">
        <v>582</v>
      </c>
      <c r="H1727" s="103" t="s">
        <v>583</v>
      </c>
    </row>
    <row r="1728" spans="1:8">
      <c r="B1728" s="130" t="s">
        <v>1436</v>
      </c>
      <c r="C1728" s="229" t="s">
        <v>1437</v>
      </c>
      <c r="D1728" s="130" t="s">
        <v>119</v>
      </c>
      <c r="E1728" s="130" t="s">
        <v>200</v>
      </c>
      <c r="F1728" s="230">
        <v>0.52</v>
      </c>
      <c r="G1728" s="494">
        <v>7.78</v>
      </c>
      <c r="H1728" s="494">
        <v>4.05</v>
      </c>
    </row>
    <row r="1729" spans="1:8" ht="25.5">
      <c r="B1729" s="130" t="s">
        <v>1583</v>
      </c>
      <c r="C1729" s="229" t="s">
        <v>1584</v>
      </c>
      <c r="D1729" s="130" t="s">
        <v>119</v>
      </c>
      <c r="E1729" s="130" t="s">
        <v>139</v>
      </c>
      <c r="F1729" s="230">
        <v>1.1318999999999999</v>
      </c>
      <c r="G1729" s="494">
        <v>51.7</v>
      </c>
      <c r="H1729" s="494">
        <v>58.52</v>
      </c>
    </row>
    <row r="1730" spans="1:8" ht="25.5">
      <c r="B1730" s="130" t="s">
        <v>1438</v>
      </c>
      <c r="C1730" s="229" t="s">
        <v>1439</v>
      </c>
      <c r="D1730" s="130" t="s">
        <v>119</v>
      </c>
      <c r="E1730" s="130" t="s">
        <v>139</v>
      </c>
      <c r="F1730" s="230">
        <v>1.1318999999999999</v>
      </c>
      <c r="G1730" s="494">
        <v>63.49</v>
      </c>
      <c r="H1730" s="494">
        <v>71.86</v>
      </c>
    </row>
    <row r="1731" spans="1:8" ht="25.5">
      <c r="B1731" s="130" t="s">
        <v>1440</v>
      </c>
      <c r="C1731" s="229" t="s">
        <v>1441</v>
      </c>
      <c r="D1731" s="130" t="s">
        <v>119</v>
      </c>
      <c r="E1731" s="130" t="s">
        <v>107</v>
      </c>
      <c r="F1731" s="230">
        <v>0.58720000000000006</v>
      </c>
      <c r="G1731" s="494">
        <v>19.61</v>
      </c>
      <c r="H1731" s="494">
        <v>11.51</v>
      </c>
    </row>
    <row r="1732" spans="1:8">
      <c r="B1732" s="105"/>
      <c r="C1732" s="105"/>
      <c r="D1732" s="105"/>
      <c r="E1732" s="105"/>
      <c r="F1732" s="629" t="s">
        <v>604</v>
      </c>
      <c r="G1732" s="629"/>
      <c r="H1732" s="495">
        <v>145.94</v>
      </c>
    </row>
    <row r="1733" spans="1:8" ht="12.75" customHeight="1">
      <c r="B1733" s="628" t="s">
        <v>607</v>
      </c>
      <c r="C1733" s="628"/>
      <c r="D1733" s="103" t="s">
        <v>579</v>
      </c>
      <c r="E1733" s="103" t="s">
        <v>580</v>
      </c>
      <c r="F1733" s="103" t="s">
        <v>581</v>
      </c>
      <c r="G1733" s="103" t="s">
        <v>582</v>
      </c>
      <c r="H1733" s="103" t="s">
        <v>583</v>
      </c>
    </row>
    <row r="1734" spans="1:8">
      <c r="B1734" s="130" t="s">
        <v>1408</v>
      </c>
      <c r="C1734" s="229" t="s">
        <v>1409</v>
      </c>
      <c r="D1734" s="130" t="s">
        <v>119</v>
      </c>
      <c r="E1734" s="130" t="s">
        <v>121</v>
      </c>
      <c r="F1734" s="230">
        <v>0.33479999999999999</v>
      </c>
      <c r="G1734" s="494">
        <v>24.4</v>
      </c>
      <c r="H1734" s="494">
        <v>8.17</v>
      </c>
    </row>
    <row r="1735" spans="1:8">
      <c r="B1735" s="130" t="s">
        <v>1410</v>
      </c>
      <c r="C1735" s="229" t="s">
        <v>1411</v>
      </c>
      <c r="D1735" s="130" t="s">
        <v>119</v>
      </c>
      <c r="E1735" s="130" t="s">
        <v>121</v>
      </c>
      <c r="F1735" s="230">
        <v>1.4849000000000001</v>
      </c>
      <c r="G1735" s="494">
        <v>31.34</v>
      </c>
      <c r="H1735" s="494">
        <v>46.54</v>
      </c>
    </row>
    <row r="1736" spans="1:8" ht="12.75" customHeight="1">
      <c r="B1736" s="105"/>
      <c r="C1736" s="105"/>
      <c r="D1736" s="105"/>
      <c r="E1736" s="105"/>
      <c r="F1736" s="629" t="s">
        <v>610</v>
      </c>
      <c r="G1736" s="629"/>
      <c r="H1736" s="495">
        <v>54.71</v>
      </c>
    </row>
    <row r="1737" spans="1:8" ht="12.75" customHeight="1">
      <c r="B1737" s="105"/>
      <c r="C1737" s="105"/>
      <c r="D1737" s="105"/>
      <c r="E1737" s="105"/>
      <c r="F1737" s="630" t="s">
        <v>464</v>
      </c>
      <c r="G1737" s="630"/>
      <c r="H1737" s="102">
        <v>200.61</v>
      </c>
    </row>
    <row r="1738" spans="1:8">
      <c r="B1738" s="105"/>
      <c r="C1738" s="105"/>
      <c r="D1738" s="105"/>
      <c r="E1738" s="105"/>
      <c r="F1738" s="634"/>
      <c r="G1738" s="634"/>
      <c r="H1738" s="634"/>
    </row>
    <row r="1739" spans="1:8" s="220" customFormat="1" ht="27" customHeight="1">
      <c r="A1739" s="178" t="str">
        <f>'3 - PLAN. ORÇAMENTÁRIA'!A340</f>
        <v>4.3.33</v>
      </c>
      <c r="B1739" s="242">
        <f>VLOOKUP(A1739,'3 - PLAN. ORÇAMENTÁRIA'!$A$16:$B$721,2,FALSE)</f>
        <v>98565</v>
      </c>
      <c r="C1739" s="631" t="str">
        <f>VLOOKUP(A1739,'3 - PLAN. ORÇAMENTÁRIA'!$A$16:$C$721,3,FALSE)</f>
        <v>PROTEÇÃO MECÂNICA DE SUPERFICIE COM ARGAMASSA DE CIMENTO E AREIA, TRAÇO 1:3, E=3CM. AF_09/2023 (IMPERMEABILIZAÇÃO FLOREIRA - FUNDO E LATERAIS)</v>
      </c>
      <c r="D1739" s="632"/>
      <c r="E1739" s="632"/>
      <c r="F1739" s="632"/>
      <c r="G1739" s="633"/>
      <c r="H1739" s="493" t="str">
        <f>VLOOKUP(A1739,'3 - PLAN. ORÇAMENTÁRIA'!$A$17:$E$721,5,FALSE)</f>
        <v>M2</v>
      </c>
    </row>
    <row r="1740" spans="1:8">
      <c r="B1740" s="628" t="s">
        <v>593</v>
      </c>
      <c r="C1740" s="628"/>
      <c r="D1740" s="103" t="s">
        <v>579</v>
      </c>
      <c r="E1740" s="103" t="s">
        <v>580</v>
      </c>
      <c r="F1740" s="103" t="s">
        <v>581</v>
      </c>
      <c r="G1740" s="103" t="s">
        <v>582</v>
      </c>
      <c r="H1740" s="103" t="s">
        <v>583</v>
      </c>
    </row>
    <row r="1741" spans="1:8">
      <c r="B1741" s="130" t="s">
        <v>1442</v>
      </c>
      <c r="C1741" s="229" t="s">
        <v>1443</v>
      </c>
      <c r="D1741" s="130" t="s">
        <v>119</v>
      </c>
      <c r="E1741" s="130" t="s">
        <v>139</v>
      </c>
      <c r="F1741" s="230">
        <v>1.04</v>
      </c>
      <c r="G1741" s="494">
        <v>2</v>
      </c>
      <c r="H1741" s="494">
        <v>2.08</v>
      </c>
    </row>
    <row r="1742" spans="1:8">
      <c r="B1742" s="105"/>
      <c r="C1742" s="105"/>
      <c r="D1742" s="105"/>
      <c r="E1742" s="105"/>
      <c r="F1742" s="629" t="s">
        <v>604</v>
      </c>
      <c r="G1742" s="629"/>
      <c r="H1742" s="495">
        <v>2.08</v>
      </c>
    </row>
    <row r="1743" spans="1:8" ht="12.75" customHeight="1">
      <c r="B1743" s="628" t="s">
        <v>607</v>
      </c>
      <c r="C1743" s="628"/>
      <c r="D1743" s="103" t="s">
        <v>579</v>
      </c>
      <c r="E1743" s="103" t="s">
        <v>580</v>
      </c>
      <c r="F1743" s="103" t="s">
        <v>581</v>
      </c>
      <c r="G1743" s="103" t="s">
        <v>582</v>
      </c>
      <c r="H1743" s="103" t="s">
        <v>583</v>
      </c>
    </row>
    <row r="1744" spans="1:8">
      <c r="B1744" s="130" t="s">
        <v>639</v>
      </c>
      <c r="C1744" s="229" t="s">
        <v>640</v>
      </c>
      <c r="D1744" s="130" t="s">
        <v>119</v>
      </c>
      <c r="E1744" s="130" t="s">
        <v>121</v>
      </c>
      <c r="F1744" s="230">
        <v>0.69120000000000004</v>
      </c>
      <c r="G1744" s="494">
        <v>31.34</v>
      </c>
      <c r="H1744" s="494">
        <v>21.66</v>
      </c>
    </row>
    <row r="1745" spans="1:8">
      <c r="B1745" s="130" t="s">
        <v>625</v>
      </c>
      <c r="C1745" s="229" t="s">
        <v>626</v>
      </c>
      <c r="D1745" s="130" t="s">
        <v>119</v>
      </c>
      <c r="E1745" s="130" t="s">
        <v>121</v>
      </c>
      <c r="F1745" s="230">
        <v>0.15579999999999999</v>
      </c>
      <c r="G1745" s="494">
        <v>23.75</v>
      </c>
      <c r="H1745" s="494">
        <v>3.7</v>
      </c>
    </row>
    <row r="1746" spans="1:8" ht="12.75" customHeight="1">
      <c r="B1746" s="105"/>
      <c r="C1746" s="105"/>
      <c r="D1746" s="105"/>
      <c r="E1746" s="105"/>
      <c r="F1746" s="629" t="s">
        <v>610</v>
      </c>
      <c r="G1746" s="629"/>
      <c r="H1746" s="495">
        <v>25.36</v>
      </c>
    </row>
    <row r="1747" spans="1:8">
      <c r="B1747" s="628" t="s">
        <v>586</v>
      </c>
      <c r="C1747" s="628"/>
      <c r="D1747" s="103" t="s">
        <v>579</v>
      </c>
      <c r="E1747" s="103" t="s">
        <v>580</v>
      </c>
      <c r="F1747" s="103" t="s">
        <v>581</v>
      </c>
      <c r="G1747" s="103" t="s">
        <v>582</v>
      </c>
      <c r="H1747" s="103" t="s">
        <v>583</v>
      </c>
    </row>
    <row r="1748" spans="1:8" ht="25.5">
      <c r="B1748" s="130" t="s">
        <v>1444</v>
      </c>
      <c r="C1748" s="229" t="s">
        <v>1445</v>
      </c>
      <c r="D1748" s="130" t="s">
        <v>119</v>
      </c>
      <c r="E1748" s="130" t="s">
        <v>167</v>
      </c>
      <c r="F1748" s="230">
        <v>3.5000000000000003E-2</v>
      </c>
      <c r="G1748" s="494">
        <v>771.15</v>
      </c>
      <c r="H1748" s="494">
        <v>26.99</v>
      </c>
    </row>
    <row r="1749" spans="1:8">
      <c r="B1749" s="105"/>
      <c r="C1749" s="105"/>
      <c r="D1749" s="105"/>
      <c r="E1749" s="105"/>
      <c r="F1749" s="629" t="s">
        <v>587</v>
      </c>
      <c r="G1749" s="629"/>
      <c r="H1749" s="495">
        <v>26.99</v>
      </c>
    </row>
    <row r="1750" spans="1:8" ht="12.75" customHeight="1">
      <c r="B1750" s="105"/>
      <c r="C1750" s="105"/>
      <c r="D1750" s="105"/>
      <c r="E1750" s="105"/>
      <c r="F1750" s="630" t="s">
        <v>464</v>
      </c>
      <c r="G1750" s="630"/>
      <c r="H1750" s="102">
        <v>54.43</v>
      </c>
    </row>
    <row r="1751" spans="1:8">
      <c r="B1751" s="105"/>
      <c r="C1751" s="105"/>
      <c r="D1751" s="105"/>
      <c r="E1751" s="105"/>
      <c r="F1751" s="634"/>
      <c r="G1751" s="634"/>
      <c r="H1751" s="634"/>
    </row>
    <row r="1752" spans="1:8" s="220" customFormat="1" ht="27" customHeight="1">
      <c r="A1752" s="178" t="str">
        <f>'3 - PLAN. ORÇAMENTÁRIA'!A341</f>
        <v>4.3.34</v>
      </c>
      <c r="B1752" s="242">
        <f>VLOOKUP(A1752,'3 - PLAN. ORÇAMENTÁRIA'!$A$16:$B$721,2,FALSE)</f>
        <v>98520</v>
      </c>
      <c r="C1752" s="631" t="str">
        <f>VLOOKUP(A1752,'3 - PLAN. ORÇAMENTÁRIA'!$A$16:$C$721,3,FALSE)</f>
        <v>APLICAÇÃO DE ADUBO EM SOLO. AF_07/2024 (FLOREIRA)</v>
      </c>
      <c r="D1752" s="632"/>
      <c r="E1752" s="632"/>
      <c r="F1752" s="632"/>
      <c r="G1752" s="633"/>
      <c r="H1752" s="493" t="str">
        <f>VLOOKUP(A1752,'3 - PLAN. ORÇAMENTÁRIA'!$A$17:$E$721,5,FALSE)</f>
        <v>M2</v>
      </c>
    </row>
    <row r="1753" spans="1:8">
      <c r="B1753" s="628" t="s">
        <v>593</v>
      </c>
      <c r="C1753" s="628"/>
      <c r="D1753" s="103" t="s">
        <v>579</v>
      </c>
      <c r="E1753" s="103" t="s">
        <v>580</v>
      </c>
      <c r="F1753" s="103" t="s">
        <v>581</v>
      </c>
      <c r="G1753" s="103" t="s">
        <v>582</v>
      </c>
      <c r="H1753" s="103" t="s">
        <v>583</v>
      </c>
    </row>
    <row r="1754" spans="1:8">
      <c r="B1754" s="130" t="s">
        <v>1566</v>
      </c>
      <c r="C1754" s="229" t="s">
        <v>1567</v>
      </c>
      <c r="D1754" s="130" t="s">
        <v>119</v>
      </c>
      <c r="E1754" s="130" t="s">
        <v>200</v>
      </c>
      <c r="F1754" s="230">
        <v>0.125</v>
      </c>
      <c r="G1754" s="494">
        <v>3.04</v>
      </c>
      <c r="H1754" s="494">
        <v>0.38</v>
      </c>
    </row>
    <row r="1755" spans="1:8">
      <c r="B1755" s="130" t="s">
        <v>1568</v>
      </c>
      <c r="C1755" s="229" t="s">
        <v>1569</v>
      </c>
      <c r="D1755" s="130" t="s">
        <v>119</v>
      </c>
      <c r="E1755" s="130" t="s">
        <v>200</v>
      </c>
      <c r="F1755" s="230">
        <v>2.6526000000000001</v>
      </c>
      <c r="G1755" s="494">
        <v>1.28</v>
      </c>
      <c r="H1755" s="494">
        <v>3.4</v>
      </c>
    </row>
    <row r="1756" spans="1:8">
      <c r="B1756" s="105"/>
      <c r="C1756" s="105"/>
      <c r="D1756" s="105"/>
      <c r="E1756" s="105"/>
      <c r="F1756" s="629" t="s">
        <v>604</v>
      </c>
      <c r="G1756" s="629"/>
      <c r="H1756" s="495">
        <v>3.78</v>
      </c>
    </row>
    <row r="1757" spans="1:8" ht="12.75" customHeight="1">
      <c r="B1757" s="628" t="s">
        <v>607</v>
      </c>
      <c r="C1757" s="628"/>
      <c r="D1757" s="103" t="s">
        <v>579</v>
      </c>
      <c r="E1757" s="103" t="s">
        <v>580</v>
      </c>
      <c r="F1757" s="103" t="s">
        <v>581</v>
      </c>
      <c r="G1757" s="103" t="s">
        <v>582</v>
      </c>
      <c r="H1757" s="103" t="s">
        <v>583</v>
      </c>
    </row>
    <row r="1758" spans="1:8">
      <c r="B1758" s="130" t="s">
        <v>1341</v>
      </c>
      <c r="C1758" s="229" t="s">
        <v>634</v>
      </c>
      <c r="D1758" s="130" t="s">
        <v>119</v>
      </c>
      <c r="E1758" s="130" t="s">
        <v>121</v>
      </c>
      <c r="F1758" s="230">
        <v>1.12E-2</v>
      </c>
      <c r="G1758" s="494">
        <v>28</v>
      </c>
      <c r="H1758" s="494">
        <v>0.31</v>
      </c>
    </row>
    <row r="1759" spans="1:8">
      <c r="B1759" s="130" t="s">
        <v>625</v>
      </c>
      <c r="C1759" s="229" t="s">
        <v>626</v>
      </c>
      <c r="D1759" s="130" t="s">
        <v>119</v>
      </c>
      <c r="E1759" s="130" t="s">
        <v>121</v>
      </c>
      <c r="F1759" s="230">
        <v>5.5800000000000002E-2</v>
      </c>
      <c r="G1759" s="494">
        <v>23.75</v>
      </c>
      <c r="H1759" s="494">
        <v>1.33</v>
      </c>
    </row>
    <row r="1760" spans="1:8" ht="12.75" customHeight="1">
      <c r="B1760" s="105"/>
      <c r="C1760" s="105"/>
      <c r="D1760" s="105"/>
      <c r="E1760" s="105"/>
      <c r="F1760" s="629" t="s">
        <v>610</v>
      </c>
      <c r="G1760" s="629"/>
      <c r="H1760" s="495">
        <v>1.64</v>
      </c>
    </row>
    <row r="1761" spans="1:8" ht="12.75" customHeight="1">
      <c r="B1761" s="105"/>
      <c r="C1761" s="105"/>
      <c r="D1761" s="105"/>
      <c r="E1761" s="105"/>
      <c r="F1761" s="630" t="s">
        <v>464</v>
      </c>
      <c r="G1761" s="630"/>
      <c r="H1761" s="102">
        <v>5.4</v>
      </c>
    </row>
    <row r="1762" spans="1:8">
      <c r="B1762" s="105"/>
      <c r="C1762" s="105"/>
      <c r="D1762" s="105"/>
      <c r="E1762" s="105"/>
      <c r="F1762" s="634"/>
      <c r="G1762" s="634"/>
      <c r="H1762" s="634"/>
    </row>
    <row r="1763" spans="1:8" s="220" customFormat="1" ht="27" customHeight="1">
      <c r="A1763" s="178" t="str">
        <f>'3 - PLAN. ORÇAMENTÁRIA'!A343</f>
        <v>4.3.36</v>
      </c>
      <c r="B1763" s="242">
        <f>VLOOKUP(A1763,'3 - PLAN. ORÇAMENTÁRIA'!$A$16:$B$721,2,FALSE)</f>
        <v>102223</v>
      </c>
      <c r="C1763" s="631" t="str">
        <f>VLOOKUP(A1763,'3 - PLAN. ORÇAMENTÁRIA'!$A$16:$C$721,3,FALSE)</f>
        <v>PINTURA VERNIZ (INCOLOR) ALQUÍDICO EM MADEIRA, USO INTERNO E EXTERNO, 3 DEMÃOS. AF_01/2021 (BANCO EXTERNO)</v>
      </c>
      <c r="D1763" s="632"/>
      <c r="E1763" s="632"/>
      <c r="F1763" s="632"/>
      <c r="G1763" s="633"/>
      <c r="H1763" s="131" t="str">
        <f>VLOOKUP(A1763,'3 - PLAN. ORÇAMENTÁRIA'!$A$17:$E$721,5,FALSE)</f>
        <v>M2</v>
      </c>
    </row>
    <row r="1764" spans="1:8">
      <c r="B1764" s="628" t="s">
        <v>593</v>
      </c>
      <c r="C1764" s="628"/>
      <c r="D1764" s="103" t="s">
        <v>579</v>
      </c>
      <c r="E1764" s="103" t="s">
        <v>580</v>
      </c>
      <c r="F1764" s="103" t="s">
        <v>581</v>
      </c>
      <c r="G1764" s="103" t="s">
        <v>582</v>
      </c>
      <c r="H1764" s="103" t="s">
        <v>583</v>
      </c>
    </row>
    <row r="1765" spans="1:8">
      <c r="B1765" s="130" t="s">
        <v>1448</v>
      </c>
      <c r="C1765" s="229" t="s">
        <v>1449</v>
      </c>
      <c r="D1765" s="130" t="s">
        <v>119</v>
      </c>
      <c r="E1765" s="130" t="s">
        <v>107</v>
      </c>
      <c r="F1765" s="230">
        <v>4.0599999999999997E-2</v>
      </c>
      <c r="G1765" s="494">
        <v>19.78</v>
      </c>
      <c r="H1765" s="494">
        <v>0.8</v>
      </c>
    </row>
    <row r="1766" spans="1:8" ht="25.5">
      <c r="B1766" s="130" t="s">
        <v>2442</v>
      </c>
      <c r="C1766" s="229" t="s">
        <v>2443</v>
      </c>
      <c r="D1766" s="130" t="s">
        <v>119</v>
      </c>
      <c r="E1766" s="130" t="s">
        <v>107</v>
      </c>
      <c r="F1766" s="230">
        <v>0.27060000000000001</v>
      </c>
      <c r="G1766" s="494">
        <v>30.93</v>
      </c>
      <c r="H1766" s="494">
        <v>8.3699999999999992</v>
      </c>
    </row>
    <row r="1767" spans="1:8">
      <c r="B1767" s="105"/>
      <c r="C1767" s="105"/>
      <c r="D1767" s="105"/>
      <c r="E1767" s="105"/>
      <c r="F1767" s="629" t="s">
        <v>604</v>
      </c>
      <c r="G1767" s="629"/>
      <c r="H1767" s="495">
        <v>9.17</v>
      </c>
    </row>
    <row r="1768" spans="1:8" ht="12.75" customHeight="1">
      <c r="B1768" s="628" t="s">
        <v>607</v>
      </c>
      <c r="C1768" s="628"/>
      <c r="D1768" s="103" t="s">
        <v>579</v>
      </c>
      <c r="E1768" s="103" t="s">
        <v>580</v>
      </c>
      <c r="F1768" s="103" t="s">
        <v>581</v>
      </c>
      <c r="G1768" s="103" t="s">
        <v>582</v>
      </c>
      <c r="H1768" s="103" t="s">
        <v>583</v>
      </c>
    </row>
    <row r="1769" spans="1:8">
      <c r="B1769" s="130" t="s">
        <v>1450</v>
      </c>
      <c r="C1769" s="229" t="s">
        <v>663</v>
      </c>
      <c r="D1769" s="130" t="s">
        <v>119</v>
      </c>
      <c r="E1769" s="130" t="s">
        <v>121</v>
      </c>
      <c r="F1769" s="230">
        <v>0.70760000000000001</v>
      </c>
      <c r="G1769" s="494">
        <v>33.01</v>
      </c>
      <c r="H1769" s="494">
        <v>23.36</v>
      </c>
    </row>
    <row r="1770" spans="1:8" ht="12.75" customHeight="1">
      <c r="B1770" s="105"/>
      <c r="C1770" s="105"/>
      <c r="D1770" s="105"/>
      <c r="E1770" s="105"/>
      <c r="F1770" s="629" t="s">
        <v>610</v>
      </c>
      <c r="G1770" s="629"/>
      <c r="H1770" s="495">
        <v>23.36</v>
      </c>
    </row>
    <row r="1771" spans="1:8" ht="12.75" customHeight="1">
      <c r="B1771" s="105"/>
      <c r="C1771" s="105"/>
      <c r="D1771" s="105"/>
      <c r="E1771" s="105"/>
      <c r="F1771" s="630" t="s">
        <v>464</v>
      </c>
      <c r="G1771" s="630"/>
      <c r="H1771" s="102">
        <v>32.51</v>
      </c>
    </row>
    <row r="1772" spans="1:8">
      <c r="B1772" s="105"/>
      <c r="C1772" s="105"/>
      <c r="D1772" s="105"/>
      <c r="E1772" s="105"/>
      <c r="F1772" s="634"/>
      <c r="G1772" s="634"/>
      <c r="H1772" s="634"/>
    </row>
    <row r="1773" spans="1:8" s="220" customFormat="1" ht="27" customHeight="1">
      <c r="A1773" s="178" t="str">
        <f>'3 - PLAN. ORÇAMENTÁRIA'!A344</f>
        <v>4.3.37</v>
      </c>
      <c r="B1773" s="242" t="str">
        <f>VLOOKUP(A1773,'3 - PLAN. ORÇAMENTÁRIA'!$A$16:$B$721,2,FALSE)</f>
        <v>CCU 101</v>
      </c>
      <c r="C1773" s="631" t="str">
        <f>VLOOKUP(A1773,'3 - PLAN. ORÇAMENTÁRIA'!$A$16:$C$721,3,FALSE)</f>
        <v>SUPORTE MÃO FRANCESA EM PERFIL TREFILADO "T" (32X32X3,2MM) REF. 100862/SINAPI</v>
      </c>
      <c r="D1773" s="632"/>
      <c r="E1773" s="632"/>
      <c r="F1773" s="632"/>
      <c r="G1773" s="633"/>
      <c r="H1773" s="131" t="str">
        <f>VLOOKUP(A1773,'3 - PLAN. ORÇAMENTÁRIA'!$A$17:$E$721,5,FALSE)</f>
        <v>UN</v>
      </c>
    </row>
    <row r="1774" spans="1:8">
      <c r="B1774" s="628" t="s">
        <v>593</v>
      </c>
      <c r="C1774" s="628"/>
      <c r="D1774" s="103" t="s">
        <v>579</v>
      </c>
      <c r="E1774" s="103" t="s">
        <v>580</v>
      </c>
      <c r="F1774" s="103" t="s">
        <v>581</v>
      </c>
      <c r="G1774" s="103" t="s">
        <v>582</v>
      </c>
      <c r="H1774" s="103" t="s">
        <v>583</v>
      </c>
    </row>
    <row r="1775" spans="1:8" ht="25.5">
      <c r="B1775" s="130" t="s">
        <v>651</v>
      </c>
      <c r="C1775" s="229" t="s">
        <v>652</v>
      </c>
      <c r="D1775" s="130" t="s">
        <v>119</v>
      </c>
      <c r="E1775" s="130" t="s">
        <v>144</v>
      </c>
      <c r="F1775" s="230">
        <v>3</v>
      </c>
      <c r="G1775" s="494">
        <v>1.1599999999999999</v>
      </c>
      <c r="H1775" s="494">
        <v>3.48</v>
      </c>
    </row>
    <row r="1776" spans="1:8">
      <c r="B1776" s="130" t="s">
        <v>1780</v>
      </c>
      <c r="C1776" s="229" t="s">
        <v>1781</v>
      </c>
      <c r="D1776" s="130" t="s">
        <v>119</v>
      </c>
      <c r="E1776" s="130" t="s">
        <v>144</v>
      </c>
      <c r="F1776" s="230">
        <v>1</v>
      </c>
      <c r="G1776" s="494">
        <v>20.27</v>
      </c>
      <c r="H1776" s="494">
        <v>20.27</v>
      </c>
    </row>
    <row r="1777" spans="1:8">
      <c r="B1777" s="105"/>
      <c r="C1777" s="105"/>
      <c r="D1777" s="105"/>
      <c r="E1777" s="105"/>
      <c r="F1777" s="629" t="s">
        <v>604</v>
      </c>
      <c r="G1777" s="629"/>
      <c r="H1777" s="495">
        <v>23.75</v>
      </c>
    </row>
    <row r="1778" spans="1:8" ht="12.75" customHeight="1">
      <c r="B1778" s="628" t="s">
        <v>607</v>
      </c>
      <c r="C1778" s="628"/>
      <c r="D1778" s="103" t="s">
        <v>579</v>
      </c>
      <c r="E1778" s="103" t="s">
        <v>580</v>
      </c>
      <c r="F1778" s="103" t="s">
        <v>581</v>
      </c>
      <c r="G1778" s="103" t="s">
        <v>582</v>
      </c>
      <c r="H1778" s="103" t="s">
        <v>583</v>
      </c>
    </row>
    <row r="1779" spans="1:8">
      <c r="B1779" s="130" t="s">
        <v>1297</v>
      </c>
      <c r="C1779" s="229" t="s">
        <v>612</v>
      </c>
      <c r="D1779" s="130" t="s">
        <v>119</v>
      </c>
      <c r="E1779" s="130" t="s">
        <v>121</v>
      </c>
      <c r="F1779" s="230">
        <v>0.4743</v>
      </c>
      <c r="G1779" s="494">
        <v>30.62</v>
      </c>
      <c r="H1779" s="494">
        <v>14.52</v>
      </c>
    </row>
    <row r="1780" spans="1:8">
      <c r="B1780" s="130" t="s">
        <v>625</v>
      </c>
      <c r="C1780" s="229" t="s">
        <v>626</v>
      </c>
      <c r="D1780" s="130" t="s">
        <v>119</v>
      </c>
      <c r="E1780" s="130" t="s">
        <v>121</v>
      </c>
      <c r="F1780" s="230">
        <v>0.14940000000000001</v>
      </c>
      <c r="G1780" s="494">
        <v>23.75</v>
      </c>
      <c r="H1780" s="494">
        <v>3.55</v>
      </c>
    </row>
    <row r="1781" spans="1:8" ht="12.75" customHeight="1">
      <c r="B1781" s="105"/>
      <c r="C1781" s="105"/>
      <c r="D1781" s="105"/>
      <c r="E1781" s="105"/>
      <c r="F1781" s="629" t="s">
        <v>610</v>
      </c>
      <c r="G1781" s="629"/>
      <c r="H1781" s="495">
        <v>18.07</v>
      </c>
    </row>
    <row r="1782" spans="1:8" ht="12.75" customHeight="1">
      <c r="B1782" s="105"/>
      <c r="C1782" s="105"/>
      <c r="D1782" s="105"/>
      <c r="E1782" s="105"/>
      <c r="F1782" s="630" t="s">
        <v>464</v>
      </c>
      <c r="G1782" s="630"/>
      <c r="H1782" s="102">
        <v>41.81</v>
      </c>
    </row>
    <row r="1783" spans="1:8">
      <c r="B1783" s="105"/>
      <c r="C1783" s="105"/>
      <c r="D1783" s="105"/>
      <c r="E1783" s="105"/>
      <c r="F1783" s="634"/>
      <c r="G1783" s="634"/>
      <c r="H1783" s="634"/>
    </row>
    <row r="1784" spans="1:8" s="220" customFormat="1" ht="27" customHeight="1">
      <c r="A1784" s="178" t="str">
        <f>'3 - PLAN. ORÇAMENTÁRIA'!A349</f>
        <v>4.4.1.1.1</v>
      </c>
      <c r="B1784" s="242">
        <f>VLOOKUP(A1784,'3 - PLAN. ORÇAMENTÁRIA'!$A$16:$B$721,2,FALSE)</f>
        <v>97083</v>
      </c>
      <c r="C1784" s="631" t="str">
        <f>VLOOKUP(A1784,'3 - PLAN. ORÇAMENTÁRIA'!$A$16:$C$721,3,FALSE)</f>
        <v>COMPACTAÇÃO MECÂNICA DE SOLO PARA EXECUÇÃO DE RADIER, PISO DE CONCRETO OU LAJE SOBRE SOLO, COM COMPACTADOR DE SOLOS A PERCUSSÃO. AF_09/2021</v>
      </c>
      <c r="D1784" s="632"/>
      <c r="E1784" s="632"/>
      <c r="F1784" s="632"/>
      <c r="G1784" s="633"/>
      <c r="H1784" s="131" t="str">
        <f>VLOOKUP(A1784,'3 - PLAN. ORÇAMENTÁRIA'!$A$17:$E$721,5,FALSE)</f>
        <v>M2</v>
      </c>
    </row>
    <row r="1785" spans="1:8" ht="12.75" customHeight="1">
      <c r="B1785" s="628" t="s">
        <v>1301</v>
      </c>
      <c r="C1785" s="628"/>
      <c r="D1785" s="103" t="s">
        <v>579</v>
      </c>
      <c r="E1785" s="103" t="s">
        <v>580</v>
      </c>
      <c r="F1785" s="103" t="s">
        <v>581</v>
      </c>
      <c r="G1785" s="103" t="s">
        <v>582</v>
      </c>
      <c r="H1785" s="103" t="s">
        <v>583</v>
      </c>
    </row>
    <row r="1786" spans="1:8" ht="25.5">
      <c r="B1786" s="130" t="s">
        <v>1585</v>
      </c>
      <c r="C1786" s="229" t="s">
        <v>1586</v>
      </c>
      <c r="D1786" s="130" t="s">
        <v>119</v>
      </c>
      <c r="E1786" s="130" t="s">
        <v>1304</v>
      </c>
      <c r="F1786" s="230">
        <v>4.2000000000000003E-2</v>
      </c>
      <c r="G1786" s="494">
        <v>0.86</v>
      </c>
      <c r="H1786" s="494">
        <v>0.04</v>
      </c>
    </row>
    <row r="1787" spans="1:8" ht="25.5">
      <c r="B1787" s="130" t="s">
        <v>1587</v>
      </c>
      <c r="C1787" s="229" t="s">
        <v>1588</v>
      </c>
      <c r="D1787" s="130" t="s">
        <v>119</v>
      </c>
      <c r="E1787" s="130" t="s">
        <v>1307</v>
      </c>
      <c r="F1787" s="230">
        <v>2.5000000000000001E-2</v>
      </c>
      <c r="G1787" s="494">
        <v>6.35</v>
      </c>
      <c r="H1787" s="494">
        <v>0.16</v>
      </c>
    </row>
    <row r="1788" spans="1:8" ht="12.75" customHeight="1">
      <c r="B1788" s="105"/>
      <c r="C1788" s="105"/>
      <c r="D1788" s="105"/>
      <c r="E1788" s="105"/>
      <c r="F1788" s="629" t="s">
        <v>1308</v>
      </c>
      <c r="G1788" s="629"/>
      <c r="H1788" s="495">
        <v>0.2</v>
      </c>
    </row>
    <row r="1789" spans="1:8" ht="12.75" customHeight="1">
      <c r="B1789" s="628" t="s">
        <v>607</v>
      </c>
      <c r="C1789" s="628"/>
      <c r="D1789" s="103" t="s">
        <v>579</v>
      </c>
      <c r="E1789" s="103" t="s">
        <v>580</v>
      </c>
      <c r="F1789" s="103" t="s">
        <v>581</v>
      </c>
      <c r="G1789" s="103" t="s">
        <v>582</v>
      </c>
      <c r="H1789" s="103" t="s">
        <v>583</v>
      </c>
    </row>
    <row r="1790" spans="1:8">
      <c r="B1790" s="130" t="s">
        <v>639</v>
      </c>
      <c r="C1790" s="229" t="s">
        <v>640</v>
      </c>
      <c r="D1790" s="130" t="s">
        <v>119</v>
      </c>
      <c r="E1790" s="130" t="s">
        <v>121</v>
      </c>
      <c r="F1790" s="230">
        <v>4.4999999999999998E-2</v>
      </c>
      <c r="G1790" s="494">
        <v>31.34</v>
      </c>
      <c r="H1790" s="494">
        <v>1.41</v>
      </c>
    </row>
    <row r="1791" spans="1:8">
      <c r="B1791" s="130" t="s">
        <v>625</v>
      </c>
      <c r="C1791" s="229" t="s">
        <v>626</v>
      </c>
      <c r="D1791" s="130" t="s">
        <v>119</v>
      </c>
      <c r="E1791" s="130" t="s">
        <v>121</v>
      </c>
      <c r="F1791" s="230">
        <v>8.8999999999999996E-2</v>
      </c>
      <c r="G1791" s="494">
        <v>23.75</v>
      </c>
      <c r="H1791" s="494">
        <v>2.11</v>
      </c>
    </row>
    <row r="1792" spans="1:8" ht="12.75" customHeight="1">
      <c r="B1792" s="105"/>
      <c r="C1792" s="105"/>
      <c r="D1792" s="105"/>
      <c r="E1792" s="105"/>
      <c r="F1792" s="629" t="s">
        <v>610</v>
      </c>
      <c r="G1792" s="629"/>
      <c r="H1792" s="495">
        <v>3.52</v>
      </c>
    </row>
    <row r="1793" spans="1:8" ht="12.75" customHeight="1">
      <c r="B1793" s="105"/>
      <c r="C1793" s="105"/>
      <c r="D1793" s="105"/>
      <c r="E1793" s="105"/>
      <c r="F1793" s="630" t="s">
        <v>464</v>
      </c>
      <c r="G1793" s="630"/>
      <c r="H1793" s="102">
        <v>3.7</v>
      </c>
    </row>
    <row r="1794" spans="1:8">
      <c r="B1794" s="105"/>
      <c r="C1794" s="105"/>
      <c r="D1794" s="105"/>
      <c r="E1794" s="105"/>
      <c r="F1794" s="634"/>
      <c r="G1794" s="634"/>
      <c r="H1794" s="634"/>
    </row>
    <row r="1795" spans="1:8" s="220" customFormat="1" ht="27" customHeight="1">
      <c r="A1795" s="178" t="str">
        <f>'3 - PLAN. ORÇAMENTÁRIA'!A350</f>
        <v>4.4.1.1.2</v>
      </c>
      <c r="B1795" s="242">
        <f>VLOOKUP(A1795,'3 - PLAN. ORÇAMENTÁRIA'!$A$16:$B$721,2,FALSE)</f>
        <v>100324</v>
      </c>
      <c r="C1795" s="631" t="str">
        <f>VLOOKUP(A1795,'3 - PLAN. ORÇAMENTÁRIA'!$A$16:$C$721,3,FALSE)</f>
        <v>LASTRO COM MATERIAL GRANULAR (PEDRA BRITADA N.1 E PEDRA BRITADA N.2), APLICADO EM PISOS OU LAJES SOBRE SOLO, ESPESSURA DE *8 CM*. AF_01/2024</v>
      </c>
      <c r="D1795" s="632"/>
      <c r="E1795" s="632"/>
      <c r="F1795" s="632"/>
      <c r="G1795" s="633"/>
      <c r="H1795" s="437" t="str">
        <f>VLOOKUP(A1795,'3 - PLAN. ORÇAMENTÁRIA'!$A$17:$E$721,5,FALSE)</f>
        <v>M3</v>
      </c>
    </row>
    <row r="1796" spans="1:8" ht="12.75" customHeight="1">
      <c r="B1796" s="628" t="s">
        <v>1301</v>
      </c>
      <c r="C1796" s="628"/>
      <c r="D1796" s="103" t="s">
        <v>579</v>
      </c>
      <c r="E1796" s="103" t="s">
        <v>580</v>
      </c>
      <c r="F1796" s="103" t="s">
        <v>581</v>
      </c>
      <c r="G1796" s="103" t="s">
        <v>582</v>
      </c>
      <c r="H1796" s="103" t="s">
        <v>583</v>
      </c>
    </row>
    <row r="1797" spans="1:8" ht="25.5">
      <c r="B1797" s="130" t="s">
        <v>1517</v>
      </c>
      <c r="C1797" s="229" t="s">
        <v>1518</v>
      </c>
      <c r="D1797" s="130" t="s">
        <v>119</v>
      </c>
      <c r="E1797" s="130" t="s">
        <v>1304</v>
      </c>
      <c r="F1797" s="230">
        <v>0.03</v>
      </c>
      <c r="G1797" s="494">
        <v>0.72</v>
      </c>
      <c r="H1797" s="494">
        <v>0.02</v>
      </c>
    </row>
    <row r="1798" spans="1:8" ht="25.5">
      <c r="B1798" s="130" t="s">
        <v>1519</v>
      </c>
      <c r="C1798" s="229" t="s">
        <v>1520</v>
      </c>
      <c r="D1798" s="130" t="s">
        <v>119</v>
      </c>
      <c r="E1798" s="130" t="s">
        <v>1307</v>
      </c>
      <c r="F1798" s="230">
        <v>3.2000000000000001E-2</v>
      </c>
      <c r="G1798" s="494">
        <v>10.01</v>
      </c>
      <c r="H1798" s="494">
        <v>0.32</v>
      </c>
    </row>
    <row r="1799" spans="1:8" ht="12.75" customHeight="1">
      <c r="B1799" s="105"/>
      <c r="C1799" s="105"/>
      <c r="D1799" s="105"/>
      <c r="E1799" s="105"/>
      <c r="F1799" s="629" t="s">
        <v>1308</v>
      </c>
      <c r="G1799" s="629"/>
      <c r="H1799" s="495">
        <v>0.34</v>
      </c>
    </row>
    <row r="1800" spans="1:8">
      <c r="B1800" s="628" t="s">
        <v>593</v>
      </c>
      <c r="C1800" s="628"/>
      <c r="D1800" s="103" t="s">
        <v>579</v>
      </c>
      <c r="E1800" s="103" t="s">
        <v>580</v>
      </c>
      <c r="F1800" s="103" t="s">
        <v>581</v>
      </c>
      <c r="G1800" s="103" t="s">
        <v>582</v>
      </c>
      <c r="H1800" s="103" t="s">
        <v>583</v>
      </c>
    </row>
    <row r="1801" spans="1:8">
      <c r="B1801" s="130" t="s">
        <v>1521</v>
      </c>
      <c r="C1801" s="229" t="s">
        <v>1522</v>
      </c>
      <c r="D1801" s="130" t="s">
        <v>119</v>
      </c>
      <c r="E1801" s="130" t="s">
        <v>167</v>
      </c>
      <c r="F1801" s="230">
        <v>0.59499999999999997</v>
      </c>
      <c r="G1801" s="494">
        <v>197.39</v>
      </c>
      <c r="H1801" s="494">
        <v>117.45</v>
      </c>
    </row>
    <row r="1802" spans="1:8">
      <c r="B1802" s="130" t="s">
        <v>661</v>
      </c>
      <c r="C1802" s="229" t="s">
        <v>662</v>
      </c>
      <c r="D1802" s="130" t="s">
        <v>119</v>
      </c>
      <c r="E1802" s="130" t="s">
        <v>167</v>
      </c>
      <c r="F1802" s="230">
        <v>0.59499999999999997</v>
      </c>
      <c r="G1802" s="494">
        <v>198.43</v>
      </c>
      <c r="H1802" s="494">
        <v>118.07</v>
      </c>
    </row>
    <row r="1803" spans="1:8">
      <c r="B1803" s="105"/>
      <c r="C1803" s="105"/>
      <c r="D1803" s="105"/>
      <c r="E1803" s="105"/>
      <c r="F1803" s="629" t="s">
        <v>604</v>
      </c>
      <c r="G1803" s="629"/>
      <c r="H1803" s="495">
        <v>235.52</v>
      </c>
    </row>
    <row r="1804" spans="1:8" ht="12.75" customHeight="1">
      <c r="B1804" s="628" t="s">
        <v>607</v>
      </c>
      <c r="C1804" s="628"/>
      <c r="D1804" s="103" t="s">
        <v>579</v>
      </c>
      <c r="E1804" s="103" t="s">
        <v>580</v>
      </c>
      <c r="F1804" s="103" t="s">
        <v>581</v>
      </c>
      <c r="G1804" s="103" t="s">
        <v>582</v>
      </c>
      <c r="H1804" s="103" t="s">
        <v>583</v>
      </c>
    </row>
    <row r="1805" spans="1:8">
      <c r="B1805" s="130" t="s">
        <v>639</v>
      </c>
      <c r="C1805" s="229" t="s">
        <v>640</v>
      </c>
      <c r="D1805" s="130" t="s">
        <v>119</v>
      </c>
      <c r="E1805" s="130" t="s">
        <v>121</v>
      </c>
      <c r="F1805" s="230">
        <v>1.579</v>
      </c>
      <c r="G1805" s="494">
        <v>31.34</v>
      </c>
      <c r="H1805" s="494">
        <v>49.49</v>
      </c>
    </row>
    <row r="1806" spans="1:8">
      <c r="B1806" s="130" t="s">
        <v>625</v>
      </c>
      <c r="C1806" s="229" t="s">
        <v>626</v>
      </c>
      <c r="D1806" s="130" t="s">
        <v>119</v>
      </c>
      <c r="E1806" s="130" t="s">
        <v>121</v>
      </c>
      <c r="F1806" s="230">
        <v>0.63400000000000001</v>
      </c>
      <c r="G1806" s="494">
        <v>23.75</v>
      </c>
      <c r="H1806" s="494">
        <v>15.06</v>
      </c>
    </row>
    <row r="1807" spans="1:8" ht="12.75" customHeight="1">
      <c r="B1807" s="105"/>
      <c r="C1807" s="105"/>
      <c r="D1807" s="105"/>
      <c r="E1807" s="105"/>
      <c r="F1807" s="629" t="s">
        <v>610</v>
      </c>
      <c r="G1807" s="629"/>
      <c r="H1807" s="495">
        <v>64.55</v>
      </c>
    </row>
    <row r="1808" spans="1:8" ht="12.75" customHeight="1">
      <c r="B1808" s="105"/>
      <c r="C1808" s="105"/>
      <c r="D1808" s="105"/>
      <c r="E1808" s="105"/>
      <c r="F1808" s="630" t="s">
        <v>464</v>
      </c>
      <c r="G1808" s="630"/>
      <c r="H1808" s="102">
        <v>300.37</v>
      </c>
    </row>
    <row r="1809" spans="1:8">
      <c r="B1809" s="105"/>
      <c r="C1809" s="105"/>
      <c r="D1809" s="105"/>
      <c r="E1809" s="105"/>
      <c r="F1809" s="634"/>
      <c r="G1809" s="634"/>
      <c r="H1809" s="634"/>
    </row>
    <row r="1810" spans="1:8" s="220" customFormat="1" ht="27" customHeight="1">
      <c r="A1810" s="178" t="str">
        <f>'3 - PLAN. ORÇAMENTÁRIA'!A351</f>
        <v>4.4.1.1.3</v>
      </c>
      <c r="B1810" s="242">
        <f>VLOOKUP(A1810,'3 - PLAN. ORÇAMENTÁRIA'!$A$16:$B$721,2,FALSE)</f>
        <v>94994</v>
      </c>
      <c r="C1810" s="631" t="str">
        <f>VLOOKUP(A1810,'3 - PLAN. ORÇAMENTÁRIA'!$A$16:$C$721,3,FALSE)</f>
        <v>EXECUÇÃO DE PASSEIO (CALÇADA) OU PISO DE CONCRETO COM CONCRETO MOLDADO IN LOCO, FEITO EM OBRA, ACABAMENTO CONVENCIONAL, ESPESSURA 8 CM, ARMADO. AF_08/2022</v>
      </c>
      <c r="D1810" s="632"/>
      <c r="E1810" s="632"/>
      <c r="F1810" s="632"/>
      <c r="G1810" s="633"/>
      <c r="H1810" s="437" t="str">
        <f>VLOOKUP(A1810,'3 - PLAN. ORÇAMENTÁRIA'!$A$17:$E$721,5,FALSE)</f>
        <v>M2</v>
      </c>
    </row>
    <row r="1811" spans="1:8">
      <c r="B1811" s="628" t="s">
        <v>593</v>
      </c>
      <c r="C1811" s="628"/>
      <c r="D1811" s="103" t="s">
        <v>579</v>
      </c>
      <c r="E1811" s="103" t="s">
        <v>580</v>
      </c>
      <c r="F1811" s="103" t="s">
        <v>581</v>
      </c>
      <c r="G1811" s="103" t="s">
        <v>582</v>
      </c>
      <c r="H1811" s="103" t="s">
        <v>583</v>
      </c>
    </row>
    <row r="1812" spans="1:8">
      <c r="B1812" s="130" t="s">
        <v>643</v>
      </c>
      <c r="C1812" s="229" t="s">
        <v>644</v>
      </c>
      <c r="D1812" s="130" t="s">
        <v>119</v>
      </c>
      <c r="E1812" s="130" t="s">
        <v>107</v>
      </c>
      <c r="F1812" s="230">
        <v>1.6999999999999999E-3</v>
      </c>
      <c r="G1812" s="494">
        <v>7.16</v>
      </c>
      <c r="H1812" s="494">
        <v>0.01</v>
      </c>
    </row>
    <row r="1813" spans="1:8">
      <c r="B1813" s="130" t="s">
        <v>1333</v>
      </c>
      <c r="C1813" s="229" t="s">
        <v>1334</v>
      </c>
      <c r="D1813" s="130" t="s">
        <v>119</v>
      </c>
      <c r="E1813" s="130" t="s">
        <v>200</v>
      </c>
      <c r="F1813" s="230">
        <v>2.4E-2</v>
      </c>
      <c r="G1813" s="494">
        <v>18.72</v>
      </c>
      <c r="H1813" s="494">
        <v>0.45</v>
      </c>
    </row>
    <row r="1814" spans="1:8">
      <c r="B1814" s="130" t="s">
        <v>1325</v>
      </c>
      <c r="C1814" s="229" t="s">
        <v>1326</v>
      </c>
      <c r="D1814" s="130" t="s">
        <v>119</v>
      </c>
      <c r="E1814" s="130" t="s">
        <v>173</v>
      </c>
      <c r="F1814" s="230">
        <v>0.25</v>
      </c>
      <c r="G1814" s="494">
        <v>3.94</v>
      </c>
      <c r="H1814" s="494">
        <v>0.99</v>
      </c>
    </row>
    <row r="1815" spans="1:8">
      <c r="B1815" s="130" t="s">
        <v>1397</v>
      </c>
      <c r="C1815" s="229" t="s">
        <v>1398</v>
      </c>
      <c r="D1815" s="130" t="s">
        <v>119</v>
      </c>
      <c r="E1815" s="130" t="s">
        <v>173</v>
      </c>
      <c r="F1815" s="230">
        <v>0.2</v>
      </c>
      <c r="G1815" s="494">
        <v>2.72</v>
      </c>
      <c r="H1815" s="494">
        <v>0.54</v>
      </c>
    </row>
    <row r="1816" spans="1:8" ht="25.5">
      <c r="B1816" s="130" t="s">
        <v>1431</v>
      </c>
      <c r="C1816" s="229" t="s">
        <v>1222</v>
      </c>
      <c r="D1816" s="130" t="s">
        <v>119</v>
      </c>
      <c r="E1816" s="130" t="s">
        <v>139</v>
      </c>
      <c r="F1816" s="230">
        <v>1.0815999999999999</v>
      </c>
      <c r="G1816" s="494">
        <v>27.68</v>
      </c>
      <c r="H1816" s="494">
        <v>29.94</v>
      </c>
    </row>
    <row r="1817" spans="1:8" ht="12.75" customHeight="1">
      <c r="B1817" s="105"/>
      <c r="C1817" s="105"/>
      <c r="D1817" s="105"/>
      <c r="E1817" s="105"/>
      <c r="F1817" s="629" t="s">
        <v>604</v>
      </c>
      <c r="G1817" s="629"/>
      <c r="H1817" s="495">
        <v>31.93</v>
      </c>
    </row>
    <row r="1818" spans="1:8" ht="12.75" customHeight="1">
      <c r="B1818" s="628" t="s">
        <v>607</v>
      </c>
      <c r="C1818" s="628"/>
      <c r="D1818" s="103" t="s">
        <v>579</v>
      </c>
      <c r="E1818" s="103" t="s">
        <v>580</v>
      </c>
      <c r="F1818" s="103" t="s">
        <v>581</v>
      </c>
      <c r="G1818" s="103" t="s">
        <v>582</v>
      </c>
      <c r="H1818" s="103" t="s">
        <v>583</v>
      </c>
    </row>
    <row r="1819" spans="1:8">
      <c r="B1819" s="130" t="s">
        <v>1316</v>
      </c>
      <c r="C1819" s="229" t="s">
        <v>618</v>
      </c>
      <c r="D1819" s="130" t="s">
        <v>119</v>
      </c>
      <c r="E1819" s="130" t="s">
        <v>121</v>
      </c>
      <c r="F1819" s="230">
        <v>0.13009999999999999</v>
      </c>
      <c r="G1819" s="494">
        <v>30.91</v>
      </c>
      <c r="H1819" s="494">
        <v>4.0199999999999996</v>
      </c>
    </row>
    <row r="1820" spans="1:8">
      <c r="B1820" s="130" t="s">
        <v>639</v>
      </c>
      <c r="C1820" s="229" t="s">
        <v>640</v>
      </c>
      <c r="D1820" s="130" t="s">
        <v>119</v>
      </c>
      <c r="E1820" s="130" t="s">
        <v>121</v>
      </c>
      <c r="F1820" s="230">
        <v>0.18820000000000001</v>
      </c>
      <c r="G1820" s="494">
        <v>31.34</v>
      </c>
      <c r="H1820" s="494">
        <v>5.9</v>
      </c>
    </row>
    <row r="1821" spans="1:8" ht="12.75" customHeight="1">
      <c r="B1821" s="130" t="s">
        <v>625</v>
      </c>
      <c r="C1821" s="229" t="s">
        <v>626</v>
      </c>
      <c r="D1821" s="130" t="s">
        <v>119</v>
      </c>
      <c r="E1821" s="130" t="s">
        <v>121</v>
      </c>
      <c r="F1821" s="230">
        <v>0.31830000000000003</v>
      </c>
      <c r="G1821" s="494">
        <v>23.75</v>
      </c>
      <c r="H1821" s="494">
        <v>7.56</v>
      </c>
    </row>
    <row r="1822" spans="1:8" ht="12.75" customHeight="1">
      <c r="B1822" s="105"/>
      <c r="C1822" s="105"/>
      <c r="D1822" s="105"/>
      <c r="E1822" s="105"/>
      <c r="F1822" s="629" t="s">
        <v>610</v>
      </c>
      <c r="G1822" s="629"/>
      <c r="H1822" s="495">
        <v>17.48</v>
      </c>
    </row>
    <row r="1823" spans="1:8" ht="12.75" customHeight="1">
      <c r="B1823" s="628" t="s">
        <v>586</v>
      </c>
      <c r="C1823" s="628"/>
      <c r="D1823" s="103" t="s">
        <v>579</v>
      </c>
      <c r="E1823" s="103" t="s">
        <v>580</v>
      </c>
      <c r="F1823" s="103" t="s">
        <v>581</v>
      </c>
      <c r="G1823" s="103" t="s">
        <v>582</v>
      </c>
      <c r="H1823" s="103" t="s">
        <v>583</v>
      </c>
    </row>
    <row r="1824" spans="1:8" ht="25.5">
      <c r="B1824" s="130" t="s">
        <v>3812</v>
      </c>
      <c r="C1824" s="229" t="s">
        <v>3285</v>
      </c>
      <c r="D1824" s="130" t="s">
        <v>119</v>
      </c>
      <c r="E1824" s="130" t="s">
        <v>167</v>
      </c>
      <c r="F1824" s="230">
        <v>9.8500000000000004E-2</v>
      </c>
      <c r="G1824" s="494">
        <v>506.86</v>
      </c>
      <c r="H1824" s="494">
        <v>49.93</v>
      </c>
    </row>
    <row r="1825" spans="1:8">
      <c r="B1825" s="105"/>
      <c r="C1825" s="105"/>
      <c r="D1825" s="105"/>
      <c r="E1825" s="105"/>
      <c r="F1825" s="629" t="s">
        <v>587</v>
      </c>
      <c r="G1825" s="629"/>
      <c r="H1825" s="495">
        <v>49.93</v>
      </c>
    </row>
    <row r="1826" spans="1:8" ht="12.75" customHeight="1">
      <c r="B1826" s="105"/>
      <c r="C1826" s="105"/>
      <c r="D1826" s="105"/>
      <c r="E1826" s="105"/>
      <c r="F1826" s="630" t="s">
        <v>464</v>
      </c>
      <c r="G1826" s="630"/>
      <c r="H1826" s="102">
        <v>99.34</v>
      </c>
    </row>
    <row r="1827" spans="1:8">
      <c r="B1827" s="105"/>
      <c r="C1827" s="105"/>
      <c r="D1827" s="105"/>
      <c r="E1827" s="105"/>
      <c r="F1827" s="336"/>
      <c r="G1827" s="336"/>
      <c r="H1827" s="336"/>
    </row>
    <row r="1828" spans="1:8" s="220" customFormat="1" ht="27" customHeight="1">
      <c r="A1828" s="178" t="str">
        <f>'3 - PLAN. ORÇAMENTÁRIA'!A353</f>
        <v>4.4.1.2.1</v>
      </c>
      <c r="B1828" s="242">
        <f>VLOOKUP(A1828,'3 - PLAN. ORÇAMENTÁRIA'!$A$16:$B$721,2,FALSE)</f>
        <v>97083</v>
      </c>
      <c r="C1828" s="631" t="str">
        <f>VLOOKUP(A1828,'3 - PLAN. ORÇAMENTÁRIA'!$A$16:$C$721,3,FALSE)</f>
        <v>COMPACTAÇÃO MECÂNICA DE SOLO PARA EXECUÇÃO DE RADIER, PISO DE CONCRETO OU LAJE SOBRE SOLO, COM COMPACTADOR DE SOLOS A PERCUSSÃO. AF_09/2021</v>
      </c>
      <c r="D1828" s="632"/>
      <c r="E1828" s="632"/>
      <c r="F1828" s="632"/>
      <c r="G1828" s="633"/>
      <c r="H1828" s="131" t="str">
        <f>VLOOKUP(A1828,'3 - PLAN. ORÇAMENTÁRIA'!$A$17:$E$721,5,FALSE)</f>
        <v>M2</v>
      </c>
    </row>
    <row r="1829" spans="1:8" ht="12.75" customHeight="1">
      <c r="B1829" s="628" t="s">
        <v>1301</v>
      </c>
      <c r="C1829" s="628"/>
      <c r="D1829" s="103" t="s">
        <v>579</v>
      </c>
      <c r="E1829" s="103" t="s">
        <v>580</v>
      </c>
      <c r="F1829" s="103" t="s">
        <v>581</v>
      </c>
      <c r="G1829" s="103" t="s">
        <v>582</v>
      </c>
      <c r="H1829" s="103" t="s">
        <v>583</v>
      </c>
    </row>
    <row r="1830" spans="1:8" ht="25.5">
      <c r="B1830" s="130" t="s">
        <v>1585</v>
      </c>
      <c r="C1830" s="229" t="s">
        <v>1586</v>
      </c>
      <c r="D1830" s="130" t="s">
        <v>119</v>
      </c>
      <c r="E1830" s="130" t="s">
        <v>1304</v>
      </c>
      <c r="F1830" s="230">
        <v>4.2000000000000003E-2</v>
      </c>
      <c r="G1830" s="494">
        <v>0.86</v>
      </c>
      <c r="H1830" s="494">
        <v>0.04</v>
      </c>
    </row>
    <row r="1831" spans="1:8" ht="25.5">
      <c r="B1831" s="130" t="s">
        <v>1587</v>
      </c>
      <c r="C1831" s="229" t="s">
        <v>1588</v>
      </c>
      <c r="D1831" s="130" t="s">
        <v>119</v>
      </c>
      <c r="E1831" s="130" t="s">
        <v>1307</v>
      </c>
      <c r="F1831" s="230">
        <v>2.5000000000000001E-2</v>
      </c>
      <c r="G1831" s="494">
        <v>6.35</v>
      </c>
      <c r="H1831" s="494">
        <v>0.16</v>
      </c>
    </row>
    <row r="1832" spans="1:8" ht="12.75" customHeight="1">
      <c r="B1832" s="105"/>
      <c r="C1832" s="105"/>
      <c r="D1832" s="105"/>
      <c r="E1832" s="105"/>
      <c r="F1832" s="629" t="s">
        <v>1308</v>
      </c>
      <c r="G1832" s="629"/>
      <c r="H1832" s="495">
        <v>0.2</v>
      </c>
    </row>
    <row r="1833" spans="1:8" ht="12.75" customHeight="1">
      <c r="B1833" s="628" t="s">
        <v>607</v>
      </c>
      <c r="C1833" s="628"/>
      <c r="D1833" s="103" t="s">
        <v>579</v>
      </c>
      <c r="E1833" s="103" t="s">
        <v>580</v>
      </c>
      <c r="F1833" s="103" t="s">
        <v>581</v>
      </c>
      <c r="G1833" s="103" t="s">
        <v>582</v>
      </c>
      <c r="H1833" s="103" t="s">
        <v>583</v>
      </c>
    </row>
    <row r="1834" spans="1:8">
      <c r="B1834" s="130" t="s">
        <v>639</v>
      </c>
      <c r="C1834" s="229" t="s">
        <v>640</v>
      </c>
      <c r="D1834" s="130" t="s">
        <v>119</v>
      </c>
      <c r="E1834" s="130" t="s">
        <v>121</v>
      </c>
      <c r="F1834" s="230">
        <v>4.4999999999999998E-2</v>
      </c>
      <c r="G1834" s="494">
        <v>31.34</v>
      </c>
      <c r="H1834" s="494">
        <v>1.41</v>
      </c>
    </row>
    <row r="1835" spans="1:8">
      <c r="B1835" s="130" t="s">
        <v>625</v>
      </c>
      <c r="C1835" s="229" t="s">
        <v>626</v>
      </c>
      <c r="D1835" s="130" t="s">
        <v>119</v>
      </c>
      <c r="E1835" s="130" t="s">
        <v>121</v>
      </c>
      <c r="F1835" s="230">
        <v>8.8999999999999996E-2</v>
      </c>
      <c r="G1835" s="494">
        <v>23.75</v>
      </c>
      <c r="H1835" s="494">
        <v>2.11</v>
      </c>
    </row>
    <row r="1836" spans="1:8" ht="12.75" customHeight="1">
      <c r="B1836" s="105"/>
      <c r="C1836" s="105"/>
      <c r="D1836" s="105"/>
      <c r="E1836" s="105"/>
      <c r="F1836" s="629" t="s">
        <v>610</v>
      </c>
      <c r="G1836" s="629"/>
      <c r="H1836" s="495">
        <v>3.52</v>
      </c>
    </row>
    <row r="1837" spans="1:8" ht="12.75" customHeight="1">
      <c r="B1837" s="105"/>
      <c r="C1837" s="105"/>
      <c r="D1837" s="105"/>
      <c r="E1837" s="105"/>
      <c r="F1837" s="630" t="s">
        <v>464</v>
      </c>
      <c r="G1837" s="630"/>
      <c r="H1837" s="102">
        <v>3.7</v>
      </c>
    </row>
    <row r="1838" spans="1:8">
      <c r="B1838" s="105"/>
      <c r="C1838" s="105"/>
      <c r="D1838" s="105"/>
      <c r="E1838" s="105"/>
      <c r="F1838" s="634"/>
      <c r="G1838" s="634"/>
      <c r="H1838" s="634"/>
    </row>
    <row r="1839" spans="1:8" s="220" customFormat="1" ht="27" customHeight="1">
      <c r="A1839" s="178" t="str">
        <f>'3 - PLAN. ORÇAMENTÁRIA'!A356</f>
        <v>4.4.1.2.4</v>
      </c>
      <c r="B1839" s="178">
        <f>VLOOKUP(A1839,'3 - PLAN. ORÇAMENTÁRIA'!$A$16:$B$721,2,FALSE)</f>
        <v>103946</v>
      </c>
      <c r="C1839" s="631" t="str">
        <f>VLOOKUP(A1839,'3 - PLAN. ORÇAMENTÁRIA'!$A$16:$C$721,3,FALSE)</f>
        <v>PLANTIO DE GRAMA ESMERALDA OU SÃO CARLOS OU CURITIBANA (VÃOS DO PISOGRAMA)</v>
      </c>
      <c r="D1839" s="632"/>
      <c r="E1839" s="632"/>
      <c r="F1839" s="632"/>
      <c r="G1839" s="633"/>
      <c r="H1839" s="433" t="str">
        <f>VLOOKUP(A1839,'3 - PLAN. ORÇAMENTÁRIA'!$A$17:$E$721,5,FALSE)</f>
        <v>M2</v>
      </c>
    </row>
    <row r="1840" spans="1:8">
      <c r="B1840" s="628" t="s">
        <v>593</v>
      </c>
      <c r="C1840" s="628"/>
      <c r="D1840" s="103" t="s">
        <v>579</v>
      </c>
      <c r="E1840" s="103" t="s">
        <v>580</v>
      </c>
      <c r="F1840" s="103" t="s">
        <v>581</v>
      </c>
      <c r="G1840" s="103" t="s">
        <v>582</v>
      </c>
      <c r="H1840" s="103" t="s">
        <v>583</v>
      </c>
    </row>
    <row r="1841" spans="1:8">
      <c r="B1841" s="130" t="s">
        <v>1564</v>
      </c>
      <c r="C1841" s="229" t="s">
        <v>1565</v>
      </c>
      <c r="D1841" s="130" t="s">
        <v>119</v>
      </c>
      <c r="E1841" s="130" t="s">
        <v>139</v>
      </c>
      <c r="F1841" s="230">
        <v>1</v>
      </c>
      <c r="G1841" s="494">
        <v>18</v>
      </c>
      <c r="H1841" s="494">
        <v>18</v>
      </c>
    </row>
    <row r="1842" spans="1:8">
      <c r="B1842" s="105"/>
      <c r="C1842" s="105"/>
      <c r="D1842" s="105"/>
      <c r="E1842" s="105"/>
      <c r="F1842" s="629" t="s">
        <v>604</v>
      </c>
      <c r="G1842" s="629"/>
      <c r="H1842" s="495">
        <v>18</v>
      </c>
    </row>
    <row r="1843" spans="1:8" ht="12.75" customHeight="1">
      <c r="B1843" s="628" t="s">
        <v>607</v>
      </c>
      <c r="C1843" s="628"/>
      <c r="D1843" s="103" t="s">
        <v>579</v>
      </c>
      <c r="E1843" s="103" t="s">
        <v>580</v>
      </c>
      <c r="F1843" s="103" t="s">
        <v>581</v>
      </c>
      <c r="G1843" s="103" t="s">
        <v>582</v>
      </c>
      <c r="H1843" s="103" t="s">
        <v>583</v>
      </c>
    </row>
    <row r="1844" spans="1:8">
      <c r="B1844" s="130" t="s">
        <v>1341</v>
      </c>
      <c r="C1844" s="229" t="s">
        <v>634</v>
      </c>
      <c r="D1844" s="130" t="s">
        <v>119</v>
      </c>
      <c r="E1844" s="130" t="s">
        <v>121</v>
      </c>
      <c r="F1844" s="230">
        <v>2.7699999999999999E-2</v>
      </c>
      <c r="G1844" s="494">
        <v>28</v>
      </c>
      <c r="H1844" s="494">
        <v>0.78</v>
      </c>
    </row>
    <row r="1845" spans="1:8">
      <c r="B1845" s="130" t="s">
        <v>625</v>
      </c>
      <c r="C1845" s="229" t="s">
        <v>626</v>
      </c>
      <c r="D1845" s="130" t="s">
        <v>119</v>
      </c>
      <c r="E1845" s="130" t="s">
        <v>121</v>
      </c>
      <c r="F1845" s="230">
        <v>0.1386</v>
      </c>
      <c r="G1845" s="494">
        <v>23.75</v>
      </c>
      <c r="H1845" s="494">
        <v>3.29</v>
      </c>
    </row>
    <row r="1846" spans="1:8" ht="12.75" customHeight="1">
      <c r="B1846" s="105"/>
      <c r="C1846" s="105"/>
      <c r="D1846" s="105"/>
      <c r="E1846" s="105"/>
      <c r="F1846" s="629" t="s">
        <v>610</v>
      </c>
      <c r="G1846" s="629"/>
      <c r="H1846" s="495">
        <v>4.07</v>
      </c>
    </row>
    <row r="1847" spans="1:8" ht="12.75" customHeight="1">
      <c r="B1847" s="105"/>
      <c r="C1847" s="105"/>
      <c r="D1847" s="105"/>
      <c r="E1847" s="105"/>
      <c r="F1847" s="630" t="s">
        <v>464</v>
      </c>
      <c r="G1847" s="630"/>
      <c r="H1847" s="102">
        <v>22.06</v>
      </c>
    </row>
    <row r="1848" spans="1:8">
      <c r="B1848" s="105"/>
      <c r="C1848" s="105"/>
      <c r="D1848" s="105"/>
      <c r="E1848" s="105"/>
      <c r="F1848" s="431"/>
      <c r="G1848" s="431"/>
      <c r="H1848" s="431"/>
    </row>
    <row r="1849" spans="1:8" s="220" customFormat="1" ht="27" customHeight="1">
      <c r="A1849" s="178" t="str">
        <f>'3 - PLAN. ORÇAMENTÁRIA'!A358</f>
        <v>4.4.1.3.1</v>
      </c>
      <c r="B1849" s="178">
        <f>VLOOKUP(A1849,'3 - PLAN. ORÇAMENTÁRIA'!$A$16:$B$721,2,FALSE)</f>
        <v>97083</v>
      </c>
      <c r="C1849" s="631" t="str">
        <f>VLOOKUP(A1849,'3 - PLAN. ORÇAMENTÁRIA'!$A$16:$C$721,3,FALSE)</f>
        <v>COMPACTAÇÃO MECÂNICA DE SOLO PARA EXECUÇÃO DE RADIER, PISO DE CONCRETO OU LAJE SOBRE SOLO, COM COMPACTADOR DE SOLOS A PERCUSSÃO. AF_09/2021</v>
      </c>
      <c r="D1849" s="632"/>
      <c r="E1849" s="632"/>
      <c r="F1849" s="632"/>
      <c r="G1849" s="633"/>
      <c r="H1849" s="433" t="str">
        <f>VLOOKUP(A1849,'3 - PLAN. ORÇAMENTÁRIA'!$A$17:$E$721,5,FALSE)</f>
        <v>M2</v>
      </c>
    </row>
    <row r="1850" spans="1:8" ht="12.75" customHeight="1">
      <c r="B1850" s="628" t="s">
        <v>1301</v>
      </c>
      <c r="C1850" s="628"/>
      <c r="D1850" s="103" t="s">
        <v>579</v>
      </c>
      <c r="E1850" s="103" t="s">
        <v>580</v>
      </c>
      <c r="F1850" s="103" t="s">
        <v>581</v>
      </c>
      <c r="G1850" s="103" t="s">
        <v>582</v>
      </c>
      <c r="H1850" s="103" t="s">
        <v>583</v>
      </c>
    </row>
    <row r="1851" spans="1:8" ht="25.5">
      <c r="B1851" s="130" t="s">
        <v>1585</v>
      </c>
      <c r="C1851" s="229" t="s">
        <v>1586</v>
      </c>
      <c r="D1851" s="130" t="s">
        <v>119</v>
      </c>
      <c r="E1851" s="130" t="s">
        <v>1304</v>
      </c>
      <c r="F1851" s="230">
        <v>4.2000000000000003E-2</v>
      </c>
      <c r="G1851" s="494">
        <v>0.86</v>
      </c>
      <c r="H1851" s="494">
        <v>0.04</v>
      </c>
    </row>
    <row r="1852" spans="1:8" ht="25.5">
      <c r="B1852" s="130" t="s">
        <v>1587</v>
      </c>
      <c r="C1852" s="229" t="s">
        <v>1588</v>
      </c>
      <c r="D1852" s="130" t="s">
        <v>119</v>
      </c>
      <c r="E1852" s="130" t="s">
        <v>1307</v>
      </c>
      <c r="F1852" s="230">
        <v>2.5000000000000001E-2</v>
      </c>
      <c r="G1852" s="494">
        <v>6.35</v>
      </c>
      <c r="H1852" s="494">
        <v>0.16</v>
      </c>
    </row>
    <row r="1853" spans="1:8" ht="12.75" customHeight="1">
      <c r="B1853" s="105"/>
      <c r="C1853" s="105"/>
      <c r="D1853" s="105"/>
      <c r="E1853" s="105"/>
      <c r="F1853" s="629" t="s">
        <v>1308</v>
      </c>
      <c r="G1853" s="629"/>
      <c r="H1853" s="495">
        <v>0.2</v>
      </c>
    </row>
    <row r="1854" spans="1:8" ht="12.75" customHeight="1">
      <c r="B1854" s="628" t="s">
        <v>607</v>
      </c>
      <c r="C1854" s="628"/>
      <c r="D1854" s="103" t="s">
        <v>579</v>
      </c>
      <c r="E1854" s="103" t="s">
        <v>580</v>
      </c>
      <c r="F1854" s="103" t="s">
        <v>581</v>
      </c>
      <c r="G1854" s="103" t="s">
        <v>582</v>
      </c>
      <c r="H1854" s="103" t="s">
        <v>583</v>
      </c>
    </row>
    <row r="1855" spans="1:8">
      <c r="B1855" s="130" t="s">
        <v>639</v>
      </c>
      <c r="C1855" s="229" t="s">
        <v>640</v>
      </c>
      <c r="D1855" s="130" t="s">
        <v>119</v>
      </c>
      <c r="E1855" s="130" t="s">
        <v>121</v>
      </c>
      <c r="F1855" s="230">
        <v>4.4999999999999998E-2</v>
      </c>
      <c r="G1855" s="494">
        <v>31.34</v>
      </c>
      <c r="H1855" s="494">
        <v>1.41</v>
      </c>
    </row>
    <row r="1856" spans="1:8">
      <c r="B1856" s="130" t="s">
        <v>625</v>
      </c>
      <c r="C1856" s="229" t="s">
        <v>626</v>
      </c>
      <c r="D1856" s="130" t="s">
        <v>119</v>
      </c>
      <c r="E1856" s="130" t="s">
        <v>121</v>
      </c>
      <c r="F1856" s="230">
        <v>8.8999999999999996E-2</v>
      </c>
      <c r="G1856" s="494">
        <v>23.75</v>
      </c>
      <c r="H1856" s="494">
        <v>2.11</v>
      </c>
    </row>
    <row r="1857" spans="1:8" ht="12.75" customHeight="1">
      <c r="B1857" s="105"/>
      <c r="C1857" s="105"/>
      <c r="D1857" s="105"/>
      <c r="E1857" s="105"/>
      <c r="F1857" s="629" t="s">
        <v>610</v>
      </c>
      <c r="G1857" s="629"/>
      <c r="H1857" s="495">
        <v>3.52</v>
      </c>
    </row>
    <row r="1858" spans="1:8" ht="12.75" customHeight="1">
      <c r="B1858" s="105"/>
      <c r="C1858" s="105"/>
      <c r="D1858" s="105"/>
      <c r="E1858" s="105"/>
      <c r="F1858" s="630" t="s">
        <v>464</v>
      </c>
      <c r="G1858" s="630"/>
      <c r="H1858" s="102">
        <v>3.7</v>
      </c>
    </row>
    <row r="1859" spans="1:8">
      <c r="B1859" s="105"/>
      <c r="C1859" s="105"/>
      <c r="D1859" s="105"/>
      <c r="E1859" s="105"/>
      <c r="F1859" s="634"/>
      <c r="G1859" s="634"/>
      <c r="H1859" s="634"/>
    </row>
    <row r="1860" spans="1:8" s="220" customFormat="1" ht="27" customHeight="1">
      <c r="A1860" s="178" t="str">
        <f>'3 - PLAN. ORÇAMENTÁRIA'!A359</f>
        <v>4.4.1.3.2</v>
      </c>
      <c r="B1860" s="178">
        <f>VLOOKUP(A1860,'3 - PLAN. ORÇAMENTÁRIA'!$A$16:$B$721,2,FALSE)</f>
        <v>100324</v>
      </c>
      <c r="C1860" s="631" t="str">
        <f>VLOOKUP(A1860,'3 - PLAN. ORÇAMENTÁRIA'!$A$16:$C$721,3,FALSE)</f>
        <v>LASTRO COM MATERIAL GRANULAR (PEDRA BRITADA N.1 E PEDRA BRITADA N.2), APLICADO EM PISOS OU LAJES SOBRE SOLO, ESPESSURA DE *8 CM*. AF_01/2024</v>
      </c>
      <c r="D1860" s="632"/>
      <c r="E1860" s="632"/>
      <c r="F1860" s="632"/>
      <c r="G1860" s="633"/>
      <c r="H1860" s="493" t="str">
        <f>VLOOKUP(A1860,'3 - PLAN. ORÇAMENTÁRIA'!$A$17:$E$721,5,FALSE)</f>
        <v>M3</v>
      </c>
    </row>
    <row r="1861" spans="1:8" ht="12.75" customHeight="1">
      <c r="B1861" s="628" t="s">
        <v>1301</v>
      </c>
      <c r="C1861" s="628"/>
      <c r="D1861" s="103" t="s">
        <v>579</v>
      </c>
      <c r="E1861" s="103" t="s">
        <v>580</v>
      </c>
      <c r="F1861" s="103" t="s">
        <v>581</v>
      </c>
      <c r="G1861" s="103" t="s">
        <v>582</v>
      </c>
      <c r="H1861" s="103" t="s">
        <v>583</v>
      </c>
    </row>
    <row r="1862" spans="1:8" ht="25.5">
      <c r="B1862" s="130" t="s">
        <v>1517</v>
      </c>
      <c r="C1862" s="229" t="s">
        <v>1518</v>
      </c>
      <c r="D1862" s="130" t="s">
        <v>119</v>
      </c>
      <c r="E1862" s="130" t="s">
        <v>1304</v>
      </c>
      <c r="F1862" s="230">
        <v>0.03</v>
      </c>
      <c r="G1862" s="494">
        <v>0.72</v>
      </c>
      <c r="H1862" s="494">
        <v>0.02</v>
      </c>
    </row>
    <row r="1863" spans="1:8" ht="25.5">
      <c r="B1863" s="130" t="s">
        <v>1519</v>
      </c>
      <c r="C1863" s="229" t="s">
        <v>1520</v>
      </c>
      <c r="D1863" s="130" t="s">
        <v>119</v>
      </c>
      <c r="E1863" s="130" t="s">
        <v>1307</v>
      </c>
      <c r="F1863" s="230">
        <v>3.2000000000000001E-2</v>
      </c>
      <c r="G1863" s="494">
        <v>10.01</v>
      </c>
      <c r="H1863" s="494">
        <v>0.32</v>
      </c>
    </row>
    <row r="1864" spans="1:8" ht="12.75" customHeight="1">
      <c r="B1864" s="105"/>
      <c r="C1864" s="105"/>
      <c r="D1864" s="105"/>
      <c r="E1864" s="105"/>
      <c r="F1864" s="629" t="s">
        <v>1308</v>
      </c>
      <c r="G1864" s="629"/>
      <c r="H1864" s="495">
        <v>0.34</v>
      </c>
    </row>
    <row r="1865" spans="1:8">
      <c r="B1865" s="628" t="s">
        <v>593</v>
      </c>
      <c r="C1865" s="628"/>
      <c r="D1865" s="103" t="s">
        <v>579</v>
      </c>
      <c r="E1865" s="103" t="s">
        <v>580</v>
      </c>
      <c r="F1865" s="103" t="s">
        <v>581</v>
      </c>
      <c r="G1865" s="103" t="s">
        <v>582</v>
      </c>
      <c r="H1865" s="103" t="s">
        <v>583</v>
      </c>
    </row>
    <row r="1866" spans="1:8">
      <c r="B1866" s="130" t="s">
        <v>1521</v>
      </c>
      <c r="C1866" s="229" t="s">
        <v>1522</v>
      </c>
      <c r="D1866" s="130" t="s">
        <v>119</v>
      </c>
      <c r="E1866" s="130" t="s">
        <v>167</v>
      </c>
      <c r="F1866" s="230">
        <v>0.59499999999999997</v>
      </c>
      <c r="G1866" s="494">
        <v>197.39</v>
      </c>
      <c r="H1866" s="494">
        <v>117.45</v>
      </c>
    </row>
    <row r="1867" spans="1:8">
      <c r="B1867" s="130" t="s">
        <v>661</v>
      </c>
      <c r="C1867" s="229" t="s">
        <v>662</v>
      </c>
      <c r="D1867" s="130" t="s">
        <v>119</v>
      </c>
      <c r="E1867" s="130" t="s">
        <v>167</v>
      </c>
      <c r="F1867" s="230">
        <v>0.59499999999999997</v>
      </c>
      <c r="G1867" s="494">
        <v>198.43</v>
      </c>
      <c r="H1867" s="494">
        <v>118.07</v>
      </c>
    </row>
    <row r="1868" spans="1:8">
      <c r="B1868" s="105"/>
      <c r="C1868" s="105"/>
      <c r="D1868" s="105"/>
      <c r="E1868" s="105"/>
      <c r="F1868" s="629" t="s">
        <v>604</v>
      </c>
      <c r="G1868" s="629"/>
      <c r="H1868" s="495">
        <v>235.52</v>
      </c>
    </row>
    <row r="1869" spans="1:8" ht="12.75" customHeight="1">
      <c r="B1869" s="628" t="s">
        <v>607</v>
      </c>
      <c r="C1869" s="628"/>
      <c r="D1869" s="103" t="s">
        <v>579</v>
      </c>
      <c r="E1869" s="103" t="s">
        <v>580</v>
      </c>
      <c r="F1869" s="103" t="s">
        <v>581</v>
      </c>
      <c r="G1869" s="103" t="s">
        <v>582</v>
      </c>
      <c r="H1869" s="103" t="s">
        <v>583</v>
      </c>
    </row>
    <row r="1870" spans="1:8">
      <c r="B1870" s="130" t="s">
        <v>639</v>
      </c>
      <c r="C1870" s="229" t="s">
        <v>640</v>
      </c>
      <c r="D1870" s="130" t="s">
        <v>119</v>
      </c>
      <c r="E1870" s="130" t="s">
        <v>121</v>
      </c>
      <c r="F1870" s="230">
        <v>1.579</v>
      </c>
      <c r="G1870" s="494">
        <v>31.34</v>
      </c>
      <c r="H1870" s="494">
        <v>49.49</v>
      </c>
    </row>
    <row r="1871" spans="1:8">
      <c r="B1871" s="130" t="s">
        <v>625</v>
      </c>
      <c r="C1871" s="229" t="s">
        <v>626</v>
      </c>
      <c r="D1871" s="130" t="s">
        <v>119</v>
      </c>
      <c r="E1871" s="130" t="s">
        <v>121</v>
      </c>
      <c r="F1871" s="230">
        <v>0.63400000000000001</v>
      </c>
      <c r="G1871" s="494">
        <v>23.75</v>
      </c>
      <c r="H1871" s="494">
        <v>15.06</v>
      </c>
    </row>
    <row r="1872" spans="1:8" ht="12.75" customHeight="1">
      <c r="B1872" s="105"/>
      <c r="C1872" s="105"/>
      <c r="D1872" s="105"/>
      <c r="E1872" s="105"/>
      <c r="F1872" s="629" t="s">
        <v>610</v>
      </c>
      <c r="G1872" s="629"/>
      <c r="H1872" s="495">
        <v>64.55</v>
      </c>
    </row>
    <row r="1873" spans="1:8" ht="12.75" customHeight="1">
      <c r="B1873" s="105"/>
      <c r="C1873" s="105"/>
      <c r="D1873" s="105"/>
      <c r="E1873" s="105"/>
      <c r="F1873" s="630" t="s">
        <v>464</v>
      </c>
      <c r="G1873" s="630"/>
      <c r="H1873" s="102">
        <v>300.37</v>
      </c>
    </row>
    <row r="1874" spans="1:8">
      <c r="B1874" s="105"/>
      <c r="C1874" s="105"/>
      <c r="D1874" s="105"/>
      <c r="E1874" s="105"/>
      <c r="F1874" s="634"/>
      <c r="G1874" s="634"/>
      <c r="H1874" s="634"/>
    </row>
    <row r="1875" spans="1:8" s="220" customFormat="1" ht="27" customHeight="1">
      <c r="A1875" s="178" t="str">
        <f>'3 - PLAN. ORÇAMENTÁRIA'!A360</f>
        <v>4.4.1.3.3</v>
      </c>
      <c r="B1875" s="178">
        <f>VLOOKUP(A1875,'3 - PLAN. ORÇAMENTÁRIA'!$A$16:$B$721,2,FALSE)</f>
        <v>94990</v>
      </c>
      <c r="C1875" s="631" t="str">
        <f>VLOOKUP(A1875,'3 - PLAN. ORÇAMENTÁRIA'!$A$16:$C$721,3,FALSE)</f>
        <v>EXECUÇÃO DE PASSEIO (CALÇADA) OU PISO DE CONCRETO COM CONCRETO MOLDADO IN LOCO, ESPESSURA 5 CM, FEITO EM OBRA, ACABAMENTO CONVENCIONAL, NÃO ARMADO. AF_08/2022</v>
      </c>
      <c r="D1875" s="632"/>
      <c r="E1875" s="632"/>
      <c r="F1875" s="632"/>
      <c r="G1875" s="633"/>
      <c r="H1875" s="493" t="str">
        <f>VLOOKUP(A1875,'3 - PLAN. ORÇAMENTÁRIA'!$A$17:$E$721,5,FALSE)</f>
        <v>M3</v>
      </c>
    </row>
    <row r="1876" spans="1:8">
      <c r="B1876" s="628" t="s">
        <v>593</v>
      </c>
      <c r="C1876" s="628"/>
      <c r="D1876" s="103" t="s">
        <v>579</v>
      </c>
      <c r="E1876" s="103" t="s">
        <v>580</v>
      </c>
      <c r="F1876" s="103" t="s">
        <v>581</v>
      </c>
      <c r="G1876" s="103" t="s">
        <v>582</v>
      </c>
      <c r="H1876" s="103" t="s">
        <v>583</v>
      </c>
    </row>
    <row r="1877" spans="1:8">
      <c r="B1877" s="130" t="s">
        <v>643</v>
      </c>
      <c r="C1877" s="229" t="s">
        <v>644</v>
      </c>
      <c r="D1877" s="130" t="s">
        <v>119</v>
      </c>
      <c r="E1877" s="130" t="s">
        <v>107</v>
      </c>
      <c r="F1877" s="230">
        <v>2.1299999999999999E-2</v>
      </c>
      <c r="G1877" s="494">
        <v>7.16</v>
      </c>
      <c r="H1877" s="494">
        <v>0.15</v>
      </c>
    </row>
    <row r="1878" spans="1:8">
      <c r="B1878" s="130" t="s">
        <v>1333</v>
      </c>
      <c r="C1878" s="229" t="s">
        <v>1334</v>
      </c>
      <c r="D1878" s="130" t="s">
        <v>119</v>
      </c>
      <c r="E1878" s="130" t="s">
        <v>200</v>
      </c>
      <c r="F1878" s="230">
        <v>0.2994</v>
      </c>
      <c r="G1878" s="494">
        <v>18.72</v>
      </c>
      <c r="H1878" s="494">
        <v>5.6</v>
      </c>
    </row>
    <row r="1879" spans="1:8">
      <c r="B1879" s="130" t="s">
        <v>1325</v>
      </c>
      <c r="C1879" s="229" t="s">
        <v>1326</v>
      </c>
      <c r="D1879" s="130" t="s">
        <v>119</v>
      </c>
      <c r="E1879" s="130" t="s">
        <v>173</v>
      </c>
      <c r="F1879" s="230">
        <v>3.125</v>
      </c>
      <c r="G1879" s="494">
        <v>3.94</v>
      </c>
      <c r="H1879" s="494">
        <v>12.31</v>
      </c>
    </row>
    <row r="1880" spans="1:8">
      <c r="B1880" s="130" t="s">
        <v>1397</v>
      </c>
      <c r="C1880" s="229" t="s">
        <v>1398</v>
      </c>
      <c r="D1880" s="130" t="s">
        <v>119</v>
      </c>
      <c r="E1880" s="130" t="s">
        <v>173</v>
      </c>
      <c r="F1880" s="230">
        <v>2.5</v>
      </c>
      <c r="G1880" s="494">
        <v>2.72</v>
      </c>
      <c r="H1880" s="494">
        <v>6.8</v>
      </c>
    </row>
    <row r="1881" spans="1:8">
      <c r="B1881" s="105"/>
      <c r="C1881" s="105"/>
      <c r="D1881" s="105"/>
      <c r="E1881" s="105"/>
      <c r="F1881" s="629" t="s">
        <v>604</v>
      </c>
      <c r="G1881" s="629"/>
      <c r="H1881" s="495">
        <v>24.86</v>
      </c>
    </row>
    <row r="1882" spans="1:8" ht="12.75" customHeight="1">
      <c r="B1882" s="628" t="s">
        <v>607</v>
      </c>
      <c r="C1882" s="628"/>
      <c r="D1882" s="103" t="s">
        <v>579</v>
      </c>
      <c r="E1882" s="103" t="s">
        <v>580</v>
      </c>
      <c r="F1882" s="103" t="s">
        <v>581</v>
      </c>
      <c r="G1882" s="103" t="s">
        <v>582</v>
      </c>
      <c r="H1882" s="103" t="s">
        <v>583</v>
      </c>
    </row>
    <row r="1883" spans="1:8">
      <c r="B1883" s="130" t="s">
        <v>1316</v>
      </c>
      <c r="C1883" s="229" t="s">
        <v>618</v>
      </c>
      <c r="D1883" s="130" t="s">
        <v>119</v>
      </c>
      <c r="E1883" s="130" t="s">
        <v>121</v>
      </c>
      <c r="F1883" s="230">
        <v>1.6268</v>
      </c>
      <c r="G1883" s="494">
        <v>30.91</v>
      </c>
      <c r="H1883" s="494">
        <v>50.28</v>
      </c>
    </row>
    <row r="1884" spans="1:8">
      <c r="B1884" s="130" t="s">
        <v>639</v>
      </c>
      <c r="C1884" s="229" t="s">
        <v>640</v>
      </c>
      <c r="D1884" s="130" t="s">
        <v>119</v>
      </c>
      <c r="E1884" s="130" t="s">
        <v>121</v>
      </c>
      <c r="F1884" s="230">
        <v>1.4149</v>
      </c>
      <c r="G1884" s="494">
        <v>31.34</v>
      </c>
      <c r="H1884" s="494">
        <v>44.34</v>
      </c>
    </row>
    <row r="1885" spans="1:8">
      <c r="B1885" s="130" t="s">
        <v>625</v>
      </c>
      <c r="C1885" s="229" t="s">
        <v>626</v>
      </c>
      <c r="D1885" s="130" t="s">
        <v>119</v>
      </c>
      <c r="E1885" s="130" t="s">
        <v>121</v>
      </c>
      <c r="F1885" s="230">
        <v>3.0417000000000001</v>
      </c>
      <c r="G1885" s="494">
        <v>23.75</v>
      </c>
      <c r="H1885" s="494">
        <v>72.239999999999995</v>
      </c>
    </row>
    <row r="1886" spans="1:8" ht="12.75" customHeight="1">
      <c r="B1886" s="105"/>
      <c r="C1886" s="105"/>
      <c r="D1886" s="105"/>
      <c r="E1886" s="105"/>
      <c r="F1886" s="629" t="s">
        <v>610</v>
      </c>
      <c r="G1886" s="629"/>
      <c r="H1886" s="495">
        <v>166.86</v>
      </c>
    </row>
    <row r="1887" spans="1:8">
      <c r="B1887" s="628" t="s">
        <v>586</v>
      </c>
      <c r="C1887" s="628"/>
      <c r="D1887" s="103" t="s">
        <v>579</v>
      </c>
      <c r="E1887" s="103" t="s">
        <v>580</v>
      </c>
      <c r="F1887" s="103" t="s">
        <v>581</v>
      </c>
      <c r="G1887" s="103" t="s">
        <v>582</v>
      </c>
      <c r="H1887" s="103" t="s">
        <v>583</v>
      </c>
    </row>
    <row r="1888" spans="1:8" ht="25.5">
      <c r="B1888" s="130" t="s">
        <v>3812</v>
      </c>
      <c r="C1888" s="229" t="s">
        <v>3285</v>
      </c>
      <c r="D1888" s="130" t="s">
        <v>119</v>
      </c>
      <c r="E1888" s="130" t="s">
        <v>167</v>
      </c>
      <c r="F1888" s="230">
        <v>1.2315</v>
      </c>
      <c r="G1888" s="494">
        <v>506.86</v>
      </c>
      <c r="H1888" s="494">
        <v>624.20000000000005</v>
      </c>
    </row>
    <row r="1889" spans="1:8">
      <c r="B1889" s="105"/>
      <c r="C1889" s="105"/>
      <c r="D1889" s="105"/>
      <c r="E1889" s="105"/>
      <c r="F1889" s="629" t="s">
        <v>587</v>
      </c>
      <c r="G1889" s="629"/>
      <c r="H1889" s="495">
        <v>624.20000000000005</v>
      </c>
    </row>
    <row r="1890" spans="1:8" ht="12.75" customHeight="1">
      <c r="B1890" s="105"/>
      <c r="C1890" s="105"/>
      <c r="D1890" s="105"/>
      <c r="E1890" s="105"/>
      <c r="F1890" s="630" t="s">
        <v>464</v>
      </c>
      <c r="G1890" s="630"/>
      <c r="H1890" s="102">
        <v>815.92</v>
      </c>
    </row>
    <row r="1891" spans="1:8">
      <c r="B1891" s="105"/>
      <c r="C1891" s="105"/>
      <c r="D1891" s="105"/>
      <c r="E1891" s="105"/>
      <c r="F1891" s="350"/>
      <c r="G1891" s="350"/>
      <c r="H1891" s="350"/>
    </row>
    <row r="1892" spans="1:8" s="220" customFormat="1" ht="27" customHeight="1">
      <c r="A1892" s="178" t="str">
        <f>'3 - PLAN. ORÇAMENTÁRIA'!A363</f>
        <v>4.4.1.4.1</v>
      </c>
      <c r="B1892" s="242">
        <f>VLOOKUP(A1892,'3 - PLAN. ORÇAMENTÁRIA'!$A$16:$B$721,2,FALSE)</f>
        <v>104658</v>
      </c>
      <c r="C1892" s="631" t="str">
        <f>VLOOKUP(A1892,'3 - PLAN. ORÇAMENTÁRIA'!$A$16:$C$721,3,FALSE)</f>
        <v>PISO PODOTÁTIL DE ALERTA OU DIRECIONAL, DE CONCRETO, *40 X 40*, ASSENTADO SOBRE ARGAMASSA. AF_03/2024</v>
      </c>
      <c r="D1892" s="632"/>
      <c r="E1892" s="632"/>
      <c r="F1892" s="632"/>
      <c r="G1892" s="633"/>
      <c r="H1892" s="131" t="str">
        <f>VLOOKUP(A1892,'3 - PLAN. ORÇAMENTÁRIA'!$A$17:$E$721,5,FALSE)</f>
        <v>M2</v>
      </c>
    </row>
    <row r="1893" spans="1:8" ht="12.75" customHeight="1">
      <c r="B1893" s="628" t="s">
        <v>593</v>
      </c>
      <c r="C1893" s="628"/>
      <c r="D1893" s="103" t="s">
        <v>579</v>
      </c>
      <c r="E1893" s="103" t="s">
        <v>580</v>
      </c>
      <c r="F1893" s="103" t="s">
        <v>581</v>
      </c>
      <c r="G1893" s="103" t="s">
        <v>582</v>
      </c>
      <c r="H1893" s="103" t="s">
        <v>583</v>
      </c>
    </row>
    <row r="1894" spans="1:8">
      <c r="B1894" s="130" t="s">
        <v>1589</v>
      </c>
      <c r="C1894" s="229" t="s">
        <v>1590</v>
      </c>
      <c r="D1894" s="130" t="s">
        <v>119</v>
      </c>
      <c r="E1894" s="130" t="s">
        <v>200</v>
      </c>
      <c r="F1894" s="230">
        <v>8.6199999999999992</v>
      </c>
      <c r="G1894" s="494">
        <v>1.26</v>
      </c>
      <c r="H1894" s="494">
        <v>10.86</v>
      </c>
    </row>
    <row r="1895" spans="1:8" ht="25.5">
      <c r="B1895" s="130" t="s">
        <v>1591</v>
      </c>
      <c r="C1895" s="229" t="s">
        <v>1592</v>
      </c>
      <c r="D1895" s="130" t="s">
        <v>119</v>
      </c>
      <c r="E1895" s="130" t="s">
        <v>144</v>
      </c>
      <c r="F1895" s="230">
        <v>6.4375</v>
      </c>
      <c r="G1895" s="494">
        <v>18.27</v>
      </c>
      <c r="H1895" s="494">
        <v>117.61</v>
      </c>
    </row>
    <row r="1896" spans="1:8" ht="12.75" customHeight="1">
      <c r="B1896" s="130" t="s">
        <v>1593</v>
      </c>
      <c r="C1896" s="229" t="s">
        <v>1594</v>
      </c>
      <c r="D1896" s="130" t="s">
        <v>119</v>
      </c>
      <c r="E1896" s="130" t="s">
        <v>200</v>
      </c>
      <c r="F1896" s="230">
        <v>0.24</v>
      </c>
      <c r="G1896" s="494">
        <v>3.99</v>
      </c>
      <c r="H1896" s="494">
        <v>0.96</v>
      </c>
    </row>
    <row r="1897" spans="1:8" ht="12.75" customHeight="1">
      <c r="B1897" s="105"/>
      <c r="C1897" s="105"/>
      <c r="D1897" s="105"/>
      <c r="E1897" s="105"/>
      <c r="F1897" s="629" t="s">
        <v>604</v>
      </c>
      <c r="G1897" s="629"/>
      <c r="H1897" s="495">
        <v>129.43</v>
      </c>
    </row>
    <row r="1898" spans="1:8" ht="12.75" customHeight="1">
      <c r="B1898" s="628" t="s">
        <v>607</v>
      </c>
      <c r="C1898" s="628"/>
      <c r="D1898" s="103" t="s">
        <v>579</v>
      </c>
      <c r="E1898" s="103" t="s">
        <v>580</v>
      </c>
      <c r="F1898" s="103" t="s">
        <v>581</v>
      </c>
      <c r="G1898" s="103" t="s">
        <v>582</v>
      </c>
      <c r="H1898" s="103" t="s">
        <v>583</v>
      </c>
    </row>
    <row r="1899" spans="1:8">
      <c r="B1899" s="130" t="s">
        <v>639</v>
      </c>
      <c r="C1899" s="229" t="s">
        <v>640</v>
      </c>
      <c r="D1899" s="130" t="s">
        <v>119</v>
      </c>
      <c r="E1899" s="130" t="s">
        <v>121</v>
      </c>
      <c r="F1899" s="230">
        <v>0.63900000000000001</v>
      </c>
      <c r="G1899" s="494">
        <v>31.34</v>
      </c>
      <c r="H1899" s="494">
        <v>20.03</v>
      </c>
    </row>
    <row r="1900" spans="1:8" ht="12.75" customHeight="1">
      <c r="B1900" s="130" t="s">
        <v>625</v>
      </c>
      <c r="C1900" s="229" t="s">
        <v>626</v>
      </c>
      <c r="D1900" s="130" t="s">
        <v>119</v>
      </c>
      <c r="E1900" s="130" t="s">
        <v>121</v>
      </c>
      <c r="F1900" s="230">
        <v>1.2789999999999999</v>
      </c>
      <c r="G1900" s="494">
        <v>23.75</v>
      </c>
      <c r="H1900" s="494">
        <v>30.38</v>
      </c>
    </row>
    <row r="1901" spans="1:8" ht="12.75" customHeight="1">
      <c r="B1901" s="105"/>
      <c r="C1901" s="105"/>
      <c r="D1901" s="105"/>
      <c r="E1901" s="105"/>
      <c r="F1901" s="629" t="s">
        <v>610</v>
      </c>
      <c r="G1901" s="629"/>
      <c r="H1901" s="495">
        <v>50.41</v>
      </c>
    </row>
    <row r="1902" spans="1:8" ht="12.75" customHeight="1">
      <c r="B1902" s="105"/>
      <c r="C1902" s="105"/>
      <c r="D1902" s="105"/>
      <c r="E1902" s="105"/>
      <c r="F1902" s="630" t="s">
        <v>464</v>
      </c>
      <c r="G1902" s="630"/>
      <c r="H1902" s="102">
        <v>179.81</v>
      </c>
    </row>
    <row r="1903" spans="1:8">
      <c r="B1903" s="105"/>
      <c r="C1903" s="105"/>
      <c r="D1903" s="105"/>
      <c r="E1903" s="105"/>
      <c r="F1903" s="274"/>
      <c r="G1903" s="270"/>
      <c r="H1903" s="102"/>
    </row>
    <row r="1904" spans="1:8" s="220" customFormat="1" ht="27" customHeight="1">
      <c r="A1904" s="178" t="str">
        <f>'3 - PLAN. ORÇAMENTÁRIA'!A365</f>
        <v>4.4.1.4.3</v>
      </c>
      <c r="B1904" s="242">
        <f>VLOOKUP(A1904,'3 - PLAN. ORÇAMENTÁRIA'!$A$16:$B$721,2,FALSE)</f>
        <v>102500</v>
      </c>
      <c r="C1904" s="631" t="str">
        <f>VLOOKUP(A1904,'3 - PLAN. ORÇAMENTÁRIA'!$A$16:$C$721,3,FALSE)</f>
        <v xml:space="preserve">	PINTURA DE DEMARCAÇÃO DE VAGA COM TINTA ACRÍLICA, E = 10 CM, APLICAÇÃO MANUAL. AF_05/2021</v>
      </c>
      <c r="D1904" s="632"/>
      <c r="E1904" s="632"/>
      <c r="F1904" s="632"/>
      <c r="G1904" s="633"/>
      <c r="H1904" s="131" t="str">
        <f>VLOOKUP(A1904,'3 - PLAN. ORÇAMENTÁRIA'!$A$17:$E$721,5,FALSE)</f>
        <v>M</v>
      </c>
    </row>
    <row r="1905" spans="1:8" ht="12.75" customHeight="1">
      <c r="B1905" s="628" t="s">
        <v>593</v>
      </c>
      <c r="C1905" s="628"/>
      <c r="D1905" s="103" t="s">
        <v>579</v>
      </c>
      <c r="E1905" s="103" t="s">
        <v>580</v>
      </c>
      <c r="F1905" s="103" t="s">
        <v>581</v>
      </c>
      <c r="G1905" s="103" t="s">
        <v>582</v>
      </c>
      <c r="H1905" s="103" t="s">
        <v>583</v>
      </c>
    </row>
    <row r="1906" spans="1:8">
      <c r="B1906" s="130" t="s">
        <v>1529</v>
      </c>
      <c r="C1906" s="229" t="s">
        <v>3791</v>
      </c>
      <c r="D1906" s="130" t="s">
        <v>119</v>
      </c>
      <c r="E1906" s="130" t="s">
        <v>144</v>
      </c>
      <c r="F1906" s="230">
        <v>0.04</v>
      </c>
      <c r="G1906" s="494">
        <v>10.52</v>
      </c>
      <c r="H1906" s="494">
        <v>0.42</v>
      </c>
    </row>
    <row r="1907" spans="1:8">
      <c r="B1907" s="130" t="s">
        <v>1601</v>
      </c>
      <c r="C1907" s="229" t="s">
        <v>1602</v>
      </c>
      <c r="D1907" s="130" t="s">
        <v>119</v>
      </c>
      <c r="E1907" s="130" t="s">
        <v>107</v>
      </c>
      <c r="F1907" s="230">
        <v>4.2999999999999997E-2</v>
      </c>
      <c r="G1907" s="494">
        <v>21.06</v>
      </c>
      <c r="H1907" s="494">
        <v>0.91</v>
      </c>
    </row>
    <row r="1908" spans="1:8">
      <c r="B1908" s="105"/>
      <c r="C1908" s="105"/>
      <c r="D1908" s="105"/>
      <c r="E1908" s="105"/>
      <c r="F1908" s="629" t="s">
        <v>604</v>
      </c>
      <c r="G1908" s="629"/>
      <c r="H1908" s="495">
        <v>1.33</v>
      </c>
    </row>
    <row r="1909" spans="1:8" ht="12.75" customHeight="1">
      <c r="B1909" s="628" t="s">
        <v>607</v>
      </c>
      <c r="C1909" s="628"/>
      <c r="D1909" s="103" t="s">
        <v>579</v>
      </c>
      <c r="E1909" s="103" t="s">
        <v>580</v>
      </c>
      <c r="F1909" s="103" t="s">
        <v>581</v>
      </c>
      <c r="G1909" s="103" t="s">
        <v>582</v>
      </c>
      <c r="H1909" s="103" t="s">
        <v>583</v>
      </c>
    </row>
    <row r="1910" spans="1:8">
      <c r="B1910" s="130" t="s">
        <v>1450</v>
      </c>
      <c r="C1910" s="229" t="s">
        <v>663</v>
      </c>
      <c r="D1910" s="130" t="s">
        <v>119</v>
      </c>
      <c r="E1910" s="130" t="s">
        <v>121</v>
      </c>
      <c r="F1910" s="230">
        <v>8.3000000000000004E-2</v>
      </c>
      <c r="G1910" s="494">
        <v>33.01</v>
      </c>
      <c r="H1910" s="494">
        <v>2.74</v>
      </c>
    </row>
    <row r="1911" spans="1:8">
      <c r="B1911" s="130" t="s">
        <v>625</v>
      </c>
      <c r="C1911" s="229" t="s">
        <v>626</v>
      </c>
      <c r="D1911" s="130" t="s">
        <v>119</v>
      </c>
      <c r="E1911" s="130" t="s">
        <v>121</v>
      </c>
      <c r="F1911" s="230">
        <v>3.5000000000000003E-2</v>
      </c>
      <c r="G1911" s="494">
        <v>23.75</v>
      </c>
      <c r="H1911" s="494">
        <v>0.83</v>
      </c>
    </row>
    <row r="1912" spans="1:8" ht="12.75" customHeight="1">
      <c r="B1912" s="105"/>
      <c r="C1912" s="105"/>
      <c r="D1912" s="105"/>
      <c r="E1912" s="105"/>
      <c r="F1912" s="629" t="s">
        <v>610</v>
      </c>
      <c r="G1912" s="629"/>
      <c r="H1912" s="495">
        <v>3.57</v>
      </c>
    </row>
    <row r="1913" spans="1:8" ht="12.75" customHeight="1">
      <c r="B1913" s="105"/>
      <c r="C1913" s="105"/>
      <c r="D1913" s="105"/>
      <c r="E1913" s="105"/>
      <c r="F1913" s="630" t="s">
        <v>464</v>
      </c>
      <c r="G1913" s="630"/>
      <c r="H1913" s="102">
        <v>4.88</v>
      </c>
    </row>
    <row r="1914" spans="1:8">
      <c r="B1914" s="105"/>
      <c r="C1914" s="105"/>
      <c r="D1914" s="105"/>
      <c r="E1914" s="105"/>
      <c r="F1914" s="634"/>
      <c r="G1914" s="634"/>
      <c r="H1914" s="634"/>
    </row>
    <row r="1915" spans="1:8" s="220" customFormat="1" ht="27" customHeight="1">
      <c r="A1915" s="178" t="str">
        <f>'3 - PLAN. ORÇAMENTÁRIA'!A366</f>
        <v>4.4.1.4.4</v>
      </c>
      <c r="B1915" s="242">
        <f>VLOOKUP(A1915,'3 - PLAN. ORÇAMENTÁRIA'!$A$16:$B$721,2,FALSE)</f>
        <v>102501</v>
      </c>
      <c r="C1915" s="631" t="str">
        <f>VLOOKUP(A1915,'3 - PLAN. ORÇAMENTÁRIA'!$A$16:$C$721,3,FALSE)</f>
        <v>PINTURA DE FAIXA DE PEDESTRE OU ZEBRADA COM TINTA ACRÍLICA, E = 30 CM, APLICAÇÃO MANUAL. AF_05/2021</v>
      </c>
      <c r="D1915" s="632"/>
      <c r="E1915" s="632"/>
      <c r="F1915" s="632"/>
      <c r="G1915" s="633"/>
      <c r="H1915" s="437" t="str">
        <f>VLOOKUP(A1915,'3 - PLAN. ORÇAMENTÁRIA'!$A$17:$E$721,5,FALSE)</f>
        <v>M2</v>
      </c>
    </row>
    <row r="1916" spans="1:8">
      <c r="B1916" s="628" t="s">
        <v>593</v>
      </c>
      <c r="C1916" s="628"/>
      <c r="D1916" s="103" t="s">
        <v>579</v>
      </c>
      <c r="E1916" s="103" t="s">
        <v>580</v>
      </c>
      <c r="F1916" s="103" t="s">
        <v>581</v>
      </c>
      <c r="G1916" s="103" t="s">
        <v>582</v>
      </c>
      <c r="H1916" s="103" t="s">
        <v>583</v>
      </c>
    </row>
    <row r="1917" spans="1:8">
      <c r="B1917" s="130" t="s">
        <v>1529</v>
      </c>
      <c r="C1917" s="229" t="s">
        <v>3791</v>
      </c>
      <c r="D1917" s="130" t="s">
        <v>119</v>
      </c>
      <c r="E1917" s="130" t="s">
        <v>144</v>
      </c>
      <c r="F1917" s="230">
        <v>1.2E-2</v>
      </c>
      <c r="G1917" s="494">
        <v>10.52</v>
      </c>
      <c r="H1917" s="494">
        <v>0.13</v>
      </c>
    </row>
    <row r="1918" spans="1:8">
      <c r="B1918" s="130" t="s">
        <v>1601</v>
      </c>
      <c r="C1918" s="229" t="s">
        <v>1602</v>
      </c>
      <c r="D1918" s="130" t="s">
        <v>119</v>
      </c>
      <c r="E1918" s="130" t="s">
        <v>107</v>
      </c>
      <c r="F1918" s="230">
        <v>0.42699999999999999</v>
      </c>
      <c r="G1918" s="494">
        <v>21.06</v>
      </c>
      <c r="H1918" s="494">
        <v>8.99</v>
      </c>
    </row>
    <row r="1919" spans="1:8">
      <c r="B1919" s="105"/>
      <c r="C1919" s="105"/>
      <c r="D1919" s="105"/>
      <c r="E1919" s="105"/>
      <c r="F1919" s="629" t="s">
        <v>604</v>
      </c>
      <c r="G1919" s="629"/>
      <c r="H1919" s="495">
        <v>9.1199999999999992</v>
      </c>
    </row>
    <row r="1920" spans="1:8" ht="12.75" customHeight="1">
      <c r="B1920" s="628" t="s">
        <v>607</v>
      </c>
      <c r="C1920" s="628"/>
      <c r="D1920" s="103" t="s">
        <v>579</v>
      </c>
      <c r="E1920" s="103" t="s">
        <v>580</v>
      </c>
      <c r="F1920" s="103" t="s">
        <v>581</v>
      </c>
      <c r="G1920" s="103" t="s">
        <v>582</v>
      </c>
      <c r="H1920" s="103" t="s">
        <v>583</v>
      </c>
    </row>
    <row r="1921" spans="1:8">
      <c r="B1921" s="130" t="s">
        <v>1450</v>
      </c>
      <c r="C1921" s="229" t="s">
        <v>663</v>
      </c>
      <c r="D1921" s="130" t="s">
        <v>119</v>
      </c>
      <c r="E1921" s="130" t="s">
        <v>121</v>
      </c>
      <c r="F1921" s="230">
        <v>0.432</v>
      </c>
      <c r="G1921" s="494">
        <v>33.01</v>
      </c>
      <c r="H1921" s="494">
        <v>14.26</v>
      </c>
    </row>
    <row r="1922" spans="1:8">
      <c r="B1922" s="130" t="s">
        <v>625</v>
      </c>
      <c r="C1922" s="229" t="s">
        <v>626</v>
      </c>
      <c r="D1922" s="130" t="s">
        <v>119</v>
      </c>
      <c r="E1922" s="130" t="s">
        <v>121</v>
      </c>
      <c r="F1922" s="230">
        <v>0.18</v>
      </c>
      <c r="G1922" s="494">
        <v>23.75</v>
      </c>
      <c r="H1922" s="494">
        <v>4.28</v>
      </c>
    </row>
    <row r="1923" spans="1:8" ht="12.75" customHeight="1">
      <c r="B1923" s="105"/>
      <c r="C1923" s="105"/>
      <c r="D1923" s="105"/>
      <c r="E1923" s="105"/>
      <c r="F1923" s="629" t="s">
        <v>610</v>
      </c>
      <c r="G1923" s="629"/>
      <c r="H1923" s="495">
        <v>18.54</v>
      </c>
    </row>
    <row r="1924" spans="1:8" ht="12.75" customHeight="1">
      <c r="B1924" s="105"/>
      <c r="C1924" s="105"/>
      <c r="D1924" s="105"/>
      <c r="E1924" s="105"/>
      <c r="F1924" s="630" t="s">
        <v>464</v>
      </c>
      <c r="G1924" s="630"/>
      <c r="H1924" s="102">
        <v>27.64</v>
      </c>
    </row>
    <row r="1925" spans="1:8">
      <c r="B1925" s="105"/>
      <c r="C1925" s="105"/>
      <c r="D1925" s="105"/>
      <c r="E1925" s="105"/>
      <c r="F1925" s="634"/>
      <c r="G1925" s="634"/>
      <c r="H1925" s="634"/>
    </row>
    <row r="1926" spans="1:8" s="220" customFormat="1" ht="27" customHeight="1">
      <c r="A1926" s="178" t="str">
        <f>'3 - PLAN. ORÇAMENTÁRIA'!A368</f>
        <v>4.4.1.4.6</v>
      </c>
      <c r="B1926" s="178">
        <f>VLOOKUP(A1926,'3 - PLAN. ORÇAMENTÁRIA'!$A$16:$B$721,2,FALSE)</f>
        <v>102491</v>
      </c>
      <c r="C1926" s="631" t="str">
        <f>VLOOKUP(A1926,'3 - PLAN. ORÇAMENTÁRIA'!$A$16:$C$721,3,FALSE)</f>
        <v>PINTURA DE PISO/GUIA COM TINTA ACRÍLICA, APLICAÇÃO MANUAL, 2 DEMÃOS, INCLUSO FUNDO PREPARADOR. AF_05/2021</v>
      </c>
      <c r="D1926" s="632"/>
      <c r="E1926" s="632"/>
      <c r="F1926" s="632"/>
      <c r="G1926" s="633"/>
      <c r="H1926" s="433" t="str">
        <f>VLOOKUP(A1926,'3 - PLAN. ORÇAMENTÁRIA'!$A$17:$E$721,5,FALSE)</f>
        <v>M2</v>
      </c>
    </row>
    <row r="1927" spans="1:8">
      <c r="B1927" s="628" t="s">
        <v>593</v>
      </c>
      <c r="C1927" s="628"/>
      <c r="D1927" s="103" t="s">
        <v>579</v>
      </c>
      <c r="E1927" s="103" t="s">
        <v>580</v>
      </c>
      <c r="F1927" s="103" t="s">
        <v>581</v>
      </c>
      <c r="G1927" s="103" t="s">
        <v>582</v>
      </c>
      <c r="H1927" s="103" t="s">
        <v>583</v>
      </c>
    </row>
    <row r="1928" spans="1:8">
      <c r="B1928" s="130" t="s">
        <v>1529</v>
      </c>
      <c r="C1928" s="229" t="s">
        <v>3791</v>
      </c>
      <c r="D1928" s="130" t="s">
        <v>119</v>
      </c>
      <c r="E1928" s="130" t="s">
        <v>144</v>
      </c>
      <c r="F1928" s="230">
        <v>0.01</v>
      </c>
      <c r="G1928" s="494">
        <v>10.52</v>
      </c>
      <c r="H1928" s="494">
        <v>0.11</v>
      </c>
    </row>
    <row r="1929" spans="1:8">
      <c r="B1929" s="130" t="s">
        <v>1464</v>
      </c>
      <c r="C1929" s="229" t="s">
        <v>1465</v>
      </c>
      <c r="D1929" s="130" t="s">
        <v>119</v>
      </c>
      <c r="E1929" s="130" t="s">
        <v>107</v>
      </c>
      <c r="F1929" s="230">
        <v>0.16</v>
      </c>
      <c r="G1929" s="494">
        <v>12.45</v>
      </c>
      <c r="H1929" s="494">
        <v>1.99</v>
      </c>
    </row>
    <row r="1930" spans="1:8">
      <c r="B1930" s="130" t="s">
        <v>1601</v>
      </c>
      <c r="C1930" s="229" t="s">
        <v>1602</v>
      </c>
      <c r="D1930" s="130" t="s">
        <v>119</v>
      </c>
      <c r="E1930" s="130" t="s">
        <v>107</v>
      </c>
      <c r="F1930" s="230">
        <v>0.42699999999999999</v>
      </c>
      <c r="G1930" s="494">
        <v>21.06</v>
      </c>
      <c r="H1930" s="494">
        <v>8.99</v>
      </c>
    </row>
    <row r="1931" spans="1:8">
      <c r="B1931" s="105"/>
      <c r="C1931" s="105"/>
      <c r="D1931" s="105"/>
      <c r="E1931" s="105"/>
      <c r="F1931" s="629" t="s">
        <v>604</v>
      </c>
      <c r="G1931" s="629"/>
      <c r="H1931" s="495">
        <v>11.09</v>
      </c>
    </row>
    <row r="1932" spans="1:8" ht="12.75" customHeight="1">
      <c r="B1932" s="628" t="s">
        <v>607</v>
      </c>
      <c r="C1932" s="628"/>
      <c r="D1932" s="103" t="s">
        <v>579</v>
      </c>
      <c r="E1932" s="103" t="s">
        <v>580</v>
      </c>
      <c r="F1932" s="103" t="s">
        <v>581</v>
      </c>
      <c r="G1932" s="103" t="s">
        <v>582</v>
      </c>
      <c r="H1932" s="103" t="s">
        <v>583</v>
      </c>
    </row>
    <row r="1933" spans="1:8">
      <c r="B1933" s="130" t="s">
        <v>1450</v>
      </c>
      <c r="C1933" s="229" t="s">
        <v>663</v>
      </c>
      <c r="D1933" s="130" t="s">
        <v>119</v>
      </c>
      <c r="E1933" s="130" t="s">
        <v>121</v>
      </c>
      <c r="F1933" s="230">
        <v>0.27500000000000002</v>
      </c>
      <c r="G1933" s="494">
        <v>33.01</v>
      </c>
      <c r="H1933" s="494">
        <v>9.08</v>
      </c>
    </row>
    <row r="1934" spans="1:8">
      <c r="B1934" s="130" t="s">
        <v>625</v>
      </c>
      <c r="C1934" s="229" t="s">
        <v>626</v>
      </c>
      <c r="D1934" s="130" t="s">
        <v>119</v>
      </c>
      <c r="E1934" s="130" t="s">
        <v>121</v>
      </c>
      <c r="F1934" s="230">
        <v>0.115</v>
      </c>
      <c r="G1934" s="494">
        <v>23.75</v>
      </c>
      <c r="H1934" s="494">
        <v>2.73</v>
      </c>
    </row>
    <row r="1935" spans="1:8" ht="12.75" customHeight="1">
      <c r="B1935" s="105"/>
      <c r="C1935" s="105"/>
      <c r="D1935" s="105"/>
      <c r="E1935" s="105"/>
      <c r="F1935" s="629" t="s">
        <v>610</v>
      </c>
      <c r="G1935" s="629"/>
      <c r="H1935" s="495">
        <v>11.81</v>
      </c>
    </row>
    <row r="1936" spans="1:8" ht="12.75" customHeight="1">
      <c r="B1936" s="105"/>
      <c r="C1936" s="105"/>
      <c r="D1936" s="105"/>
      <c r="E1936" s="105"/>
      <c r="F1936" s="630" t="s">
        <v>464</v>
      </c>
      <c r="G1936" s="630"/>
      <c r="H1936" s="102">
        <v>22.88</v>
      </c>
    </row>
    <row r="1937" spans="1:8">
      <c r="B1937" s="105"/>
      <c r="C1937" s="105"/>
      <c r="D1937" s="105"/>
      <c r="E1937" s="105"/>
      <c r="F1937" s="274"/>
      <c r="G1937" s="274"/>
      <c r="H1937" s="321"/>
    </row>
    <row r="1938" spans="1:8" s="220" customFormat="1" ht="27" customHeight="1">
      <c r="A1938" s="178" t="str">
        <f>'3 - PLAN. ORÇAMENTÁRIA'!A371</f>
        <v>4.4.1.4.9</v>
      </c>
      <c r="B1938" s="178">
        <f>VLOOKUP(A1938,'3 - PLAN. ORÇAMENTÁRIA'!$A$16:$B$721,2,FALSE)</f>
        <v>101159</v>
      </c>
      <c r="C1938" s="631" t="str">
        <f>VLOOKUP(A1938,'3 - PLAN. ORÇAMENTÁRIA'!$A$16:$C$721,3,FALSE)</f>
        <v>ALVENARIA DE VEDAÇÃO DE BLOCOS CERÂMICOS MACIÇOS DE 5X10X20CM (ESPESSURA 10CM) E ARGAMASSA DE ASSENTAMENTO COM PREPARO EM BETONEIRA. AF_05/2020 (GUIA DE BALIZAMENTO DOS CORRIMÃOS)</v>
      </c>
      <c r="D1938" s="632"/>
      <c r="E1938" s="632"/>
      <c r="F1938" s="632"/>
      <c r="G1938" s="633"/>
      <c r="H1938" s="462" t="str">
        <f>VLOOKUP(A1938,'3 - PLAN. ORÇAMENTÁRIA'!$A$17:$E$721,5,FALSE)</f>
        <v>M2</v>
      </c>
    </row>
    <row r="1939" spans="1:8">
      <c r="B1939" s="628" t="s">
        <v>593</v>
      </c>
      <c r="C1939" s="628"/>
      <c r="D1939" s="103" t="s">
        <v>579</v>
      </c>
      <c r="E1939" s="103" t="s">
        <v>580</v>
      </c>
      <c r="F1939" s="103" t="s">
        <v>581</v>
      </c>
      <c r="G1939" s="103" t="s">
        <v>582</v>
      </c>
      <c r="H1939" s="103" t="s">
        <v>583</v>
      </c>
    </row>
    <row r="1940" spans="1:8">
      <c r="B1940" s="130" t="s">
        <v>1472</v>
      </c>
      <c r="C1940" s="229" t="s">
        <v>1473</v>
      </c>
      <c r="D1940" s="130" t="s">
        <v>119</v>
      </c>
      <c r="E1940" s="130" t="s">
        <v>144</v>
      </c>
      <c r="F1940" s="230">
        <v>73.489999999999995</v>
      </c>
      <c r="G1940" s="494">
        <v>0.61</v>
      </c>
      <c r="H1940" s="494">
        <v>44.83</v>
      </c>
    </row>
    <row r="1941" spans="1:8">
      <c r="B1941" s="105"/>
      <c r="C1941" s="105"/>
      <c r="D1941" s="105"/>
      <c r="E1941" s="105"/>
      <c r="F1941" s="629" t="s">
        <v>604</v>
      </c>
      <c r="G1941" s="629"/>
      <c r="H1941" s="495">
        <v>44.83</v>
      </c>
    </row>
    <row r="1942" spans="1:8" ht="12.75" customHeight="1">
      <c r="B1942" s="628" t="s">
        <v>607</v>
      </c>
      <c r="C1942" s="628"/>
      <c r="D1942" s="103" t="s">
        <v>579</v>
      </c>
      <c r="E1942" s="103" t="s">
        <v>580</v>
      </c>
      <c r="F1942" s="103" t="s">
        <v>581</v>
      </c>
      <c r="G1942" s="103" t="s">
        <v>582</v>
      </c>
      <c r="H1942" s="103" t="s">
        <v>583</v>
      </c>
    </row>
    <row r="1943" spans="1:8">
      <c r="B1943" s="130" t="s">
        <v>639</v>
      </c>
      <c r="C1943" s="229" t="s">
        <v>640</v>
      </c>
      <c r="D1943" s="130" t="s">
        <v>119</v>
      </c>
      <c r="E1943" s="130" t="s">
        <v>121</v>
      </c>
      <c r="F1943" s="230">
        <v>1.9390000000000001</v>
      </c>
      <c r="G1943" s="494">
        <v>31.34</v>
      </c>
      <c r="H1943" s="494">
        <v>60.77</v>
      </c>
    </row>
    <row r="1944" spans="1:8">
      <c r="B1944" s="130" t="s">
        <v>625</v>
      </c>
      <c r="C1944" s="229" t="s">
        <v>626</v>
      </c>
      <c r="D1944" s="130" t="s">
        <v>119</v>
      </c>
      <c r="E1944" s="130" t="s">
        <v>121</v>
      </c>
      <c r="F1944" s="230">
        <v>0.97</v>
      </c>
      <c r="G1944" s="494">
        <v>23.75</v>
      </c>
      <c r="H1944" s="494">
        <v>23.04</v>
      </c>
    </row>
    <row r="1945" spans="1:8" ht="12.75" customHeight="1">
      <c r="B1945" s="105"/>
      <c r="C1945" s="105"/>
      <c r="D1945" s="105"/>
      <c r="E1945" s="105"/>
      <c r="F1945" s="629" t="s">
        <v>610</v>
      </c>
      <c r="G1945" s="629"/>
      <c r="H1945" s="495">
        <v>83.81</v>
      </c>
    </row>
    <row r="1946" spans="1:8">
      <c r="B1946" s="628" t="s">
        <v>586</v>
      </c>
      <c r="C1946" s="628"/>
      <c r="D1946" s="103" t="s">
        <v>579</v>
      </c>
      <c r="E1946" s="103" t="s">
        <v>580</v>
      </c>
      <c r="F1946" s="103" t="s">
        <v>581</v>
      </c>
      <c r="G1946" s="103" t="s">
        <v>582</v>
      </c>
      <c r="H1946" s="103" t="s">
        <v>583</v>
      </c>
    </row>
    <row r="1947" spans="1:8" ht="38.25">
      <c r="B1947" s="130" t="s">
        <v>1460</v>
      </c>
      <c r="C1947" s="229" t="s">
        <v>1461</v>
      </c>
      <c r="D1947" s="130" t="s">
        <v>119</v>
      </c>
      <c r="E1947" s="130" t="s">
        <v>167</v>
      </c>
      <c r="F1947" s="230">
        <v>2.8000000000000001E-2</v>
      </c>
      <c r="G1947" s="494">
        <v>627.42999999999995</v>
      </c>
      <c r="H1947" s="494">
        <v>17.57</v>
      </c>
    </row>
    <row r="1948" spans="1:8">
      <c r="B1948" s="105"/>
      <c r="C1948" s="105"/>
      <c r="D1948" s="105"/>
      <c r="E1948" s="105"/>
      <c r="F1948" s="629" t="s">
        <v>587</v>
      </c>
      <c r="G1948" s="629"/>
      <c r="H1948" s="495">
        <v>17.57</v>
      </c>
    </row>
    <row r="1949" spans="1:8" ht="12.75" customHeight="1">
      <c r="B1949" s="105"/>
      <c r="C1949" s="105"/>
      <c r="D1949" s="105"/>
      <c r="E1949" s="105"/>
      <c r="F1949" s="630" t="s">
        <v>464</v>
      </c>
      <c r="G1949" s="630"/>
      <c r="H1949" s="102">
        <v>146.21</v>
      </c>
    </row>
    <row r="1950" spans="1:8">
      <c r="B1950" s="105"/>
      <c r="C1950" s="105"/>
      <c r="D1950" s="105"/>
      <c r="E1950" s="105"/>
      <c r="F1950" s="274"/>
      <c r="G1950" s="274"/>
      <c r="H1950" s="321"/>
    </row>
    <row r="1951" spans="1:8" s="220" customFormat="1" ht="27" customHeight="1">
      <c r="A1951" s="178" t="str">
        <f>'3 - PLAN. ORÇAMENTÁRIA'!A372</f>
        <v>4.4.1.4.10</v>
      </c>
      <c r="B1951" s="242">
        <f>VLOOKUP(A1951,'3 - PLAN. ORÇAMENTÁRIA'!$A$16:$B$721,2,FALSE)</f>
        <v>87548</v>
      </c>
      <c r="C1951" s="631" t="str">
        <f>VLOOKUP(A1951,'3 - PLAN. ORÇAMENTÁRIA'!$A$16:$C$721,3,FALSE)</f>
        <v>REBOCO, EM ARGAMASSA TRAÇO 1:2:8, PREPARO MANUAL, APLICADA MANUALMENTE EM PAREDES EXTERNAS DE AMBIENTES COM ÁREA MENOR OU IGUAL A 10M², E = 10MM, COM TALISCAS. AF_03/2024 (GUIA DE BALIZAMENTO DOS CORRIMÃOS)</v>
      </c>
      <c r="D1951" s="632"/>
      <c r="E1951" s="632"/>
      <c r="F1951" s="632"/>
      <c r="G1951" s="632"/>
      <c r="H1951" s="402" t="str">
        <f>VLOOKUP(A1951,'3 - PLAN. ORÇAMENTÁRIA'!$A$17:$E$721,5,FALSE)</f>
        <v>M2</v>
      </c>
    </row>
    <row r="1952" spans="1:8" ht="12.75" customHeight="1">
      <c r="B1952" s="628" t="s">
        <v>607</v>
      </c>
      <c r="C1952" s="628"/>
      <c r="D1952" s="103" t="s">
        <v>579</v>
      </c>
      <c r="E1952" s="103" t="s">
        <v>580</v>
      </c>
      <c r="F1952" s="103" t="s">
        <v>581</v>
      </c>
      <c r="G1952" s="103" t="s">
        <v>582</v>
      </c>
      <c r="H1952" s="103" t="s">
        <v>583</v>
      </c>
    </row>
    <row r="1953" spans="1:8">
      <c r="B1953" s="130" t="s">
        <v>639</v>
      </c>
      <c r="C1953" s="229" t="s">
        <v>640</v>
      </c>
      <c r="D1953" s="130" t="s">
        <v>119</v>
      </c>
      <c r="E1953" s="130" t="s">
        <v>121</v>
      </c>
      <c r="F1953" s="230">
        <v>0.37890000000000001</v>
      </c>
      <c r="G1953" s="494">
        <v>31.34</v>
      </c>
      <c r="H1953" s="494">
        <v>11.87</v>
      </c>
    </row>
    <row r="1954" spans="1:8">
      <c r="B1954" s="130" t="s">
        <v>625</v>
      </c>
      <c r="C1954" s="229" t="s">
        <v>626</v>
      </c>
      <c r="D1954" s="130" t="s">
        <v>119</v>
      </c>
      <c r="E1954" s="130" t="s">
        <v>121</v>
      </c>
      <c r="F1954" s="230">
        <v>0.18940000000000001</v>
      </c>
      <c r="G1954" s="494">
        <v>23.75</v>
      </c>
      <c r="H1954" s="494">
        <v>4.5</v>
      </c>
    </row>
    <row r="1955" spans="1:8" ht="12.75" customHeight="1">
      <c r="B1955" s="105"/>
      <c r="C1955" s="105"/>
      <c r="D1955" s="105"/>
      <c r="E1955" s="105"/>
      <c r="F1955" s="629" t="s">
        <v>610</v>
      </c>
      <c r="G1955" s="629"/>
      <c r="H1955" s="495">
        <v>16.37</v>
      </c>
    </row>
    <row r="1956" spans="1:8">
      <c r="B1956" s="628" t="s">
        <v>586</v>
      </c>
      <c r="C1956" s="628"/>
      <c r="D1956" s="103" t="s">
        <v>579</v>
      </c>
      <c r="E1956" s="103" t="s">
        <v>580</v>
      </c>
      <c r="F1956" s="103" t="s">
        <v>581</v>
      </c>
      <c r="G1956" s="103" t="s">
        <v>582</v>
      </c>
      <c r="H1956" s="103" t="s">
        <v>583</v>
      </c>
    </row>
    <row r="1957" spans="1:8" ht="38.25">
      <c r="B1957" s="130" t="s">
        <v>1462</v>
      </c>
      <c r="C1957" s="229" t="s">
        <v>1463</v>
      </c>
      <c r="D1957" s="130" t="s">
        <v>119</v>
      </c>
      <c r="E1957" s="130" t="s">
        <v>167</v>
      </c>
      <c r="F1957" s="230">
        <v>1.9400000000000001E-2</v>
      </c>
      <c r="G1957" s="494">
        <v>762.32</v>
      </c>
      <c r="H1957" s="494">
        <v>14.79</v>
      </c>
    </row>
    <row r="1958" spans="1:8">
      <c r="B1958" s="105"/>
      <c r="C1958" s="105"/>
      <c r="D1958" s="105"/>
      <c r="E1958" s="105"/>
      <c r="F1958" s="629" t="s">
        <v>587</v>
      </c>
      <c r="G1958" s="629"/>
      <c r="H1958" s="495">
        <v>14.79</v>
      </c>
    </row>
    <row r="1959" spans="1:8" ht="12.75" customHeight="1">
      <c r="B1959" s="105"/>
      <c r="C1959" s="105"/>
      <c r="D1959" s="105"/>
      <c r="E1959" s="105"/>
      <c r="F1959" s="630" t="s">
        <v>464</v>
      </c>
      <c r="G1959" s="630"/>
      <c r="H1959" s="102">
        <v>31.16</v>
      </c>
    </row>
    <row r="1960" spans="1:8">
      <c r="B1960" s="105"/>
      <c r="C1960" s="105"/>
      <c r="D1960" s="105"/>
      <c r="E1960" s="105"/>
      <c r="F1960" s="274"/>
      <c r="G1960" s="274"/>
      <c r="H1960" s="321"/>
    </row>
    <row r="1961" spans="1:8" s="220" customFormat="1" ht="27" customHeight="1">
      <c r="A1961" s="178" t="str">
        <f>'3 - PLAN. ORÇAMENTÁRIA'!A374</f>
        <v>4.4.2.1</v>
      </c>
      <c r="B1961" s="242">
        <f>VLOOKUP(A1961,'3 - PLAN. ORÇAMENTÁRIA'!$A$16:$B$721,2,FALSE)</f>
        <v>97113</v>
      </c>
      <c r="C1961" s="631" t="str">
        <f>VLOOKUP(A1961,'3 - PLAN. ORÇAMENTÁRIA'!$A$16:$C$721,3,FALSE)</f>
        <v>APLICAÇÃO DE LONA PLÁSTICA PARA EXECUÇÃO DE PAVIMENTOS DE CONCRETO. AF_04/2022</v>
      </c>
      <c r="D1961" s="632"/>
      <c r="E1961" s="632"/>
      <c r="F1961" s="632"/>
      <c r="G1961" s="632"/>
      <c r="H1961" s="402" t="str">
        <f>VLOOKUP(A1961,'3 - PLAN. ORÇAMENTÁRIA'!$A$17:$E$721,5,FALSE)</f>
        <v>M2</v>
      </c>
    </row>
    <row r="1962" spans="1:8">
      <c r="B1962" s="628" t="s">
        <v>593</v>
      </c>
      <c r="C1962" s="628"/>
      <c r="D1962" s="103" t="s">
        <v>579</v>
      </c>
      <c r="E1962" s="103" t="s">
        <v>580</v>
      </c>
      <c r="F1962" s="103" t="s">
        <v>581</v>
      </c>
      <c r="G1962" s="103" t="s">
        <v>582</v>
      </c>
      <c r="H1962" s="103" t="s">
        <v>583</v>
      </c>
    </row>
    <row r="1963" spans="1:8">
      <c r="B1963" s="130" t="s">
        <v>1603</v>
      </c>
      <c r="C1963" s="229" t="s">
        <v>1604</v>
      </c>
      <c r="D1963" s="130" t="s">
        <v>119</v>
      </c>
      <c r="E1963" s="130" t="s">
        <v>139</v>
      </c>
      <c r="F1963" s="230">
        <v>1.1279999999999999</v>
      </c>
      <c r="G1963" s="494">
        <v>2.76</v>
      </c>
      <c r="H1963" s="494">
        <v>3.11</v>
      </c>
    </row>
    <row r="1964" spans="1:8">
      <c r="B1964" s="105"/>
      <c r="C1964" s="105"/>
      <c r="D1964" s="105"/>
      <c r="E1964" s="105"/>
      <c r="F1964" s="629" t="s">
        <v>604</v>
      </c>
      <c r="G1964" s="629"/>
      <c r="H1964" s="495">
        <v>3.11</v>
      </c>
    </row>
    <row r="1965" spans="1:8" ht="12.75" customHeight="1">
      <c r="B1965" s="628" t="s">
        <v>607</v>
      </c>
      <c r="C1965" s="628"/>
      <c r="D1965" s="103" t="s">
        <v>579</v>
      </c>
      <c r="E1965" s="103" t="s">
        <v>580</v>
      </c>
      <c r="F1965" s="103" t="s">
        <v>581</v>
      </c>
      <c r="G1965" s="103" t="s">
        <v>582</v>
      </c>
      <c r="H1965" s="103" t="s">
        <v>583</v>
      </c>
    </row>
    <row r="1966" spans="1:8">
      <c r="B1966" s="130" t="s">
        <v>639</v>
      </c>
      <c r="C1966" s="229" t="s">
        <v>640</v>
      </c>
      <c r="D1966" s="130" t="s">
        <v>119</v>
      </c>
      <c r="E1966" s="130" t="s">
        <v>121</v>
      </c>
      <c r="F1966" s="230">
        <v>4.9100000000000003E-3</v>
      </c>
      <c r="G1966" s="494">
        <v>31.34</v>
      </c>
      <c r="H1966" s="494">
        <v>0.15</v>
      </c>
    </row>
    <row r="1967" spans="1:8">
      <c r="B1967" s="130" t="s">
        <v>625</v>
      </c>
      <c r="C1967" s="229" t="s">
        <v>626</v>
      </c>
      <c r="D1967" s="130" t="s">
        <v>119</v>
      </c>
      <c r="E1967" s="130" t="s">
        <v>121</v>
      </c>
      <c r="F1967" s="230">
        <v>5.8900000000000003E-3</v>
      </c>
      <c r="G1967" s="494">
        <v>23.75</v>
      </c>
      <c r="H1967" s="494">
        <v>0.14000000000000001</v>
      </c>
    </row>
    <row r="1968" spans="1:8" ht="12.75" customHeight="1">
      <c r="B1968" s="105"/>
      <c r="C1968" s="105"/>
      <c r="D1968" s="105"/>
      <c r="E1968" s="105"/>
      <c r="F1968" s="629" t="s">
        <v>610</v>
      </c>
      <c r="G1968" s="629"/>
      <c r="H1968" s="495">
        <v>0.28999999999999998</v>
      </c>
    </row>
    <row r="1969" spans="1:8" ht="12.75" customHeight="1">
      <c r="B1969" s="105"/>
      <c r="C1969" s="105"/>
      <c r="D1969" s="105"/>
      <c r="E1969" s="105"/>
      <c r="F1969" s="630" t="s">
        <v>464</v>
      </c>
      <c r="G1969" s="630"/>
      <c r="H1969" s="102">
        <v>3.39</v>
      </c>
    </row>
    <row r="1970" spans="1:8">
      <c r="B1970" s="105"/>
      <c r="C1970" s="105"/>
      <c r="D1970" s="105"/>
      <c r="E1970" s="105"/>
      <c r="F1970" s="634"/>
      <c r="G1970" s="634"/>
      <c r="H1970" s="634"/>
    </row>
    <row r="1971" spans="1:8" s="220" customFormat="1" ht="27" customHeight="1">
      <c r="A1971" s="178" t="str">
        <f>'3 - PLAN. ORÇAMENTÁRIA'!A375</f>
        <v>4.4.2.2</v>
      </c>
      <c r="B1971" s="242">
        <f>VLOOKUP(A1971,'3 - PLAN. ORÇAMENTÁRIA'!$A$16:$B$721,2,FALSE)</f>
        <v>101159</v>
      </c>
      <c r="C1971" s="631" t="str">
        <f>VLOOKUP(A1971,'3 - PLAN. ORÇAMENTÁRIA'!$A$16:$C$721,3,FALSE)</f>
        <v>ALVENARIA DE VEDAÇÃO DE BLOCOS CERÂMICOS MACIÇOS DE 5X10X20CM (ESPESSURA 10CM) E ARGAMASSA DE ASSENTAMENTO COM PREPARO EM BETONEIRA. AF_05/2020</v>
      </c>
      <c r="D1971" s="632"/>
      <c r="E1971" s="632"/>
      <c r="F1971" s="632"/>
      <c r="G1971" s="632"/>
      <c r="H1971" s="402" t="str">
        <f>VLOOKUP(A1971,'3 - PLAN. ORÇAMENTÁRIA'!$A$17:$E$721,5,FALSE)</f>
        <v>M2</v>
      </c>
    </row>
    <row r="1972" spans="1:8">
      <c r="B1972" s="628" t="s">
        <v>593</v>
      </c>
      <c r="C1972" s="628"/>
      <c r="D1972" s="103" t="s">
        <v>579</v>
      </c>
      <c r="E1972" s="103" t="s">
        <v>580</v>
      </c>
      <c r="F1972" s="103" t="s">
        <v>581</v>
      </c>
      <c r="G1972" s="103" t="s">
        <v>582</v>
      </c>
      <c r="H1972" s="103" t="s">
        <v>583</v>
      </c>
    </row>
    <row r="1973" spans="1:8">
      <c r="B1973" s="130" t="s">
        <v>1472</v>
      </c>
      <c r="C1973" s="229" t="s">
        <v>1473</v>
      </c>
      <c r="D1973" s="130" t="s">
        <v>119</v>
      </c>
      <c r="E1973" s="130" t="s">
        <v>144</v>
      </c>
      <c r="F1973" s="230">
        <v>73.489999999999995</v>
      </c>
      <c r="G1973" s="494">
        <v>0.61</v>
      </c>
      <c r="H1973" s="494">
        <v>44.83</v>
      </c>
    </row>
    <row r="1974" spans="1:8">
      <c r="B1974" s="105"/>
      <c r="C1974" s="105"/>
      <c r="D1974" s="105"/>
      <c r="E1974" s="105"/>
      <c r="F1974" s="629" t="s">
        <v>604</v>
      </c>
      <c r="G1974" s="629"/>
      <c r="H1974" s="495">
        <v>44.83</v>
      </c>
    </row>
    <row r="1975" spans="1:8" ht="12.75" customHeight="1">
      <c r="B1975" s="628" t="s">
        <v>607</v>
      </c>
      <c r="C1975" s="628"/>
      <c r="D1975" s="103" t="s">
        <v>579</v>
      </c>
      <c r="E1975" s="103" t="s">
        <v>580</v>
      </c>
      <c r="F1975" s="103" t="s">
        <v>581</v>
      </c>
      <c r="G1975" s="103" t="s">
        <v>582</v>
      </c>
      <c r="H1975" s="103" t="s">
        <v>583</v>
      </c>
    </row>
    <row r="1976" spans="1:8">
      <c r="B1976" s="130" t="s">
        <v>639</v>
      </c>
      <c r="C1976" s="229" t="s">
        <v>640</v>
      </c>
      <c r="D1976" s="130" t="s">
        <v>119</v>
      </c>
      <c r="E1976" s="130" t="s">
        <v>121</v>
      </c>
      <c r="F1976" s="230">
        <v>1.9390000000000001</v>
      </c>
      <c r="G1976" s="494">
        <v>31.34</v>
      </c>
      <c r="H1976" s="494">
        <v>60.77</v>
      </c>
    </row>
    <row r="1977" spans="1:8">
      <c r="B1977" s="130" t="s">
        <v>625</v>
      </c>
      <c r="C1977" s="229" t="s">
        <v>626</v>
      </c>
      <c r="D1977" s="130" t="s">
        <v>119</v>
      </c>
      <c r="E1977" s="130" t="s">
        <v>121</v>
      </c>
      <c r="F1977" s="230">
        <v>0.97</v>
      </c>
      <c r="G1977" s="494">
        <v>23.75</v>
      </c>
      <c r="H1977" s="494">
        <v>23.04</v>
      </c>
    </row>
    <row r="1978" spans="1:8" ht="12.75" customHeight="1">
      <c r="B1978" s="105"/>
      <c r="C1978" s="105"/>
      <c r="D1978" s="105"/>
      <c r="E1978" s="105"/>
      <c r="F1978" s="629" t="s">
        <v>610</v>
      </c>
      <c r="G1978" s="629"/>
      <c r="H1978" s="495">
        <v>83.81</v>
      </c>
    </row>
    <row r="1979" spans="1:8">
      <c r="B1979" s="628" t="s">
        <v>586</v>
      </c>
      <c r="C1979" s="628"/>
      <c r="D1979" s="103" t="s">
        <v>579</v>
      </c>
      <c r="E1979" s="103" t="s">
        <v>580</v>
      </c>
      <c r="F1979" s="103" t="s">
        <v>581</v>
      </c>
      <c r="G1979" s="103" t="s">
        <v>582</v>
      </c>
      <c r="H1979" s="103" t="s">
        <v>583</v>
      </c>
    </row>
    <row r="1980" spans="1:8" ht="38.25">
      <c r="B1980" s="130" t="s">
        <v>1460</v>
      </c>
      <c r="C1980" s="229" t="s">
        <v>1461</v>
      </c>
      <c r="D1980" s="130" t="s">
        <v>119</v>
      </c>
      <c r="E1980" s="130" t="s">
        <v>167</v>
      </c>
      <c r="F1980" s="230">
        <v>2.8000000000000001E-2</v>
      </c>
      <c r="G1980" s="494">
        <v>627.42999999999995</v>
      </c>
      <c r="H1980" s="494">
        <v>17.57</v>
      </c>
    </row>
    <row r="1981" spans="1:8">
      <c r="B1981" s="105"/>
      <c r="C1981" s="105"/>
      <c r="D1981" s="105"/>
      <c r="E1981" s="105"/>
      <c r="F1981" s="629" t="s">
        <v>587</v>
      </c>
      <c r="G1981" s="629"/>
      <c r="H1981" s="495">
        <v>17.57</v>
      </c>
    </row>
    <row r="1982" spans="1:8" ht="12.75" customHeight="1">
      <c r="B1982" s="105"/>
      <c r="C1982" s="105"/>
      <c r="D1982" s="105"/>
      <c r="E1982" s="105"/>
      <c r="F1982" s="630" t="s">
        <v>464</v>
      </c>
      <c r="G1982" s="630"/>
      <c r="H1982" s="102">
        <v>146.21</v>
      </c>
    </row>
    <row r="1983" spans="1:8">
      <c r="B1983" s="105"/>
      <c r="C1983" s="105"/>
      <c r="D1983" s="105"/>
      <c r="E1983" s="105"/>
      <c r="F1983" s="634"/>
      <c r="G1983" s="634"/>
      <c r="H1983" s="634"/>
    </row>
    <row r="1984" spans="1:8" s="220" customFormat="1" ht="27" customHeight="1">
      <c r="A1984" s="178" t="str">
        <f>'3 - PLAN. ORÇAMENTÁRIA'!A381</f>
        <v>4.4.3.5</v>
      </c>
      <c r="B1984" s="178">
        <f>VLOOKUP(A1984,'3 - PLAN. ORÇAMENTÁRIA'!$A$16:$B$721,2,FALSE)</f>
        <v>100721</v>
      </c>
      <c r="C1984" s="631" t="str">
        <f>VLOOKUP(A1984,'3 - PLAN. ORÇAMENTÁRIA'!$A$16:$C$721,3,FALSE)</f>
        <v>PINTURA COM TINTA ALQUÍDICA DE FUNDO (TIPO ZARCÃO) PULVERIZADA SOBRE SUPERFÍCIES METÁLICAS EXECUTADO EM OBRA (POR DEMÃO). AF_01/2020_PE - PINTURA DOS MASTROS</v>
      </c>
      <c r="D1984" s="632"/>
      <c r="E1984" s="632"/>
      <c r="F1984" s="632"/>
      <c r="G1984" s="633"/>
      <c r="H1984" s="433" t="str">
        <f>VLOOKUP(A1984,'3 - PLAN. ORÇAMENTÁRIA'!$A$17:$E$721,5,FALSE)</f>
        <v>M2</v>
      </c>
    </row>
    <row r="1985" spans="1:8">
      <c r="B1985" s="628" t="s">
        <v>593</v>
      </c>
      <c r="C1985" s="628"/>
      <c r="D1985" s="103" t="s">
        <v>579</v>
      </c>
      <c r="E1985" s="103" t="s">
        <v>580</v>
      </c>
      <c r="F1985" s="103" t="s">
        <v>581</v>
      </c>
      <c r="G1985" s="103" t="s">
        <v>582</v>
      </c>
      <c r="H1985" s="103" t="s">
        <v>583</v>
      </c>
    </row>
    <row r="1986" spans="1:8">
      <c r="B1986" s="130" t="s">
        <v>1448</v>
      </c>
      <c r="C1986" s="229" t="s">
        <v>1449</v>
      </c>
      <c r="D1986" s="130" t="s">
        <v>119</v>
      </c>
      <c r="E1986" s="130" t="s">
        <v>107</v>
      </c>
      <c r="F1986" s="230">
        <v>6.1899999999999997E-2</v>
      </c>
      <c r="G1986" s="494">
        <v>19.78</v>
      </c>
      <c r="H1986" s="494">
        <v>1.22</v>
      </c>
    </row>
    <row r="1987" spans="1:8">
      <c r="B1987" s="130" t="s">
        <v>1011</v>
      </c>
      <c r="C1987" s="229" t="s">
        <v>1012</v>
      </c>
      <c r="D1987" s="130" t="s">
        <v>119</v>
      </c>
      <c r="E1987" s="130" t="s">
        <v>107</v>
      </c>
      <c r="F1987" s="230">
        <v>0.20699999999999999</v>
      </c>
      <c r="G1987" s="494">
        <v>44.95</v>
      </c>
      <c r="H1987" s="494">
        <v>9.3000000000000007</v>
      </c>
    </row>
    <row r="1988" spans="1:8">
      <c r="B1988" s="105"/>
      <c r="C1988" s="105"/>
      <c r="D1988" s="105"/>
      <c r="E1988" s="105"/>
      <c r="F1988" s="629" t="s">
        <v>604</v>
      </c>
      <c r="G1988" s="629"/>
      <c r="H1988" s="495">
        <v>10.52</v>
      </c>
    </row>
    <row r="1989" spans="1:8" ht="12.75" customHeight="1">
      <c r="B1989" s="628" t="s">
        <v>607</v>
      </c>
      <c r="C1989" s="628"/>
      <c r="D1989" s="103" t="s">
        <v>579</v>
      </c>
      <c r="E1989" s="103" t="s">
        <v>580</v>
      </c>
      <c r="F1989" s="103" t="s">
        <v>581</v>
      </c>
      <c r="G1989" s="103" t="s">
        <v>582</v>
      </c>
      <c r="H1989" s="103" t="s">
        <v>583</v>
      </c>
    </row>
    <row r="1990" spans="1:8">
      <c r="B1990" s="130" t="s">
        <v>1450</v>
      </c>
      <c r="C1990" s="229" t="s">
        <v>663</v>
      </c>
      <c r="D1990" s="130" t="s">
        <v>119</v>
      </c>
      <c r="E1990" s="130" t="s">
        <v>121</v>
      </c>
      <c r="F1990" s="230">
        <v>0.52659999999999996</v>
      </c>
      <c r="G1990" s="494">
        <v>33.01</v>
      </c>
      <c r="H1990" s="494">
        <v>17.38</v>
      </c>
    </row>
    <row r="1991" spans="1:8" ht="12.75" customHeight="1">
      <c r="B1991" s="105"/>
      <c r="C1991" s="105"/>
      <c r="D1991" s="105"/>
      <c r="E1991" s="105"/>
      <c r="F1991" s="629" t="s">
        <v>610</v>
      </c>
      <c r="G1991" s="629"/>
      <c r="H1991" s="495">
        <v>17.38</v>
      </c>
    </row>
    <row r="1992" spans="1:8" ht="12.75" customHeight="1">
      <c r="B1992" s="105"/>
      <c r="C1992" s="105"/>
      <c r="D1992" s="105"/>
      <c r="E1992" s="105"/>
      <c r="F1992" s="630" t="s">
        <v>464</v>
      </c>
      <c r="G1992" s="630"/>
      <c r="H1992" s="102">
        <v>27.9</v>
      </c>
    </row>
    <row r="1993" spans="1:8">
      <c r="A1993" s="288"/>
      <c r="B1993" s="105"/>
      <c r="C1993" s="105"/>
      <c r="D1993" s="105"/>
      <c r="E1993" s="105"/>
      <c r="F1993" s="634"/>
      <c r="G1993" s="634"/>
      <c r="H1993" s="634"/>
    </row>
    <row r="1994" spans="1:8" ht="29.25" customHeight="1">
      <c r="A1994" s="287" t="str">
        <f>'3 - PLAN. ORÇAMENTÁRIA'!A382</f>
        <v>4.4.3.6</v>
      </c>
      <c r="B1994" s="178">
        <f>VLOOKUP(A1994,'3 - PLAN. ORÇAMENTÁRIA'!$A$16:$B$721,2,FALSE)</f>
        <v>100757</v>
      </c>
      <c r="C1994" s="631" t="str">
        <f>VLOOKUP(A1994,'3 - PLAN. ORÇAMENTÁRIA'!$A$16:$C$721,3,FALSE)</f>
        <v>PINTURA COM TINTA ALQUÍDICA DE ACABAMENTO (ESMALTE SINTÉTICO ACETINADO) PULVERIZADA SOBRE SUPERFÍCIES METÁLICAS EXECUTADO EM OBRA (02 DEMÃOS). AF_01/2020_PE - PINTURA DOS MASTROS</v>
      </c>
      <c r="D1994" s="632"/>
      <c r="E1994" s="632"/>
      <c r="F1994" s="632"/>
      <c r="G1994" s="633"/>
      <c r="H1994" s="437" t="str">
        <f>VLOOKUP(A1994,'3 - PLAN. ORÇAMENTÁRIA'!$A$17:$E$721,5,FALSE)</f>
        <v>M2</v>
      </c>
    </row>
    <row r="1995" spans="1:8">
      <c r="B1995" s="628" t="s">
        <v>593</v>
      </c>
      <c r="C1995" s="628"/>
      <c r="D1995" s="103" t="s">
        <v>579</v>
      </c>
      <c r="E1995" s="103" t="s">
        <v>580</v>
      </c>
      <c r="F1995" s="103" t="s">
        <v>581</v>
      </c>
      <c r="G1995" s="103" t="s">
        <v>582</v>
      </c>
      <c r="H1995" s="103" t="s">
        <v>583</v>
      </c>
    </row>
    <row r="1996" spans="1:8">
      <c r="B1996" s="130" t="s">
        <v>1448</v>
      </c>
      <c r="C1996" s="229" t="s">
        <v>1449</v>
      </c>
      <c r="D1996" s="130" t="s">
        <v>119</v>
      </c>
      <c r="E1996" s="130" t="s">
        <v>107</v>
      </c>
      <c r="F1996" s="230">
        <v>0.124</v>
      </c>
      <c r="G1996" s="494">
        <v>19.78</v>
      </c>
      <c r="H1996" s="494">
        <v>2.4500000000000002</v>
      </c>
    </row>
    <row r="1997" spans="1:8">
      <c r="B1997" s="130" t="s">
        <v>1605</v>
      </c>
      <c r="C1997" s="229" t="s">
        <v>1606</v>
      </c>
      <c r="D1997" s="130" t="s">
        <v>119</v>
      </c>
      <c r="E1997" s="130" t="s">
        <v>107</v>
      </c>
      <c r="F1997" s="230">
        <v>0.41339999999999999</v>
      </c>
      <c r="G1997" s="494">
        <v>43.04</v>
      </c>
      <c r="H1997" s="494">
        <v>17.79</v>
      </c>
    </row>
    <row r="1998" spans="1:8">
      <c r="B1998" s="105"/>
      <c r="C1998" s="105"/>
      <c r="D1998" s="105"/>
      <c r="E1998" s="105"/>
      <c r="F1998" s="629" t="s">
        <v>604</v>
      </c>
      <c r="G1998" s="629"/>
      <c r="H1998" s="495">
        <v>20.239999999999998</v>
      </c>
    </row>
    <row r="1999" spans="1:8" ht="12.75" customHeight="1">
      <c r="B1999" s="628" t="s">
        <v>607</v>
      </c>
      <c r="C1999" s="628"/>
      <c r="D1999" s="103" t="s">
        <v>579</v>
      </c>
      <c r="E1999" s="103" t="s">
        <v>580</v>
      </c>
      <c r="F1999" s="103" t="s">
        <v>581</v>
      </c>
      <c r="G1999" s="103" t="s">
        <v>582</v>
      </c>
      <c r="H1999" s="103" t="s">
        <v>583</v>
      </c>
    </row>
    <row r="2000" spans="1:8">
      <c r="B2000" s="130" t="s">
        <v>1450</v>
      </c>
      <c r="C2000" s="229" t="s">
        <v>663</v>
      </c>
      <c r="D2000" s="130" t="s">
        <v>119</v>
      </c>
      <c r="E2000" s="130" t="s">
        <v>121</v>
      </c>
      <c r="F2000" s="230">
        <v>1.0530999999999999</v>
      </c>
      <c r="G2000" s="494">
        <v>33.01</v>
      </c>
      <c r="H2000" s="494">
        <v>34.76</v>
      </c>
    </row>
    <row r="2001" spans="1:8" ht="12.75" customHeight="1">
      <c r="B2001" s="105"/>
      <c r="C2001" s="105"/>
      <c r="D2001" s="105"/>
      <c r="E2001" s="105"/>
      <c r="F2001" s="629" t="s">
        <v>610</v>
      </c>
      <c r="G2001" s="629"/>
      <c r="H2001" s="495">
        <v>34.76</v>
      </c>
    </row>
    <row r="2002" spans="1:8" ht="12.75" customHeight="1">
      <c r="B2002" s="105"/>
      <c r="C2002" s="105"/>
      <c r="D2002" s="105"/>
      <c r="E2002" s="105"/>
      <c r="F2002" s="630" t="s">
        <v>464</v>
      </c>
      <c r="G2002" s="630"/>
      <c r="H2002" s="102">
        <v>55</v>
      </c>
    </row>
    <row r="2003" spans="1:8">
      <c r="B2003" s="105"/>
      <c r="C2003" s="105"/>
      <c r="D2003" s="105"/>
      <c r="E2003" s="105"/>
      <c r="F2003" s="396"/>
      <c r="G2003" s="396"/>
      <c r="H2003" s="396"/>
    </row>
    <row r="2004" spans="1:8" s="220" customFormat="1" ht="27" customHeight="1">
      <c r="A2004" s="178" t="str">
        <f>'3 - PLAN. ORÇAMENTÁRIA'!A389</f>
        <v>4.4.4.6</v>
      </c>
      <c r="B2004" s="242">
        <f>VLOOKUP(A2004,'3 - PLAN. ORÇAMENTÁRIA'!$A$16:$B$721,2,FALSE)</f>
        <v>100721</v>
      </c>
      <c r="C2004" s="631" t="str">
        <f>VLOOKUP(A2004,'3 - PLAN. ORÇAMENTÁRIA'!$A$16:$C$721,3,FALSE)</f>
        <v>PINTURA COM TINTA ALQUÍDICA DE FUNDO (TIPO ZARCÃO) PULVERIZADA SOBRE SUPERFÍCIES METÁLICAS EXECUTADO EM OBRA (POR DEMÃO). AF_01/2020_PE (PORTÃO DE CORRER)</v>
      </c>
      <c r="D2004" s="632"/>
      <c r="E2004" s="632"/>
      <c r="F2004" s="632"/>
      <c r="G2004" s="633"/>
      <c r="H2004" s="131" t="str">
        <f>VLOOKUP(A2004,'3 - PLAN. ORÇAMENTÁRIA'!$A$17:$E$721,5,FALSE)</f>
        <v>M2</v>
      </c>
    </row>
    <row r="2005" spans="1:8">
      <c r="B2005" s="628" t="s">
        <v>593</v>
      </c>
      <c r="C2005" s="628"/>
      <c r="D2005" s="103" t="s">
        <v>579</v>
      </c>
      <c r="E2005" s="103" t="s">
        <v>580</v>
      </c>
      <c r="F2005" s="103" t="s">
        <v>581</v>
      </c>
      <c r="G2005" s="103" t="s">
        <v>582</v>
      </c>
      <c r="H2005" s="103" t="s">
        <v>583</v>
      </c>
    </row>
    <row r="2006" spans="1:8">
      <c r="B2006" s="130" t="s">
        <v>1448</v>
      </c>
      <c r="C2006" s="229" t="s">
        <v>1449</v>
      </c>
      <c r="D2006" s="130" t="s">
        <v>119</v>
      </c>
      <c r="E2006" s="130" t="s">
        <v>107</v>
      </c>
      <c r="F2006" s="230">
        <v>6.1899999999999997E-2</v>
      </c>
      <c r="G2006" s="494">
        <v>19.78</v>
      </c>
      <c r="H2006" s="494">
        <v>1.22</v>
      </c>
    </row>
    <row r="2007" spans="1:8">
      <c r="B2007" s="130" t="s">
        <v>1011</v>
      </c>
      <c r="C2007" s="229" t="s">
        <v>1012</v>
      </c>
      <c r="D2007" s="130" t="s">
        <v>119</v>
      </c>
      <c r="E2007" s="130" t="s">
        <v>107</v>
      </c>
      <c r="F2007" s="230">
        <v>0.20699999999999999</v>
      </c>
      <c r="G2007" s="494">
        <v>44.95</v>
      </c>
      <c r="H2007" s="494">
        <v>9.3000000000000007</v>
      </c>
    </row>
    <row r="2008" spans="1:8">
      <c r="B2008" s="105"/>
      <c r="C2008" s="105"/>
      <c r="D2008" s="105"/>
      <c r="E2008" s="105"/>
      <c r="F2008" s="629" t="s">
        <v>604</v>
      </c>
      <c r="G2008" s="629"/>
      <c r="H2008" s="495">
        <v>10.52</v>
      </c>
    </row>
    <row r="2009" spans="1:8" ht="12.75" customHeight="1">
      <c r="B2009" s="628" t="s">
        <v>607</v>
      </c>
      <c r="C2009" s="628"/>
      <c r="D2009" s="103" t="s">
        <v>579</v>
      </c>
      <c r="E2009" s="103" t="s">
        <v>580</v>
      </c>
      <c r="F2009" s="103" t="s">
        <v>581</v>
      </c>
      <c r="G2009" s="103" t="s">
        <v>582</v>
      </c>
      <c r="H2009" s="103" t="s">
        <v>583</v>
      </c>
    </row>
    <row r="2010" spans="1:8">
      <c r="B2010" s="130" t="s">
        <v>1450</v>
      </c>
      <c r="C2010" s="229" t="s">
        <v>663</v>
      </c>
      <c r="D2010" s="130" t="s">
        <v>119</v>
      </c>
      <c r="E2010" s="130" t="s">
        <v>121</v>
      </c>
      <c r="F2010" s="230">
        <v>0.52659999999999996</v>
      </c>
      <c r="G2010" s="494">
        <v>33.01</v>
      </c>
      <c r="H2010" s="494">
        <v>17.38</v>
      </c>
    </row>
    <row r="2011" spans="1:8" ht="12.75" customHeight="1">
      <c r="B2011" s="105"/>
      <c r="C2011" s="105"/>
      <c r="D2011" s="105"/>
      <c r="E2011" s="105"/>
      <c r="F2011" s="629" t="s">
        <v>610</v>
      </c>
      <c r="G2011" s="629"/>
      <c r="H2011" s="495">
        <v>17.38</v>
      </c>
    </row>
    <row r="2012" spans="1:8" ht="12.75" customHeight="1">
      <c r="B2012" s="105"/>
      <c r="C2012" s="105"/>
      <c r="D2012" s="105"/>
      <c r="E2012" s="105"/>
      <c r="F2012" s="630" t="s">
        <v>464</v>
      </c>
      <c r="G2012" s="630"/>
      <c r="H2012" s="102">
        <v>27.9</v>
      </c>
    </row>
    <row r="2013" spans="1:8">
      <c r="A2013" s="288"/>
      <c r="B2013" s="105"/>
      <c r="C2013" s="105"/>
      <c r="D2013" s="105"/>
      <c r="E2013" s="105"/>
      <c r="F2013" s="634"/>
      <c r="G2013" s="634"/>
      <c r="H2013" s="634"/>
    </row>
    <row r="2014" spans="1:8" s="220" customFormat="1" ht="27" customHeight="1">
      <c r="A2014" s="287" t="str">
        <f>'3 - PLAN. ORÇAMENTÁRIA'!A390</f>
        <v>4.4.4.7</v>
      </c>
      <c r="B2014" s="242">
        <f>VLOOKUP(A2014,'3 - PLAN. ORÇAMENTÁRIA'!$A$16:$B$721,2,FALSE)</f>
        <v>100757</v>
      </c>
      <c r="C2014" s="631" t="str">
        <f>VLOOKUP(A2014,'3 - PLAN. ORÇAMENTÁRIA'!$A$16:$C$721,3,FALSE)</f>
        <v>PINTURA COM TINTA ALQUÍDICA DE ACABAMENTO (ESMALTE SINTÉTICO ACETINADO) PULVERIZADA SOBRE SUPERFÍCIES METÁLICAS EXECUTADO EM OBRA (02 DEMÃOS). AF_01/2020_PE (PORTÃO DE CORRER)</v>
      </c>
      <c r="D2014" s="632"/>
      <c r="E2014" s="632"/>
      <c r="F2014" s="632"/>
      <c r="G2014" s="633"/>
      <c r="H2014" s="437" t="str">
        <f>VLOOKUP(A2014,'3 - PLAN. ORÇAMENTÁRIA'!$A$17:$E$721,5,FALSE)</f>
        <v>M2</v>
      </c>
    </row>
    <row r="2015" spans="1:8">
      <c r="B2015" s="628" t="s">
        <v>593</v>
      </c>
      <c r="C2015" s="628"/>
      <c r="D2015" s="103" t="s">
        <v>579</v>
      </c>
      <c r="E2015" s="103" t="s">
        <v>580</v>
      </c>
      <c r="F2015" s="103" t="s">
        <v>581</v>
      </c>
      <c r="G2015" s="103" t="s">
        <v>582</v>
      </c>
      <c r="H2015" s="103" t="s">
        <v>583</v>
      </c>
    </row>
    <row r="2016" spans="1:8">
      <c r="B2016" s="130" t="s">
        <v>1448</v>
      </c>
      <c r="C2016" s="229" t="s">
        <v>1449</v>
      </c>
      <c r="D2016" s="130" t="s">
        <v>119</v>
      </c>
      <c r="E2016" s="130" t="s">
        <v>107</v>
      </c>
      <c r="F2016" s="230">
        <v>0.124</v>
      </c>
      <c r="G2016" s="494">
        <v>19.78</v>
      </c>
      <c r="H2016" s="494">
        <v>2.4500000000000002</v>
      </c>
    </row>
    <row r="2017" spans="1:8">
      <c r="B2017" s="130" t="s">
        <v>1605</v>
      </c>
      <c r="C2017" s="229" t="s">
        <v>1606</v>
      </c>
      <c r="D2017" s="130" t="s">
        <v>119</v>
      </c>
      <c r="E2017" s="130" t="s">
        <v>107</v>
      </c>
      <c r="F2017" s="230">
        <v>0.41339999999999999</v>
      </c>
      <c r="G2017" s="494">
        <v>43.04</v>
      </c>
      <c r="H2017" s="494">
        <v>17.79</v>
      </c>
    </row>
    <row r="2018" spans="1:8">
      <c r="B2018" s="105"/>
      <c r="C2018" s="105"/>
      <c r="D2018" s="105"/>
      <c r="E2018" s="105"/>
      <c r="F2018" s="629" t="s">
        <v>604</v>
      </c>
      <c r="G2018" s="629"/>
      <c r="H2018" s="495">
        <v>20.239999999999998</v>
      </c>
    </row>
    <row r="2019" spans="1:8" ht="12.75" customHeight="1">
      <c r="B2019" s="628" t="s">
        <v>607</v>
      </c>
      <c r="C2019" s="628"/>
      <c r="D2019" s="103" t="s">
        <v>579</v>
      </c>
      <c r="E2019" s="103" t="s">
        <v>580</v>
      </c>
      <c r="F2019" s="103" t="s">
        <v>581</v>
      </c>
      <c r="G2019" s="103" t="s">
        <v>582</v>
      </c>
      <c r="H2019" s="103" t="s">
        <v>583</v>
      </c>
    </row>
    <row r="2020" spans="1:8">
      <c r="B2020" s="130" t="s">
        <v>1450</v>
      </c>
      <c r="C2020" s="229" t="s">
        <v>663</v>
      </c>
      <c r="D2020" s="130" t="s">
        <v>119</v>
      </c>
      <c r="E2020" s="130" t="s">
        <v>121</v>
      </c>
      <c r="F2020" s="230">
        <v>1.0530999999999999</v>
      </c>
      <c r="G2020" s="494">
        <v>33.01</v>
      </c>
      <c r="H2020" s="494">
        <v>34.76</v>
      </c>
    </row>
    <row r="2021" spans="1:8" ht="12.75" customHeight="1">
      <c r="B2021" s="105"/>
      <c r="C2021" s="105"/>
      <c r="D2021" s="105"/>
      <c r="E2021" s="105"/>
      <c r="F2021" s="629" t="s">
        <v>610</v>
      </c>
      <c r="G2021" s="629"/>
      <c r="H2021" s="495">
        <v>34.76</v>
      </c>
    </row>
    <row r="2022" spans="1:8" ht="12.75" customHeight="1">
      <c r="B2022" s="105"/>
      <c r="C2022" s="105"/>
      <c r="D2022" s="105"/>
      <c r="E2022" s="105"/>
      <c r="F2022" s="630" t="s">
        <v>464</v>
      </c>
      <c r="G2022" s="630"/>
      <c r="H2022" s="102">
        <v>55</v>
      </c>
    </row>
    <row r="2023" spans="1:8">
      <c r="B2023" s="105"/>
      <c r="C2023" s="105"/>
      <c r="D2023" s="105"/>
      <c r="E2023" s="105"/>
      <c r="F2023" s="634"/>
      <c r="G2023" s="634"/>
      <c r="H2023" s="634"/>
    </row>
    <row r="2024" spans="1:8" s="220" customFormat="1" ht="27" customHeight="1">
      <c r="A2024" s="178" t="str">
        <f>'3 - PLAN. ORÇAMENTÁRIA'!A395</f>
        <v>5.1.1.1</v>
      </c>
      <c r="B2024" s="242">
        <f>VLOOKUP(A2024,'3 - PLAN. ORÇAMENTÁRIA'!$A$16:$B$721,2,FALSE)</f>
        <v>89443</v>
      </c>
      <c r="C2024" s="631" t="str">
        <f>VLOOKUP(A2024,'3 - PLAN. ORÇAMENTÁRIA'!$A$16:$C$721,3,FALSE)</f>
        <v>TE, PVC, SOLDÁVEL, DN 32MM - FORNECIMENTO E INSTALAÇÃO. AF_06/2022</v>
      </c>
      <c r="D2024" s="632"/>
      <c r="E2024" s="632"/>
      <c r="F2024" s="632"/>
      <c r="G2024" s="633"/>
      <c r="H2024" s="432" t="str">
        <f>VLOOKUP(A2024,'3 - PLAN. ORÇAMENTÁRIA'!$A$17:$E$721,5,FALSE)</f>
        <v>UN</v>
      </c>
    </row>
    <row r="2025" spans="1:8">
      <c r="B2025" s="628" t="s">
        <v>593</v>
      </c>
      <c r="C2025" s="628"/>
      <c r="D2025" s="103" t="s">
        <v>579</v>
      </c>
      <c r="E2025" s="103" t="s">
        <v>580</v>
      </c>
      <c r="F2025" s="103" t="s">
        <v>581</v>
      </c>
      <c r="G2025" s="103" t="s">
        <v>582</v>
      </c>
      <c r="H2025" s="103" t="s">
        <v>583</v>
      </c>
    </row>
    <row r="2026" spans="1:8">
      <c r="B2026" s="130" t="s">
        <v>1540</v>
      </c>
      <c r="C2026" s="229" t="s">
        <v>1541</v>
      </c>
      <c r="D2026" s="130" t="s">
        <v>119</v>
      </c>
      <c r="E2026" s="130" t="s">
        <v>144</v>
      </c>
      <c r="F2026" s="230">
        <v>1.41E-2</v>
      </c>
      <c r="G2026" s="494">
        <v>72.86</v>
      </c>
      <c r="H2026" s="494">
        <v>1.03</v>
      </c>
    </row>
    <row r="2027" spans="1:8">
      <c r="B2027" s="130" t="s">
        <v>673</v>
      </c>
      <c r="C2027" s="229" t="s">
        <v>3789</v>
      </c>
      <c r="D2027" s="130" t="s">
        <v>119</v>
      </c>
      <c r="E2027" s="130" t="s">
        <v>144</v>
      </c>
      <c r="F2027" s="230">
        <v>5.3999999999999999E-2</v>
      </c>
      <c r="G2027" s="494">
        <v>2.57</v>
      </c>
      <c r="H2027" s="494">
        <v>0.14000000000000001</v>
      </c>
    </row>
    <row r="2028" spans="1:8">
      <c r="B2028" s="130" t="s">
        <v>1542</v>
      </c>
      <c r="C2028" s="229" t="s">
        <v>1543</v>
      </c>
      <c r="D2028" s="130" t="s">
        <v>119</v>
      </c>
      <c r="E2028" s="130" t="s">
        <v>144</v>
      </c>
      <c r="F2028" s="230">
        <v>1.6500000000000001E-2</v>
      </c>
      <c r="G2028" s="494">
        <v>82.55</v>
      </c>
      <c r="H2028" s="494">
        <v>1.36</v>
      </c>
    </row>
    <row r="2029" spans="1:8">
      <c r="B2029" s="130" t="s">
        <v>1657</v>
      </c>
      <c r="C2029" s="229" t="s">
        <v>1658</v>
      </c>
      <c r="D2029" s="130" t="s">
        <v>119</v>
      </c>
      <c r="E2029" s="130" t="s">
        <v>144</v>
      </c>
      <c r="F2029" s="230">
        <v>1</v>
      </c>
      <c r="G2029" s="494">
        <v>4.05</v>
      </c>
      <c r="H2029" s="494">
        <v>4.05</v>
      </c>
    </row>
    <row r="2030" spans="1:8">
      <c r="B2030" s="105"/>
      <c r="C2030" s="105"/>
      <c r="D2030" s="105"/>
      <c r="E2030" s="105"/>
      <c r="F2030" s="629" t="s">
        <v>604</v>
      </c>
      <c r="G2030" s="629"/>
      <c r="H2030" s="495">
        <v>6.58</v>
      </c>
    </row>
    <row r="2031" spans="1:8" ht="12.75" customHeight="1">
      <c r="B2031" s="628" t="s">
        <v>607</v>
      </c>
      <c r="C2031" s="628"/>
      <c r="D2031" s="103" t="s">
        <v>579</v>
      </c>
      <c r="E2031" s="103" t="s">
        <v>580</v>
      </c>
      <c r="F2031" s="103" t="s">
        <v>581</v>
      </c>
      <c r="G2031" s="103" t="s">
        <v>582</v>
      </c>
      <c r="H2031" s="103" t="s">
        <v>583</v>
      </c>
    </row>
    <row r="2032" spans="1:8">
      <c r="B2032" s="130" t="s">
        <v>1296</v>
      </c>
      <c r="C2032" s="229" t="s">
        <v>611</v>
      </c>
      <c r="D2032" s="130" t="s">
        <v>119</v>
      </c>
      <c r="E2032" s="130" t="s">
        <v>121</v>
      </c>
      <c r="F2032" s="230">
        <v>0.21609999999999999</v>
      </c>
      <c r="G2032" s="494">
        <v>24.02</v>
      </c>
      <c r="H2032" s="494">
        <v>5.19</v>
      </c>
    </row>
    <row r="2033" spans="1:8">
      <c r="B2033" s="130" t="s">
        <v>1297</v>
      </c>
      <c r="C2033" s="229" t="s">
        <v>612</v>
      </c>
      <c r="D2033" s="130" t="s">
        <v>119</v>
      </c>
      <c r="E2033" s="130" t="s">
        <v>121</v>
      </c>
      <c r="F2033" s="230">
        <v>0.21609999999999999</v>
      </c>
      <c r="G2033" s="494">
        <v>30.62</v>
      </c>
      <c r="H2033" s="494">
        <v>6.62</v>
      </c>
    </row>
    <row r="2034" spans="1:8" ht="12.75" customHeight="1">
      <c r="B2034" s="105"/>
      <c r="C2034" s="105"/>
      <c r="D2034" s="105"/>
      <c r="E2034" s="105"/>
      <c r="F2034" s="629" t="s">
        <v>610</v>
      </c>
      <c r="G2034" s="629"/>
      <c r="H2034" s="495">
        <v>11.81</v>
      </c>
    </row>
    <row r="2035" spans="1:8" ht="12.75" customHeight="1">
      <c r="B2035" s="105"/>
      <c r="C2035" s="105"/>
      <c r="D2035" s="105"/>
      <c r="E2035" s="105"/>
      <c r="F2035" s="630" t="s">
        <v>464</v>
      </c>
      <c r="G2035" s="630"/>
      <c r="H2035" s="102">
        <v>18.36</v>
      </c>
    </row>
    <row r="2036" spans="1:8">
      <c r="B2036" s="105"/>
      <c r="C2036" s="105"/>
      <c r="D2036" s="105"/>
      <c r="E2036" s="105"/>
      <c r="F2036" s="634"/>
      <c r="G2036" s="634"/>
      <c r="H2036" s="634"/>
    </row>
    <row r="2037" spans="1:8" s="220" customFormat="1" ht="27" customHeight="1">
      <c r="A2037" s="178" t="str">
        <f>'3 - PLAN. ORÇAMENTÁRIA'!A396</f>
        <v>5.1.1.2</v>
      </c>
      <c r="B2037" s="242">
        <f>VLOOKUP(A2037,'3 - PLAN. ORÇAMENTÁRIA'!$A$16:$B$721,2,FALSE)</f>
        <v>89395</v>
      </c>
      <c r="C2037" s="631" t="str">
        <f>VLOOKUP(A2037,'3 - PLAN. ORÇAMENTÁRIA'!$A$16:$C$721,3,FALSE)</f>
        <v>TE, PVC, SOLDÁVEL, DN 25MM - FORNECIMENTO E INSTALAÇÃO. AF_06/2022</v>
      </c>
      <c r="D2037" s="632"/>
      <c r="E2037" s="632"/>
      <c r="F2037" s="632"/>
      <c r="G2037" s="633"/>
      <c r="H2037" s="493" t="str">
        <f>VLOOKUP(A2037,'3 - PLAN. ORÇAMENTÁRIA'!$A$17:$E$721,5,FALSE)</f>
        <v>UN</v>
      </c>
    </row>
    <row r="2038" spans="1:8">
      <c r="B2038" s="628" t="s">
        <v>593</v>
      </c>
      <c r="C2038" s="628"/>
      <c r="D2038" s="103" t="s">
        <v>579</v>
      </c>
      <c r="E2038" s="103" t="s">
        <v>580</v>
      </c>
      <c r="F2038" s="103" t="s">
        <v>581</v>
      </c>
      <c r="G2038" s="103" t="s">
        <v>582</v>
      </c>
      <c r="H2038" s="103" t="s">
        <v>583</v>
      </c>
    </row>
    <row r="2039" spans="1:8">
      <c r="B2039" s="130" t="s">
        <v>1540</v>
      </c>
      <c r="C2039" s="229" t="s">
        <v>1541</v>
      </c>
      <c r="D2039" s="130" t="s">
        <v>119</v>
      </c>
      <c r="E2039" s="130" t="s">
        <v>144</v>
      </c>
      <c r="F2039" s="230">
        <v>1.06E-2</v>
      </c>
      <c r="G2039" s="494">
        <v>72.86</v>
      </c>
      <c r="H2039" s="494">
        <v>0.77</v>
      </c>
    </row>
    <row r="2040" spans="1:8">
      <c r="B2040" s="130" t="s">
        <v>673</v>
      </c>
      <c r="C2040" s="229" t="s">
        <v>3789</v>
      </c>
      <c r="D2040" s="130" t="s">
        <v>119</v>
      </c>
      <c r="E2040" s="130" t="s">
        <v>144</v>
      </c>
      <c r="F2040" s="230">
        <v>5.0700000000000002E-2</v>
      </c>
      <c r="G2040" s="494">
        <v>2.57</v>
      </c>
      <c r="H2040" s="494">
        <v>0.13</v>
      </c>
    </row>
    <row r="2041" spans="1:8">
      <c r="B2041" s="130" t="s">
        <v>1542</v>
      </c>
      <c r="C2041" s="229" t="s">
        <v>1543</v>
      </c>
      <c r="D2041" s="130" t="s">
        <v>119</v>
      </c>
      <c r="E2041" s="130" t="s">
        <v>144</v>
      </c>
      <c r="F2041" s="230">
        <v>1.2E-2</v>
      </c>
      <c r="G2041" s="494">
        <v>82.55</v>
      </c>
      <c r="H2041" s="494">
        <v>0.99</v>
      </c>
    </row>
    <row r="2042" spans="1:8">
      <c r="B2042" s="130" t="s">
        <v>1609</v>
      </c>
      <c r="C2042" s="229" t="s">
        <v>1610</v>
      </c>
      <c r="D2042" s="130" t="s">
        <v>119</v>
      </c>
      <c r="E2042" s="130" t="s">
        <v>144</v>
      </c>
      <c r="F2042" s="230">
        <v>1</v>
      </c>
      <c r="G2042" s="494">
        <v>1.29</v>
      </c>
      <c r="H2042" s="494">
        <v>1.29</v>
      </c>
    </row>
    <row r="2043" spans="1:8">
      <c r="B2043" s="105"/>
      <c r="C2043" s="105"/>
      <c r="D2043" s="105"/>
      <c r="E2043" s="105"/>
      <c r="F2043" s="629" t="s">
        <v>604</v>
      </c>
      <c r="G2043" s="629"/>
      <c r="H2043" s="495">
        <v>3.18</v>
      </c>
    </row>
    <row r="2044" spans="1:8" ht="12.75" customHeight="1">
      <c r="B2044" s="628" t="s">
        <v>607</v>
      </c>
      <c r="C2044" s="628"/>
      <c r="D2044" s="103" t="s">
        <v>579</v>
      </c>
      <c r="E2044" s="103" t="s">
        <v>580</v>
      </c>
      <c r="F2044" s="103" t="s">
        <v>581</v>
      </c>
      <c r="G2044" s="103" t="s">
        <v>582</v>
      </c>
      <c r="H2044" s="103" t="s">
        <v>583</v>
      </c>
    </row>
    <row r="2045" spans="1:8">
      <c r="B2045" s="130" t="s">
        <v>1296</v>
      </c>
      <c r="C2045" s="229" t="s">
        <v>611</v>
      </c>
      <c r="D2045" s="130" t="s">
        <v>119</v>
      </c>
      <c r="E2045" s="130" t="s">
        <v>121</v>
      </c>
      <c r="F2045" s="230">
        <v>0.2026</v>
      </c>
      <c r="G2045" s="494">
        <v>24.02</v>
      </c>
      <c r="H2045" s="494">
        <v>4.87</v>
      </c>
    </row>
    <row r="2046" spans="1:8">
      <c r="B2046" s="130" t="s">
        <v>1297</v>
      </c>
      <c r="C2046" s="229" t="s">
        <v>612</v>
      </c>
      <c r="D2046" s="130" t="s">
        <v>119</v>
      </c>
      <c r="E2046" s="130" t="s">
        <v>121</v>
      </c>
      <c r="F2046" s="230">
        <v>0.2026</v>
      </c>
      <c r="G2046" s="494">
        <v>30.62</v>
      </c>
      <c r="H2046" s="494">
        <v>6.2</v>
      </c>
    </row>
    <row r="2047" spans="1:8" ht="12.75" customHeight="1">
      <c r="B2047" s="105"/>
      <c r="C2047" s="105"/>
      <c r="D2047" s="105"/>
      <c r="E2047" s="105"/>
      <c r="F2047" s="629" t="s">
        <v>610</v>
      </c>
      <c r="G2047" s="629"/>
      <c r="H2047" s="495">
        <v>11.07</v>
      </c>
    </row>
    <row r="2048" spans="1:8" ht="12.75" customHeight="1">
      <c r="B2048" s="105"/>
      <c r="C2048" s="105"/>
      <c r="D2048" s="105"/>
      <c r="E2048" s="105"/>
      <c r="F2048" s="630" t="s">
        <v>464</v>
      </c>
      <c r="G2048" s="630"/>
      <c r="H2048" s="102">
        <v>14.24</v>
      </c>
    </row>
    <row r="2049" spans="1:8">
      <c r="B2049" s="105"/>
      <c r="C2049" s="105"/>
      <c r="D2049" s="105"/>
      <c r="E2049" s="105"/>
      <c r="F2049" s="634"/>
      <c r="G2049" s="634"/>
      <c r="H2049" s="634"/>
    </row>
    <row r="2050" spans="1:8" s="220" customFormat="1" ht="27" customHeight="1">
      <c r="A2050" s="178" t="str">
        <f>'3 - PLAN. ORÇAMENTÁRIA'!A397</f>
        <v>5.1.1.3</v>
      </c>
      <c r="B2050" s="242">
        <f>VLOOKUP(A2050,'3 - PLAN. ORÇAMENTÁRIA'!$A$16:$B$721,2,FALSE)</f>
        <v>104004</v>
      </c>
      <c r="C2050" s="631" t="str">
        <f>VLOOKUP(A2050,'3 - PLAN. ORÇAMENTÁRIA'!$A$16:$C$721,3,FALSE)</f>
        <v>TE, PVC, SOLDÁVEL, DN 50MM - FORNECIMENTO E INSTALAÇÃO. AF_06/2022</v>
      </c>
      <c r="D2050" s="632"/>
      <c r="E2050" s="632"/>
      <c r="F2050" s="632"/>
      <c r="G2050" s="633"/>
      <c r="H2050" s="493" t="str">
        <f>VLOOKUP(A2050,'3 - PLAN. ORÇAMENTÁRIA'!$A$17:$E$721,5,FALSE)</f>
        <v>UN</v>
      </c>
    </row>
    <row r="2051" spans="1:8">
      <c r="B2051" s="628" t="s">
        <v>593</v>
      </c>
      <c r="C2051" s="628"/>
      <c r="D2051" s="103" t="s">
        <v>579</v>
      </c>
      <c r="E2051" s="103" t="s">
        <v>580</v>
      </c>
      <c r="F2051" s="103" t="s">
        <v>581</v>
      </c>
      <c r="G2051" s="103" t="s">
        <v>582</v>
      </c>
      <c r="H2051" s="103" t="s">
        <v>583</v>
      </c>
    </row>
    <row r="2052" spans="1:8">
      <c r="B2052" s="130" t="s">
        <v>1540</v>
      </c>
      <c r="C2052" s="229" t="s">
        <v>1541</v>
      </c>
      <c r="D2052" s="130" t="s">
        <v>119</v>
      </c>
      <c r="E2052" s="130" t="s">
        <v>144</v>
      </c>
      <c r="F2052" s="230">
        <v>2.47E-2</v>
      </c>
      <c r="G2052" s="494">
        <v>72.86</v>
      </c>
      <c r="H2052" s="494">
        <v>1.8</v>
      </c>
    </row>
    <row r="2053" spans="1:8">
      <c r="B2053" s="130" t="s">
        <v>673</v>
      </c>
      <c r="C2053" s="229" t="s">
        <v>3789</v>
      </c>
      <c r="D2053" s="130" t="s">
        <v>119</v>
      </c>
      <c r="E2053" s="130" t="s">
        <v>144</v>
      </c>
      <c r="F2053" s="230">
        <v>7.6499999999999999E-2</v>
      </c>
      <c r="G2053" s="494">
        <v>2.57</v>
      </c>
      <c r="H2053" s="494">
        <v>0.2</v>
      </c>
    </row>
    <row r="2054" spans="1:8">
      <c r="B2054" s="130" t="s">
        <v>1542</v>
      </c>
      <c r="C2054" s="229" t="s">
        <v>1543</v>
      </c>
      <c r="D2054" s="130" t="s">
        <v>119</v>
      </c>
      <c r="E2054" s="130" t="s">
        <v>144</v>
      </c>
      <c r="F2054" s="230">
        <v>3.3000000000000002E-2</v>
      </c>
      <c r="G2054" s="494">
        <v>82.55</v>
      </c>
      <c r="H2054" s="494">
        <v>2.72</v>
      </c>
    </row>
    <row r="2055" spans="1:8">
      <c r="B2055" s="130" t="s">
        <v>1607</v>
      </c>
      <c r="C2055" s="229" t="s">
        <v>1608</v>
      </c>
      <c r="D2055" s="130" t="s">
        <v>119</v>
      </c>
      <c r="E2055" s="130" t="s">
        <v>144</v>
      </c>
      <c r="F2055" s="230">
        <v>1</v>
      </c>
      <c r="G2055" s="494">
        <v>10.36</v>
      </c>
      <c r="H2055" s="494">
        <v>10.36</v>
      </c>
    </row>
    <row r="2056" spans="1:8">
      <c r="B2056" s="105"/>
      <c r="C2056" s="105"/>
      <c r="D2056" s="105"/>
      <c r="E2056" s="105"/>
      <c r="F2056" s="629" t="s">
        <v>604</v>
      </c>
      <c r="G2056" s="629"/>
      <c r="H2056" s="495">
        <v>15.08</v>
      </c>
    </row>
    <row r="2057" spans="1:8" ht="12.75" customHeight="1">
      <c r="B2057" s="628" t="s">
        <v>607</v>
      </c>
      <c r="C2057" s="628"/>
      <c r="D2057" s="103" t="s">
        <v>579</v>
      </c>
      <c r="E2057" s="103" t="s">
        <v>580</v>
      </c>
      <c r="F2057" s="103" t="s">
        <v>581</v>
      </c>
      <c r="G2057" s="103" t="s">
        <v>582</v>
      </c>
      <c r="H2057" s="103" t="s">
        <v>583</v>
      </c>
    </row>
    <row r="2058" spans="1:8">
      <c r="B2058" s="130" t="s">
        <v>1296</v>
      </c>
      <c r="C2058" s="229" t="s">
        <v>611</v>
      </c>
      <c r="D2058" s="130" t="s">
        <v>119</v>
      </c>
      <c r="E2058" s="130" t="s">
        <v>121</v>
      </c>
      <c r="F2058" s="230">
        <v>0.30590000000000001</v>
      </c>
      <c r="G2058" s="494">
        <v>24.02</v>
      </c>
      <c r="H2058" s="494">
        <v>7.35</v>
      </c>
    </row>
    <row r="2059" spans="1:8">
      <c r="B2059" s="130" t="s">
        <v>1297</v>
      </c>
      <c r="C2059" s="229" t="s">
        <v>612</v>
      </c>
      <c r="D2059" s="130" t="s">
        <v>119</v>
      </c>
      <c r="E2059" s="130" t="s">
        <v>121</v>
      </c>
      <c r="F2059" s="230">
        <v>0.30590000000000001</v>
      </c>
      <c r="G2059" s="494">
        <v>30.62</v>
      </c>
      <c r="H2059" s="494">
        <v>9.3699999999999992</v>
      </c>
    </row>
    <row r="2060" spans="1:8" ht="12.75" customHeight="1">
      <c r="B2060" s="105"/>
      <c r="C2060" s="105"/>
      <c r="D2060" s="105"/>
      <c r="E2060" s="105"/>
      <c r="F2060" s="629" t="s">
        <v>610</v>
      </c>
      <c r="G2060" s="629"/>
      <c r="H2060" s="495">
        <v>16.72</v>
      </c>
    </row>
    <row r="2061" spans="1:8" ht="12.75" customHeight="1">
      <c r="B2061" s="105"/>
      <c r="C2061" s="105"/>
      <c r="D2061" s="105"/>
      <c r="E2061" s="105"/>
      <c r="F2061" s="630" t="s">
        <v>464</v>
      </c>
      <c r="G2061" s="630"/>
      <c r="H2061" s="102">
        <v>31.76</v>
      </c>
    </row>
    <row r="2062" spans="1:8">
      <c r="B2062" s="105"/>
      <c r="C2062" s="105"/>
      <c r="D2062" s="105"/>
      <c r="E2062" s="105"/>
      <c r="F2062" s="634"/>
      <c r="G2062" s="634"/>
      <c r="H2062" s="634"/>
    </row>
    <row r="2063" spans="1:8" s="220" customFormat="1" ht="27" customHeight="1">
      <c r="A2063" s="178" t="str">
        <f>'3 - PLAN. ORÇAMENTÁRIA'!A398</f>
        <v>5.1.1.4</v>
      </c>
      <c r="B2063" s="242">
        <f>VLOOKUP(A2063,'3 - PLAN. ORÇAMENTÁRIA'!$A$16:$B$721,2,FALSE)</f>
        <v>103984</v>
      </c>
      <c r="C2063" s="631" t="str">
        <f>VLOOKUP(A2063,'3 - PLAN. ORÇAMENTÁRIA'!$A$16:$C$721,3,FALSE)</f>
        <v>JOELHO 90 GRAUS, PVC, SOLDÁVEL, DN 50MM - FORNECIMENTO E INSTALAÇÃO. AF_06/2022</v>
      </c>
      <c r="D2063" s="632"/>
      <c r="E2063" s="632"/>
      <c r="F2063" s="632"/>
      <c r="G2063" s="633"/>
      <c r="H2063" s="493" t="str">
        <f>VLOOKUP(A2063,'3 - PLAN. ORÇAMENTÁRIA'!$A$17:$E$721,5,FALSE)</f>
        <v>UN</v>
      </c>
    </row>
    <row r="2064" spans="1:8">
      <c r="B2064" s="628" t="s">
        <v>593</v>
      </c>
      <c r="C2064" s="628"/>
      <c r="D2064" s="103" t="s">
        <v>579</v>
      </c>
      <c r="E2064" s="103" t="s">
        <v>580</v>
      </c>
      <c r="F2064" s="103" t="s">
        <v>581</v>
      </c>
      <c r="G2064" s="103" t="s">
        <v>582</v>
      </c>
      <c r="H2064" s="103" t="s">
        <v>583</v>
      </c>
    </row>
    <row r="2065" spans="1:8">
      <c r="B2065" s="130" t="s">
        <v>1540</v>
      </c>
      <c r="C2065" s="229" t="s">
        <v>1541</v>
      </c>
      <c r="D2065" s="130" t="s">
        <v>119</v>
      </c>
      <c r="E2065" s="130" t="s">
        <v>144</v>
      </c>
      <c r="F2065" s="230">
        <v>1.6500000000000001E-2</v>
      </c>
      <c r="G2065" s="494">
        <v>72.86</v>
      </c>
      <c r="H2065" s="494">
        <v>1.2</v>
      </c>
    </row>
    <row r="2066" spans="1:8">
      <c r="B2066" s="130" t="s">
        <v>1615</v>
      </c>
      <c r="C2066" s="229" t="s">
        <v>1616</v>
      </c>
      <c r="D2066" s="130" t="s">
        <v>119</v>
      </c>
      <c r="E2066" s="130" t="s">
        <v>144</v>
      </c>
      <c r="F2066" s="230">
        <v>1</v>
      </c>
      <c r="G2066" s="494">
        <v>5.36</v>
      </c>
      <c r="H2066" s="494">
        <v>5.36</v>
      </c>
    </row>
    <row r="2067" spans="1:8">
      <c r="B2067" s="130" t="s">
        <v>673</v>
      </c>
      <c r="C2067" s="229" t="s">
        <v>3789</v>
      </c>
      <c r="D2067" s="130" t="s">
        <v>119</v>
      </c>
      <c r="E2067" s="130" t="s">
        <v>144</v>
      </c>
      <c r="F2067" s="230">
        <v>5.0999999999999997E-2</v>
      </c>
      <c r="G2067" s="494">
        <v>2.57</v>
      </c>
      <c r="H2067" s="494">
        <v>0.13</v>
      </c>
    </row>
    <row r="2068" spans="1:8">
      <c r="B2068" s="130" t="s">
        <v>1542</v>
      </c>
      <c r="C2068" s="229" t="s">
        <v>1543</v>
      </c>
      <c r="D2068" s="130" t="s">
        <v>119</v>
      </c>
      <c r="E2068" s="130" t="s">
        <v>144</v>
      </c>
      <c r="F2068" s="230">
        <v>2.1999999999999999E-2</v>
      </c>
      <c r="G2068" s="494">
        <v>82.55</v>
      </c>
      <c r="H2068" s="494">
        <v>1.82</v>
      </c>
    </row>
    <row r="2069" spans="1:8">
      <c r="B2069" s="105"/>
      <c r="C2069" s="105"/>
      <c r="D2069" s="105"/>
      <c r="E2069" s="105"/>
      <c r="F2069" s="629" t="s">
        <v>604</v>
      </c>
      <c r="G2069" s="629"/>
      <c r="H2069" s="495">
        <v>8.51</v>
      </c>
    </row>
    <row r="2070" spans="1:8" ht="12.75" customHeight="1">
      <c r="B2070" s="628" t="s">
        <v>607</v>
      </c>
      <c r="C2070" s="628"/>
      <c r="D2070" s="103" t="s">
        <v>579</v>
      </c>
      <c r="E2070" s="103" t="s">
        <v>580</v>
      </c>
      <c r="F2070" s="103" t="s">
        <v>581</v>
      </c>
      <c r="G2070" s="103" t="s">
        <v>582</v>
      </c>
      <c r="H2070" s="103" t="s">
        <v>583</v>
      </c>
    </row>
    <row r="2071" spans="1:8">
      <c r="B2071" s="130" t="s">
        <v>1296</v>
      </c>
      <c r="C2071" s="229" t="s">
        <v>611</v>
      </c>
      <c r="D2071" s="130" t="s">
        <v>119</v>
      </c>
      <c r="E2071" s="130" t="s">
        <v>121</v>
      </c>
      <c r="F2071" s="230">
        <v>0.22939999999999999</v>
      </c>
      <c r="G2071" s="494">
        <v>24.02</v>
      </c>
      <c r="H2071" s="494">
        <v>5.51</v>
      </c>
    </row>
    <row r="2072" spans="1:8">
      <c r="B2072" s="130" t="s">
        <v>1297</v>
      </c>
      <c r="C2072" s="229" t="s">
        <v>612</v>
      </c>
      <c r="D2072" s="130" t="s">
        <v>119</v>
      </c>
      <c r="E2072" s="130" t="s">
        <v>121</v>
      </c>
      <c r="F2072" s="230">
        <v>0.22939999999999999</v>
      </c>
      <c r="G2072" s="494">
        <v>30.62</v>
      </c>
      <c r="H2072" s="494">
        <v>7.02</v>
      </c>
    </row>
    <row r="2073" spans="1:8" ht="12.75" customHeight="1">
      <c r="B2073" s="105"/>
      <c r="C2073" s="105"/>
      <c r="D2073" s="105"/>
      <c r="E2073" s="105"/>
      <c r="F2073" s="629" t="s">
        <v>610</v>
      </c>
      <c r="G2073" s="629"/>
      <c r="H2073" s="495">
        <v>12.53</v>
      </c>
    </row>
    <row r="2074" spans="1:8" ht="12.75" customHeight="1">
      <c r="B2074" s="105"/>
      <c r="C2074" s="105"/>
      <c r="D2074" s="105"/>
      <c r="E2074" s="105"/>
      <c r="F2074" s="630" t="s">
        <v>464</v>
      </c>
      <c r="G2074" s="630"/>
      <c r="H2074" s="102">
        <v>21.03</v>
      </c>
    </row>
    <row r="2075" spans="1:8">
      <c r="B2075" s="105"/>
      <c r="C2075" s="105"/>
      <c r="D2075" s="105"/>
      <c r="E2075" s="105"/>
      <c r="F2075" s="634"/>
      <c r="G2075" s="634"/>
      <c r="H2075" s="634"/>
    </row>
    <row r="2076" spans="1:8" s="220" customFormat="1" ht="27" customHeight="1">
      <c r="A2076" s="178" t="str">
        <f>'3 - PLAN. ORÇAMENTÁRIA'!A399</f>
        <v>5.1.1.5</v>
      </c>
      <c r="B2076" s="242">
        <f>VLOOKUP(A2076,'3 - PLAN. ORÇAMENTÁRIA'!$A$16:$B$721,2,FALSE)</f>
        <v>89413</v>
      </c>
      <c r="C2076" s="631" t="str">
        <f>VLOOKUP(A2076,'3 - PLAN. ORÇAMENTÁRIA'!$A$16:$C$721,3,FALSE)</f>
        <v>JOELHO 90 GRAUS, PVC, SOLDÁVEL, DN 32MM - FORNECIMENTO E INSTALAÇÃO. AF_06/2022</v>
      </c>
      <c r="D2076" s="632"/>
      <c r="E2076" s="632"/>
      <c r="F2076" s="632"/>
      <c r="G2076" s="633"/>
      <c r="H2076" s="493" t="str">
        <f>VLOOKUP(A2076,'3 - PLAN. ORÇAMENTÁRIA'!$A$17:$E$721,5,FALSE)</f>
        <v>UN</v>
      </c>
    </row>
    <row r="2077" spans="1:8">
      <c r="B2077" s="628" t="s">
        <v>593</v>
      </c>
      <c r="C2077" s="628"/>
      <c r="D2077" s="103" t="s">
        <v>579</v>
      </c>
      <c r="E2077" s="103" t="s">
        <v>580</v>
      </c>
      <c r="F2077" s="103" t="s">
        <v>581</v>
      </c>
      <c r="G2077" s="103" t="s">
        <v>582</v>
      </c>
      <c r="H2077" s="103" t="s">
        <v>583</v>
      </c>
    </row>
    <row r="2078" spans="1:8">
      <c r="B2078" s="130" t="s">
        <v>1540</v>
      </c>
      <c r="C2078" s="229" t="s">
        <v>1541</v>
      </c>
      <c r="D2078" s="130" t="s">
        <v>119</v>
      </c>
      <c r="E2078" s="130" t="s">
        <v>144</v>
      </c>
      <c r="F2078" s="230">
        <v>9.4000000000000004E-3</v>
      </c>
      <c r="G2078" s="494">
        <v>72.86</v>
      </c>
      <c r="H2078" s="494">
        <v>0.68</v>
      </c>
    </row>
    <row r="2079" spans="1:8">
      <c r="B2079" s="130" t="s">
        <v>1661</v>
      </c>
      <c r="C2079" s="229" t="s">
        <v>1662</v>
      </c>
      <c r="D2079" s="130" t="s">
        <v>119</v>
      </c>
      <c r="E2079" s="130" t="s">
        <v>144</v>
      </c>
      <c r="F2079" s="230">
        <v>1</v>
      </c>
      <c r="G2079" s="494">
        <v>2.6</v>
      </c>
      <c r="H2079" s="494">
        <v>2.6</v>
      </c>
    </row>
    <row r="2080" spans="1:8">
      <c r="B2080" s="130" t="s">
        <v>673</v>
      </c>
      <c r="C2080" s="229" t="s">
        <v>3789</v>
      </c>
      <c r="D2080" s="130" t="s">
        <v>119</v>
      </c>
      <c r="E2080" s="130" t="s">
        <v>144</v>
      </c>
      <c r="F2080" s="230">
        <v>3.5999999999999997E-2</v>
      </c>
      <c r="G2080" s="494">
        <v>2.57</v>
      </c>
      <c r="H2080" s="494">
        <v>0.09</v>
      </c>
    </row>
    <row r="2081" spans="1:8">
      <c r="B2081" s="130" t="s">
        <v>1542</v>
      </c>
      <c r="C2081" s="229" t="s">
        <v>1543</v>
      </c>
      <c r="D2081" s="130" t="s">
        <v>119</v>
      </c>
      <c r="E2081" s="130" t="s">
        <v>144</v>
      </c>
      <c r="F2081" s="230">
        <v>1.0999999999999999E-2</v>
      </c>
      <c r="G2081" s="494">
        <v>82.55</v>
      </c>
      <c r="H2081" s="494">
        <v>0.91</v>
      </c>
    </row>
    <row r="2082" spans="1:8">
      <c r="B2082" s="105"/>
      <c r="C2082" s="105"/>
      <c r="D2082" s="105"/>
      <c r="E2082" s="105"/>
      <c r="F2082" s="629" t="s">
        <v>604</v>
      </c>
      <c r="G2082" s="629"/>
      <c r="H2082" s="495">
        <v>4.28</v>
      </c>
    </row>
    <row r="2083" spans="1:8" ht="12.75" customHeight="1">
      <c r="B2083" s="628" t="s">
        <v>607</v>
      </c>
      <c r="C2083" s="628"/>
      <c r="D2083" s="103" t="s">
        <v>579</v>
      </c>
      <c r="E2083" s="103" t="s">
        <v>580</v>
      </c>
      <c r="F2083" s="103" t="s">
        <v>581</v>
      </c>
      <c r="G2083" s="103" t="s">
        <v>582</v>
      </c>
      <c r="H2083" s="103" t="s">
        <v>583</v>
      </c>
    </row>
    <row r="2084" spans="1:8">
      <c r="B2084" s="130" t="s">
        <v>1296</v>
      </c>
      <c r="C2084" s="229" t="s">
        <v>611</v>
      </c>
      <c r="D2084" s="130" t="s">
        <v>119</v>
      </c>
      <c r="E2084" s="130" t="s">
        <v>121</v>
      </c>
      <c r="F2084" s="230">
        <v>0.16209999999999999</v>
      </c>
      <c r="G2084" s="494">
        <v>24.02</v>
      </c>
      <c r="H2084" s="494">
        <v>3.89</v>
      </c>
    </row>
    <row r="2085" spans="1:8">
      <c r="B2085" s="130" t="s">
        <v>1297</v>
      </c>
      <c r="C2085" s="229" t="s">
        <v>612</v>
      </c>
      <c r="D2085" s="130" t="s">
        <v>119</v>
      </c>
      <c r="E2085" s="130" t="s">
        <v>121</v>
      </c>
      <c r="F2085" s="230">
        <v>0.16209999999999999</v>
      </c>
      <c r="G2085" s="494">
        <v>30.62</v>
      </c>
      <c r="H2085" s="494">
        <v>4.96</v>
      </c>
    </row>
    <row r="2086" spans="1:8" ht="12.75" customHeight="1">
      <c r="B2086" s="105"/>
      <c r="C2086" s="105"/>
      <c r="D2086" s="105"/>
      <c r="E2086" s="105"/>
      <c r="F2086" s="629" t="s">
        <v>610</v>
      </c>
      <c r="G2086" s="629"/>
      <c r="H2086" s="495">
        <v>8.85</v>
      </c>
    </row>
    <row r="2087" spans="1:8" ht="12.75" customHeight="1">
      <c r="B2087" s="105"/>
      <c r="C2087" s="105"/>
      <c r="D2087" s="105"/>
      <c r="E2087" s="105"/>
      <c r="F2087" s="630" t="s">
        <v>464</v>
      </c>
      <c r="G2087" s="630"/>
      <c r="H2087" s="102">
        <v>13.12</v>
      </c>
    </row>
    <row r="2088" spans="1:8">
      <c r="B2088" s="105"/>
      <c r="C2088" s="105"/>
      <c r="D2088" s="105"/>
      <c r="E2088" s="105"/>
      <c r="F2088" s="634"/>
      <c r="G2088" s="634"/>
      <c r="H2088" s="634"/>
    </row>
    <row r="2089" spans="1:8" s="220" customFormat="1" ht="27" customHeight="1">
      <c r="A2089" s="178" t="str">
        <f>'3 - PLAN. ORÇAMENTÁRIA'!A400</f>
        <v>5.1.1.6</v>
      </c>
      <c r="B2089" s="242">
        <f>VLOOKUP(A2089,'3 - PLAN. ORÇAMENTÁRIA'!$A$16:$B$721,2,FALSE)</f>
        <v>89481</v>
      </c>
      <c r="C2089" s="631" t="str">
        <f>VLOOKUP(A2089,'3 - PLAN. ORÇAMENTÁRIA'!$A$16:$C$721,3,FALSE)</f>
        <v>JOELHO 90 GRAUS, PVC, SOLDÁVEL, DN 25MM - FORNECIMENTO E INSTALAÇÃO. AF_06/2022</v>
      </c>
      <c r="D2089" s="632"/>
      <c r="E2089" s="632"/>
      <c r="F2089" s="632"/>
      <c r="G2089" s="633"/>
      <c r="H2089" s="493" t="str">
        <f>VLOOKUP(A2089,'3 - PLAN. ORÇAMENTÁRIA'!$A$17:$E$721,5,FALSE)</f>
        <v>UN</v>
      </c>
    </row>
    <row r="2090" spans="1:8">
      <c r="B2090" s="628" t="s">
        <v>593</v>
      </c>
      <c r="C2090" s="628"/>
      <c r="D2090" s="103" t="s">
        <v>579</v>
      </c>
      <c r="E2090" s="103" t="s">
        <v>580</v>
      </c>
      <c r="F2090" s="103" t="s">
        <v>581</v>
      </c>
      <c r="G2090" s="103" t="s">
        <v>582</v>
      </c>
      <c r="H2090" s="103" t="s">
        <v>583</v>
      </c>
    </row>
    <row r="2091" spans="1:8">
      <c r="B2091" s="130" t="s">
        <v>1540</v>
      </c>
      <c r="C2091" s="229" t="s">
        <v>1541</v>
      </c>
      <c r="D2091" s="130" t="s">
        <v>119</v>
      </c>
      <c r="E2091" s="130" t="s">
        <v>144</v>
      </c>
      <c r="F2091" s="230">
        <v>7.1000000000000004E-3</v>
      </c>
      <c r="G2091" s="494">
        <v>72.86</v>
      </c>
      <c r="H2091" s="494">
        <v>0.52</v>
      </c>
    </row>
    <row r="2092" spans="1:8">
      <c r="B2092" s="130" t="s">
        <v>1617</v>
      </c>
      <c r="C2092" s="229" t="s">
        <v>1618</v>
      </c>
      <c r="D2092" s="130" t="s">
        <v>119</v>
      </c>
      <c r="E2092" s="130" t="s">
        <v>144</v>
      </c>
      <c r="F2092" s="230">
        <v>1</v>
      </c>
      <c r="G2092" s="494">
        <v>0.78</v>
      </c>
      <c r="H2092" s="494">
        <v>0.78</v>
      </c>
    </row>
    <row r="2093" spans="1:8">
      <c r="B2093" s="130" t="s">
        <v>673</v>
      </c>
      <c r="C2093" s="229" t="s">
        <v>3789</v>
      </c>
      <c r="D2093" s="130" t="s">
        <v>119</v>
      </c>
      <c r="E2093" s="130" t="s">
        <v>144</v>
      </c>
      <c r="F2093" s="230">
        <v>1.0800000000000001E-2</v>
      </c>
      <c r="G2093" s="494">
        <v>2.57</v>
      </c>
      <c r="H2093" s="494">
        <v>0.03</v>
      </c>
    </row>
    <row r="2094" spans="1:8">
      <c r="B2094" s="130" t="s">
        <v>1542</v>
      </c>
      <c r="C2094" s="229" t="s">
        <v>1543</v>
      </c>
      <c r="D2094" s="130" t="s">
        <v>119</v>
      </c>
      <c r="E2094" s="130" t="s">
        <v>144</v>
      </c>
      <c r="F2094" s="230">
        <v>8.0000000000000002E-3</v>
      </c>
      <c r="G2094" s="494">
        <v>82.55</v>
      </c>
      <c r="H2094" s="494">
        <v>0.66</v>
      </c>
    </row>
    <row r="2095" spans="1:8">
      <c r="B2095" s="105"/>
      <c r="C2095" s="105"/>
      <c r="D2095" s="105"/>
      <c r="E2095" s="105"/>
      <c r="F2095" s="629" t="s">
        <v>604</v>
      </c>
      <c r="G2095" s="629"/>
      <c r="H2095" s="495">
        <v>1.99</v>
      </c>
    </row>
    <row r="2096" spans="1:8" ht="12.75" customHeight="1">
      <c r="B2096" s="628" t="s">
        <v>607</v>
      </c>
      <c r="C2096" s="628"/>
      <c r="D2096" s="103" t="s">
        <v>579</v>
      </c>
      <c r="E2096" s="103" t="s">
        <v>580</v>
      </c>
      <c r="F2096" s="103" t="s">
        <v>581</v>
      </c>
      <c r="G2096" s="103" t="s">
        <v>582</v>
      </c>
      <c r="H2096" s="103" t="s">
        <v>583</v>
      </c>
    </row>
    <row r="2097" spans="1:8">
      <c r="B2097" s="130" t="s">
        <v>1296</v>
      </c>
      <c r="C2097" s="229" t="s">
        <v>611</v>
      </c>
      <c r="D2097" s="130" t="s">
        <v>119</v>
      </c>
      <c r="E2097" s="130" t="s">
        <v>121</v>
      </c>
      <c r="F2097" s="230">
        <v>7.0599999999999996E-2</v>
      </c>
      <c r="G2097" s="494">
        <v>24.02</v>
      </c>
      <c r="H2097" s="494">
        <v>1.7</v>
      </c>
    </row>
    <row r="2098" spans="1:8">
      <c r="B2098" s="130" t="s">
        <v>1297</v>
      </c>
      <c r="C2098" s="229" t="s">
        <v>612</v>
      </c>
      <c r="D2098" s="130" t="s">
        <v>119</v>
      </c>
      <c r="E2098" s="130" t="s">
        <v>121</v>
      </c>
      <c r="F2098" s="230">
        <v>7.0599999999999996E-2</v>
      </c>
      <c r="G2098" s="494">
        <v>30.62</v>
      </c>
      <c r="H2098" s="494">
        <v>2.16</v>
      </c>
    </row>
    <row r="2099" spans="1:8" ht="12.75" customHeight="1">
      <c r="B2099" s="105"/>
      <c r="C2099" s="105"/>
      <c r="D2099" s="105"/>
      <c r="E2099" s="105"/>
      <c r="F2099" s="629" t="s">
        <v>610</v>
      </c>
      <c r="G2099" s="629"/>
      <c r="H2099" s="495">
        <v>3.86</v>
      </c>
    </row>
    <row r="2100" spans="1:8" ht="12.75" customHeight="1">
      <c r="B2100" s="105"/>
      <c r="C2100" s="105"/>
      <c r="D2100" s="105"/>
      <c r="E2100" s="105"/>
      <c r="F2100" s="630" t="s">
        <v>464</v>
      </c>
      <c r="G2100" s="630"/>
      <c r="H2100" s="102">
        <v>5.82</v>
      </c>
    </row>
    <row r="2101" spans="1:8">
      <c r="B2101" s="105"/>
      <c r="C2101" s="105"/>
      <c r="D2101" s="105"/>
      <c r="E2101" s="105"/>
      <c r="F2101" s="634"/>
      <c r="G2101" s="634"/>
      <c r="H2101" s="634"/>
    </row>
    <row r="2102" spans="1:8" s="220" customFormat="1" ht="27" customHeight="1">
      <c r="A2102" s="178" t="str">
        <f>'3 - PLAN. ORÇAMENTÁRIA'!A401</f>
        <v>5.1.1.7</v>
      </c>
      <c r="B2102" s="242">
        <f>VLOOKUP(A2102,'3 - PLAN. ORÇAMENTÁRIA'!$A$16:$B$721,2,FALSE)</f>
        <v>89414</v>
      </c>
      <c r="C2102" s="631" t="str">
        <f>VLOOKUP(A2102,'3 - PLAN. ORÇAMENTÁRIA'!$A$16:$C$721,3,FALSE)</f>
        <v>JOELHO 45 GRAUS, PVC, SOLDÁVEL, DN 32MM - FORNECIMENTO E INSTALAÇÃO. AF_06/2022</v>
      </c>
      <c r="D2102" s="632"/>
      <c r="E2102" s="632"/>
      <c r="F2102" s="632"/>
      <c r="G2102" s="633"/>
      <c r="H2102" s="493" t="str">
        <f>VLOOKUP(A2102,'3 - PLAN. ORÇAMENTÁRIA'!$A$17:$E$721,5,FALSE)</f>
        <v>UN</v>
      </c>
    </row>
    <row r="2103" spans="1:8">
      <c r="B2103" s="628" t="s">
        <v>593</v>
      </c>
      <c r="C2103" s="628"/>
      <c r="D2103" s="103" t="s">
        <v>579</v>
      </c>
      <c r="E2103" s="103" t="s">
        <v>580</v>
      </c>
      <c r="F2103" s="103" t="s">
        <v>581</v>
      </c>
      <c r="G2103" s="103" t="s">
        <v>582</v>
      </c>
      <c r="H2103" s="103" t="s">
        <v>583</v>
      </c>
    </row>
    <row r="2104" spans="1:8">
      <c r="B2104" s="130" t="s">
        <v>1540</v>
      </c>
      <c r="C2104" s="229" t="s">
        <v>1541</v>
      </c>
      <c r="D2104" s="130" t="s">
        <v>119</v>
      </c>
      <c r="E2104" s="130" t="s">
        <v>144</v>
      </c>
      <c r="F2104" s="230">
        <v>9.4000000000000004E-3</v>
      </c>
      <c r="G2104" s="494">
        <v>72.86</v>
      </c>
      <c r="H2104" s="494">
        <v>0.68</v>
      </c>
    </row>
    <row r="2105" spans="1:8">
      <c r="B2105" s="130" t="s">
        <v>1619</v>
      </c>
      <c r="C2105" s="229" t="s">
        <v>1620</v>
      </c>
      <c r="D2105" s="130" t="s">
        <v>119</v>
      </c>
      <c r="E2105" s="130" t="s">
        <v>144</v>
      </c>
      <c r="F2105" s="230">
        <v>1</v>
      </c>
      <c r="G2105" s="494">
        <v>4.45</v>
      </c>
      <c r="H2105" s="494">
        <v>4.45</v>
      </c>
    </row>
    <row r="2106" spans="1:8">
      <c r="B2106" s="130" t="s">
        <v>673</v>
      </c>
      <c r="C2106" s="229" t="s">
        <v>3789</v>
      </c>
      <c r="D2106" s="130" t="s">
        <v>119</v>
      </c>
      <c r="E2106" s="130" t="s">
        <v>144</v>
      </c>
      <c r="F2106" s="230">
        <v>3.5999999999999997E-2</v>
      </c>
      <c r="G2106" s="494">
        <v>2.57</v>
      </c>
      <c r="H2106" s="494">
        <v>0.09</v>
      </c>
    </row>
    <row r="2107" spans="1:8">
      <c r="B2107" s="130" t="s">
        <v>1542</v>
      </c>
      <c r="C2107" s="229" t="s">
        <v>1543</v>
      </c>
      <c r="D2107" s="130" t="s">
        <v>119</v>
      </c>
      <c r="E2107" s="130" t="s">
        <v>144</v>
      </c>
      <c r="F2107" s="230">
        <v>1.0999999999999999E-2</v>
      </c>
      <c r="G2107" s="494">
        <v>82.55</v>
      </c>
      <c r="H2107" s="494">
        <v>0.91</v>
      </c>
    </row>
    <row r="2108" spans="1:8">
      <c r="B2108" s="105"/>
      <c r="C2108" s="105"/>
      <c r="D2108" s="105"/>
      <c r="E2108" s="105"/>
      <c r="F2108" s="629" t="s">
        <v>604</v>
      </c>
      <c r="G2108" s="629"/>
      <c r="H2108" s="495">
        <v>6.13</v>
      </c>
    </row>
    <row r="2109" spans="1:8" ht="12.75" customHeight="1">
      <c r="B2109" s="628" t="s">
        <v>607</v>
      </c>
      <c r="C2109" s="628"/>
      <c r="D2109" s="103" t="s">
        <v>579</v>
      </c>
      <c r="E2109" s="103" t="s">
        <v>580</v>
      </c>
      <c r="F2109" s="103" t="s">
        <v>581</v>
      </c>
      <c r="G2109" s="103" t="s">
        <v>582</v>
      </c>
      <c r="H2109" s="103" t="s">
        <v>583</v>
      </c>
    </row>
    <row r="2110" spans="1:8">
      <c r="B2110" s="130" t="s">
        <v>1296</v>
      </c>
      <c r="C2110" s="229" t="s">
        <v>611</v>
      </c>
      <c r="D2110" s="130" t="s">
        <v>119</v>
      </c>
      <c r="E2110" s="130" t="s">
        <v>121</v>
      </c>
      <c r="F2110" s="230">
        <v>0.16209999999999999</v>
      </c>
      <c r="G2110" s="494">
        <v>24.02</v>
      </c>
      <c r="H2110" s="494">
        <v>3.89</v>
      </c>
    </row>
    <row r="2111" spans="1:8">
      <c r="B2111" s="130" t="s">
        <v>1297</v>
      </c>
      <c r="C2111" s="229" t="s">
        <v>612</v>
      </c>
      <c r="D2111" s="130" t="s">
        <v>119</v>
      </c>
      <c r="E2111" s="130" t="s">
        <v>121</v>
      </c>
      <c r="F2111" s="230">
        <v>0.16209999999999999</v>
      </c>
      <c r="G2111" s="494">
        <v>30.62</v>
      </c>
      <c r="H2111" s="494">
        <v>4.96</v>
      </c>
    </row>
    <row r="2112" spans="1:8" ht="12.75" customHeight="1">
      <c r="B2112" s="105"/>
      <c r="C2112" s="105"/>
      <c r="D2112" s="105"/>
      <c r="E2112" s="105"/>
      <c r="F2112" s="629" t="s">
        <v>610</v>
      </c>
      <c r="G2112" s="629"/>
      <c r="H2112" s="495">
        <v>8.85</v>
      </c>
    </row>
    <row r="2113" spans="1:8" ht="12.75" customHeight="1">
      <c r="B2113" s="105"/>
      <c r="C2113" s="105"/>
      <c r="D2113" s="105"/>
      <c r="E2113" s="105"/>
      <c r="F2113" s="630" t="s">
        <v>464</v>
      </c>
      <c r="G2113" s="630"/>
      <c r="H2113" s="102">
        <v>14.97</v>
      </c>
    </row>
    <row r="2114" spans="1:8">
      <c r="B2114" s="105"/>
      <c r="C2114" s="105"/>
      <c r="D2114" s="105"/>
      <c r="E2114" s="105"/>
      <c r="F2114" s="634"/>
      <c r="G2114" s="634"/>
      <c r="H2114" s="634"/>
    </row>
    <row r="2115" spans="1:8" s="220" customFormat="1" ht="27" customHeight="1">
      <c r="A2115" s="178" t="str">
        <f>'3 - PLAN. ORÇAMENTÁRIA'!A402</f>
        <v>5.1.1.8</v>
      </c>
      <c r="B2115" s="242">
        <f>VLOOKUP(A2115,'3 - PLAN. ORÇAMENTÁRIA'!$A$16:$B$721,2,FALSE)</f>
        <v>89485</v>
      </c>
      <c r="C2115" s="631" t="str">
        <f>VLOOKUP(A2115,'3 - PLAN. ORÇAMENTÁRIA'!$A$16:$C$721,3,FALSE)</f>
        <v>JOELHO 45 GRAUS, PVC, SOLDÁVEL, DN 25MM - FORNECIMENTO E INSTALAÇÃO. AF_06/2022</v>
      </c>
      <c r="D2115" s="632"/>
      <c r="E2115" s="632"/>
      <c r="F2115" s="632"/>
      <c r="G2115" s="633"/>
      <c r="H2115" s="493" t="str">
        <f>VLOOKUP(A2115,'3 - PLAN. ORÇAMENTÁRIA'!$A$17:$E$721,5,FALSE)</f>
        <v>UN</v>
      </c>
    </row>
    <row r="2116" spans="1:8">
      <c r="B2116" s="628" t="s">
        <v>593</v>
      </c>
      <c r="C2116" s="628"/>
      <c r="D2116" s="103" t="s">
        <v>579</v>
      </c>
      <c r="E2116" s="103" t="s">
        <v>580</v>
      </c>
      <c r="F2116" s="103" t="s">
        <v>581</v>
      </c>
      <c r="G2116" s="103" t="s">
        <v>582</v>
      </c>
      <c r="H2116" s="103" t="s">
        <v>583</v>
      </c>
    </row>
    <row r="2117" spans="1:8">
      <c r="B2117" s="130" t="s">
        <v>1540</v>
      </c>
      <c r="C2117" s="229" t="s">
        <v>1541</v>
      </c>
      <c r="D2117" s="130" t="s">
        <v>119</v>
      </c>
      <c r="E2117" s="130" t="s">
        <v>144</v>
      </c>
      <c r="F2117" s="230">
        <v>7.1000000000000004E-3</v>
      </c>
      <c r="G2117" s="494">
        <v>72.86</v>
      </c>
      <c r="H2117" s="494">
        <v>0.52</v>
      </c>
    </row>
    <row r="2118" spans="1:8">
      <c r="B2118" s="130" t="s">
        <v>1621</v>
      </c>
      <c r="C2118" s="229" t="s">
        <v>1622</v>
      </c>
      <c r="D2118" s="130" t="s">
        <v>119</v>
      </c>
      <c r="E2118" s="130" t="s">
        <v>144</v>
      </c>
      <c r="F2118" s="230">
        <v>1</v>
      </c>
      <c r="G2118" s="494">
        <v>1.61</v>
      </c>
      <c r="H2118" s="494">
        <v>1.61</v>
      </c>
    </row>
    <row r="2119" spans="1:8">
      <c r="B2119" s="130" t="s">
        <v>673</v>
      </c>
      <c r="C2119" s="229" t="s">
        <v>3789</v>
      </c>
      <c r="D2119" s="130" t="s">
        <v>119</v>
      </c>
      <c r="E2119" s="130" t="s">
        <v>144</v>
      </c>
      <c r="F2119" s="230">
        <v>1.0800000000000001E-2</v>
      </c>
      <c r="G2119" s="494">
        <v>2.57</v>
      </c>
      <c r="H2119" s="494">
        <v>0.03</v>
      </c>
    </row>
    <row r="2120" spans="1:8">
      <c r="B2120" s="130" t="s">
        <v>1542</v>
      </c>
      <c r="C2120" s="229" t="s">
        <v>1543</v>
      </c>
      <c r="D2120" s="130" t="s">
        <v>119</v>
      </c>
      <c r="E2120" s="130" t="s">
        <v>144</v>
      </c>
      <c r="F2120" s="230">
        <v>8.0000000000000002E-3</v>
      </c>
      <c r="G2120" s="494">
        <v>82.55</v>
      </c>
      <c r="H2120" s="494">
        <v>0.66</v>
      </c>
    </row>
    <row r="2121" spans="1:8">
      <c r="B2121" s="105"/>
      <c r="C2121" s="105"/>
      <c r="D2121" s="105"/>
      <c r="E2121" s="105"/>
      <c r="F2121" s="629" t="s">
        <v>604</v>
      </c>
      <c r="G2121" s="629"/>
      <c r="H2121" s="495">
        <v>2.82</v>
      </c>
    </row>
    <row r="2122" spans="1:8" ht="12.75" customHeight="1">
      <c r="B2122" s="628" t="s">
        <v>607</v>
      </c>
      <c r="C2122" s="628"/>
      <c r="D2122" s="103" t="s">
        <v>579</v>
      </c>
      <c r="E2122" s="103" t="s">
        <v>580</v>
      </c>
      <c r="F2122" s="103" t="s">
        <v>581</v>
      </c>
      <c r="G2122" s="103" t="s">
        <v>582</v>
      </c>
      <c r="H2122" s="103" t="s">
        <v>583</v>
      </c>
    </row>
    <row r="2123" spans="1:8">
      <c r="B2123" s="130" t="s">
        <v>1296</v>
      </c>
      <c r="C2123" s="229" t="s">
        <v>611</v>
      </c>
      <c r="D2123" s="130" t="s">
        <v>119</v>
      </c>
      <c r="E2123" s="130" t="s">
        <v>121</v>
      </c>
      <c r="F2123" s="230">
        <v>7.0599999999999996E-2</v>
      </c>
      <c r="G2123" s="494">
        <v>24.02</v>
      </c>
      <c r="H2123" s="494">
        <v>1.7</v>
      </c>
    </row>
    <row r="2124" spans="1:8">
      <c r="B2124" s="130" t="s">
        <v>1297</v>
      </c>
      <c r="C2124" s="229" t="s">
        <v>612</v>
      </c>
      <c r="D2124" s="130" t="s">
        <v>119</v>
      </c>
      <c r="E2124" s="130" t="s">
        <v>121</v>
      </c>
      <c r="F2124" s="230">
        <v>7.0599999999999996E-2</v>
      </c>
      <c r="G2124" s="494">
        <v>30.62</v>
      </c>
      <c r="H2124" s="494">
        <v>2.16</v>
      </c>
    </row>
    <row r="2125" spans="1:8" ht="12.75" customHeight="1">
      <c r="B2125" s="105"/>
      <c r="C2125" s="105"/>
      <c r="D2125" s="105"/>
      <c r="E2125" s="105"/>
      <c r="F2125" s="629" t="s">
        <v>610</v>
      </c>
      <c r="G2125" s="629"/>
      <c r="H2125" s="495">
        <v>3.86</v>
      </c>
    </row>
    <row r="2126" spans="1:8" ht="12.75" customHeight="1">
      <c r="B2126" s="105"/>
      <c r="C2126" s="105"/>
      <c r="D2126" s="105"/>
      <c r="E2126" s="105"/>
      <c r="F2126" s="630" t="s">
        <v>464</v>
      </c>
      <c r="G2126" s="630"/>
      <c r="H2126" s="102">
        <v>6.65</v>
      </c>
    </row>
    <row r="2127" spans="1:8">
      <c r="B2127" s="105"/>
      <c r="C2127" s="105"/>
      <c r="D2127" s="105"/>
      <c r="E2127" s="105"/>
      <c r="F2127" s="634"/>
      <c r="G2127" s="634"/>
      <c r="H2127" s="634"/>
    </row>
    <row r="2128" spans="1:8" s="220" customFormat="1" ht="27" customHeight="1">
      <c r="A2128" s="178" t="str">
        <f>'3 - PLAN. ORÇAMENTÁRIA'!A403</f>
        <v>5.1.1.9</v>
      </c>
      <c r="B2128" s="242">
        <f>VLOOKUP(A2128,'3 - PLAN. ORÇAMENTÁRIA'!$A$16:$B$721,2,FALSE)</f>
        <v>89445</v>
      </c>
      <c r="C2128" s="631" t="str">
        <f>VLOOKUP(A2128,'3 - PLAN. ORÇAMENTÁRIA'!$A$16:$C$721,3,FALSE)</f>
        <v>TÊ DE REDUÇÃO, PVC, SOLDÁVEL, DN 32MM X 25MM - FORNECIMENTO E INSTALAÇÃO. AF_06/2022</v>
      </c>
      <c r="D2128" s="632"/>
      <c r="E2128" s="632"/>
      <c r="F2128" s="632"/>
      <c r="G2128" s="633"/>
      <c r="H2128" s="493" t="str">
        <f>VLOOKUP(A2128,'3 - PLAN. ORÇAMENTÁRIA'!$A$17:$E$721,5,FALSE)</f>
        <v>UN</v>
      </c>
    </row>
    <row r="2129" spans="1:8">
      <c r="B2129" s="628" t="s">
        <v>593</v>
      </c>
      <c r="C2129" s="628"/>
      <c r="D2129" s="103" t="s">
        <v>579</v>
      </c>
      <c r="E2129" s="103" t="s">
        <v>580</v>
      </c>
      <c r="F2129" s="103" t="s">
        <v>581</v>
      </c>
      <c r="G2129" s="103" t="s">
        <v>582</v>
      </c>
      <c r="H2129" s="103" t="s">
        <v>583</v>
      </c>
    </row>
    <row r="2130" spans="1:8">
      <c r="B2130" s="130" t="s">
        <v>1540</v>
      </c>
      <c r="C2130" s="229" t="s">
        <v>1541</v>
      </c>
      <c r="D2130" s="130" t="s">
        <v>119</v>
      </c>
      <c r="E2130" s="130" t="s">
        <v>144</v>
      </c>
      <c r="F2130" s="230">
        <v>1.24E-2</v>
      </c>
      <c r="G2130" s="494">
        <v>72.86</v>
      </c>
      <c r="H2130" s="494">
        <v>0.9</v>
      </c>
    </row>
    <row r="2131" spans="1:8">
      <c r="B2131" s="130" t="s">
        <v>673</v>
      </c>
      <c r="C2131" s="229" t="s">
        <v>3789</v>
      </c>
      <c r="D2131" s="130" t="s">
        <v>119</v>
      </c>
      <c r="E2131" s="130" t="s">
        <v>144</v>
      </c>
      <c r="F2131" s="230">
        <v>5.11E-2</v>
      </c>
      <c r="G2131" s="494">
        <v>2.57</v>
      </c>
      <c r="H2131" s="494">
        <v>0.13</v>
      </c>
    </row>
    <row r="2132" spans="1:8">
      <c r="B2132" s="130" t="s">
        <v>1542</v>
      </c>
      <c r="C2132" s="229" t="s">
        <v>1543</v>
      </c>
      <c r="D2132" s="130" t="s">
        <v>119</v>
      </c>
      <c r="E2132" s="130" t="s">
        <v>144</v>
      </c>
      <c r="F2132" s="230">
        <v>1.43E-2</v>
      </c>
      <c r="G2132" s="494">
        <v>82.55</v>
      </c>
      <c r="H2132" s="494">
        <v>1.18</v>
      </c>
    </row>
    <row r="2133" spans="1:8">
      <c r="B2133" s="130" t="s">
        <v>1611</v>
      </c>
      <c r="C2133" s="229" t="s">
        <v>1612</v>
      </c>
      <c r="D2133" s="130" t="s">
        <v>119</v>
      </c>
      <c r="E2133" s="130" t="s">
        <v>144</v>
      </c>
      <c r="F2133" s="230">
        <v>1</v>
      </c>
      <c r="G2133" s="494">
        <v>7.18</v>
      </c>
      <c r="H2133" s="494">
        <v>7.18</v>
      </c>
    </row>
    <row r="2134" spans="1:8">
      <c r="B2134" s="105"/>
      <c r="C2134" s="105"/>
      <c r="D2134" s="105"/>
      <c r="E2134" s="105"/>
      <c r="F2134" s="629" t="s">
        <v>604</v>
      </c>
      <c r="G2134" s="629"/>
      <c r="H2134" s="495">
        <v>9.39</v>
      </c>
    </row>
    <row r="2135" spans="1:8" ht="12.75" customHeight="1">
      <c r="B2135" s="628" t="s">
        <v>607</v>
      </c>
      <c r="C2135" s="628"/>
      <c r="D2135" s="103" t="s">
        <v>579</v>
      </c>
      <c r="E2135" s="103" t="s">
        <v>580</v>
      </c>
      <c r="F2135" s="103" t="s">
        <v>581</v>
      </c>
      <c r="G2135" s="103" t="s">
        <v>582</v>
      </c>
      <c r="H2135" s="103" t="s">
        <v>583</v>
      </c>
    </row>
    <row r="2136" spans="1:8">
      <c r="B2136" s="130" t="s">
        <v>1296</v>
      </c>
      <c r="C2136" s="229" t="s">
        <v>611</v>
      </c>
      <c r="D2136" s="130" t="s">
        <v>119</v>
      </c>
      <c r="E2136" s="130" t="s">
        <v>121</v>
      </c>
      <c r="F2136" s="230">
        <v>0.19869999999999999</v>
      </c>
      <c r="G2136" s="494">
        <v>24.02</v>
      </c>
      <c r="H2136" s="494">
        <v>4.7699999999999996</v>
      </c>
    </row>
    <row r="2137" spans="1:8">
      <c r="B2137" s="130" t="s">
        <v>1297</v>
      </c>
      <c r="C2137" s="229" t="s">
        <v>612</v>
      </c>
      <c r="D2137" s="130" t="s">
        <v>119</v>
      </c>
      <c r="E2137" s="130" t="s">
        <v>121</v>
      </c>
      <c r="F2137" s="230">
        <v>0.19869999999999999</v>
      </c>
      <c r="G2137" s="494">
        <v>30.62</v>
      </c>
      <c r="H2137" s="494">
        <v>6.08</v>
      </c>
    </row>
    <row r="2138" spans="1:8" ht="12.75" customHeight="1">
      <c r="B2138" s="105"/>
      <c r="C2138" s="105"/>
      <c r="D2138" s="105"/>
      <c r="E2138" s="105"/>
      <c r="F2138" s="629" t="s">
        <v>610</v>
      </c>
      <c r="G2138" s="629"/>
      <c r="H2138" s="495">
        <v>10.85</v>
      </c>
    </row>
    <row r="2139" spans="1:8" ht="12.75" customHeight="1">
      <c r="B2139" s="105"/>
      <c r="C2139" s="105"/>
      <c r="D2139" s="105"/>
      <c r="E2139" s="105"/>
      <c r="F2139" s="630" t="s">
        <v>464</v>
      </c>
      <c r="G2139" s="630"/>
      <c r="H2139" s="102">
        <v>20.239999999999998</v>
      </c>
    </row>
    <row r="2140" spans="1:8">
      <c r="B2140" s="105"/>
      <c r="C2140" s="105"/>
      <c r="D2140" s="105"/>
      <c r="E2140" s="105"/>
      <c r="F2140" s="634"/>
      <c r="G2140" s="634"/>
      <c r="H2140" s="634"/>
    </row>
    <row r="2141" spans="1:8" s="220" customFormat="1" ht="27" customHeight="1">
      <c r="A2141" s="178" t="str">
        <f>'3 - PLAN. ORÇAMENTÁRIA'!A404</f>
        <v>5.1.1.10</v>
      </c>
      <c r="B2141" s="242">
        <f>VLOOKUP(A2141,'3 - PLAN. ORÇAMENTÁRIA'!$A$16:$B$721,2,FALSE)</f>
        <v>90373</v>
      </c>
      <c r="C2141" s="631" t="str">
        <f>VLOOKUP(A2141,'3 - PLAN. ORÇAMENTÁRIA'!$A$16:$C$721,3,FALSE)</f>
        <v>JOELHO 90 GRAUS COM BUCHA DE LATÃO, PVC, SOLDÁVEL, DN 25MM, X 1/2 - FORNECIMENTO E INSTALAÇÃO. AF_06/2022</v>
      </c>
      <c r="D2141" s="632"/>
      <c r="E2141" s="632"/>
      <c r="F2141" s="632"/>
      <c r="G2141" s="633"/>
      <c r="H2141" s="493" t="str">
        <f>VLOOKUP(A2141,'3 - PLAN. ORÇAMENTÁRIA'!$A$17:$E$721,5,FALSE)</f>
        <v>UN</v>
      </c>
    </row>
    <row r="2142" spans="1:8">
      <c r="B2142" s="628" t="s">
        <v>593</v>
      </c>
      <c r="C2142" s="628"/>
      <c r="D2142" s="103" t="s">
        <v>579</v>
      </c>
      <c r="E2142" s="103" t="s">
        <v>580</v>
      </c>
      <c r="F2142" s="103" t="s">
        <v>581</v>
      </c>
      <c r="G2142" s="103" t="s">
        <v>582</v>
      </c>
      <c r="H2142" s="103" t="s">
        <v>583</v>
      </c>
    </row>
    <row r="2143" spans="1:8">
      <c r="B2143" s="130" t="s">
        <v>1540</v>
      </c>
      <c r="C2143" s="229" t="s">
        <v>1541</v>
      </c>
      <c r="D2143" s="130" t="s">
        <v>119</v>
      </c>
      <c r="E2143" s="130" t="s">
        <v>144</v>
      </c>
      <c r="F2143" s="230">
        <v>5.8999999999999999E-3</v>
      </c>
      <c r="G2143" s="494">
        <v>72.86</v>
      </c>
      <c r="H2143" s="494">
        <v>0.43</v>
      </c>
    </row>
    <row r="2144" spans="1:8">
      <c r="B2144" s="130" t="s">
        <v>1613</v>
      </c>
      <c r="C2144" s="229" t="s">
        <v>1614</v>
      </c>
      <c r="D2144" s="130" t="s">
        <v>119</v>
      </c>
      <c r="E2144" s="130" t="s">
        <v>144</v>
      </c>
      <c r="F2144" s="230">
        <v>1</v>
      </c>
      <c r="G2144" s="494">
        <v>5.75</v>
      </c>
      <c r="H2144" s="494">
        <v>5.75</v>
      </c>
    </row>
    <row r="2145" spans="1:8">
      <c r="B2145" s="130" t="s">
        <v>673</v>
      </c>
      <c r="C2145" s="229" t="s">
        <v>3789</v>
      </c>
      <c r="D2145" s="130" t="s">
        <v>119</v>
      </c>
      <c r="E2145" s="130" t="s">
        <v>144</v>
      </c>
      <c r="F2145" s="230">
        <v>3.15E-2</v>
      </c>
      <c r="G2145" s="494">
        <v>2.57</v>
      </c>
      <c r="H2145" s="494">
        <v>0.08</v>
      </c>
    </row>
    <row r="2146" spans="1:8">
      <c r="B2146" s="130" t="s">
        <v>1542</v>
      </c>
      <c r="C2146" s="229" t="s">
        <v>1543</v>
      </c>
      <c r="D2146" s="130" t="s">
        <v>119</v>
      </c>
      <c r="E2146" s="130" t="s">
        <v>144</v>
      </c>
      <c r="F2146" s="230">
        <v>7.0000000000000001E-3</v>
      </c>
      <c r="G2146" s="494">
        <v>82.55</v>
      </c>
      <c r="H2146" s="494">
        <v>0.57999999999999996</v>
      </c>
    </row>
    <row r="2147" spans="1:8">
      <c r="B2147" s="105"/>
      <c r="C2147" s="105"/>
      <c r="D2147" s="105"/>
      <c r="E2147" s="105"/>
      <c r="F2147" s="629" t="s">
        <v>604</v>
      </c>
      <c r="G2147" s="629"/>
      <c r="H2147" s="495">
        <v>6.84</v>
      </c>
    </row>
    <row r="2148" spans="1:8" ht="12.75" customHeight="1">
      <c r="B2148" s="628" t="s">
        <v>607</v>
      </c>
      <c r="C2148" s="628"/>
      <c r="D2148" s="103" t="s">
        <v>579</v>
      </c>
      <c r="E2148" s="103" t="s">
        <v>580</v>
      </c>
      <c r="F2148" s="103" t="s">
        <v>581</v>
      </c>
      <c r="G2148" s="103" t="s">
        <v>582</v>
      </c>
      <c r="H2148" s="103" t="s">
        <v>583</v>
      </c>
    </row>
    <row r="2149" spans="1:8">
      <c r="B2149" s="130" t="s">
        <v>1296</v>
      </c>
      <c r="C2149" s="229" t="s">
        <v>611</v>
      </c>
      <c r="D2149" s="130" t="s">
        <v>119</v>
      </c>
      <c r="E2149" s="130" t="s">
        <v>121</v>
      </c>
      <c r="F2149" s="230">
        <v>0.13120000000000001</v>
      </c>
      <c r="G2149" s="494">
        <v>24.02</v>
      </c>
      <c r="H2149" s="494">
        <v>3.15</v>
      </c>
    </row>
    <row r="2150" spans="1:8">
      <c r="B2150" s="130" t="s">
        <v>1297</v>
      </c>
      <c r="C2150" s="229" t="s">
        <v>612</v>
      </c>
      <c r="D2150" s="130" t="s">
        <v>119</v>
      </c>
      <c r="E2150" s="130" t="s">
        <v>121</v>
      </c>
      <c r="F2150" s="230">
        <v>0.13120000000000001</v>
      </c>
      <c r="G2150" s="494">
        <v>30.62</v>
      </c>
      <c r="H2150" s="494">
        <v>4.0199999999999996</v>
      </c>
    </row>
    <row r="2151" spans="1:8" ht="12.75" customHeight="1">
      <c r="B2151" s="105"/>
      <c r="C2151" s="105"/>
      <c r="D2151" s="105"/>
      <c r="E2151" s="105"/>
      <c r="F2151" s="629" t="s">
        <v>610</v>
      </c>
      <c r="G2151" s="629"/>
      <c r="H2151" s="495">
        <v>7.17</v>
      </c>
    </row>
    <row r="2152" spans="1:8" ht="12.75" customHeight="1">
      <c r="B2152" s="105"/>
      <c r="C2152" s="105"/>
      <c r="D2152" s="105"/>
      <c r="E2152" s="105"/>
      <c r="F2152" s="630" t="s">
        <v>464</v>
      </c>
      <c r="G2152" s="630"/>
      <c r="H2152" s="102">
        <v>13.98</v>
      </c>
    </row>
    <row r="2153" spans="1:8">
      <c r="B2153" s="105"/>
      <c r="C2153" s="105"/>
      <c r="D2153" s="105"/>
      <c r="E2153" s="105"/>
      <c r="F2153" s="634"/>
      <c r="G2153" s="634"/>
      <c r="H2153" s="634"/>
    </row>
    <row r="2154" spans="1:8" s="220" customFormat="1" ht="27" customHeight="1">
      <c r="A2154" s="178" t="str">
        <f>'3 - PLAN. ORÇAMENTÁRIA'!A405</f>
        <v>5.1.1.11</v>
      </c>
      <c r="B2154" s="242">
        <f>VLOOKUP(A2154,'3 - PLAN. ORÇAMENTÁRIA'!$A$16:$B$721,2,FALSE)</f>
        <v>105234</v>
      </c>
      <c r="C2154" s="631" t="str">
        <f>VLOOKUP(A2154,'3 - PLAN. ORÇAMENTÁRIA'!$A$16:$C$721,3,FALSE)</f>
        <v>BUCHA DE REDUÇÃO PVC, SOLDÁVEL, LONGA, DN 50 X 25 MM - FORNECIMENTO E INSTALAÇÃO. AF_04/2024</v>
      </c>
      <c r="D2154" s="632"/>
      <c r="E2154" s="632"/>
      <c r="F2154" s="632"/>
      <c r="G2154" s="633"/>
      <c r="H2154" s="493" t="str">
        <f>VLOOKUP(A2154,'3 - PLAN. ORÇAMENTÁRIA'!$A$17:$E$721,5,FALSE)</f>
        <v>UN</v>
      </c>
    </row>
    <row r="2155" spans="1:8">
      <c r="B2155" s="628" t="s">
        <v>593</v>
      </c>
      <c r="C2155" s="628"/>
      <c r="D2155" s="103" t="s">
        <v>579</v>
      </c>
      <c r="E2155" s="103" t="s">
        <v>580</v>
      </c>
      <c r="F2155" s="103" t="s">
        <v>581</v>
      </c>
      <c r="G2155" s="103" t="s">
        <v>582</v>
      </c>
      <c r="H2155" s="103" t="s">
        <v>583</v>
      </c>
    </row>
    <row r="2156" spans="1:8">
      <c r="B2156" s="130" t="s">
        <v>1540</v>
      </c>
      <c r="C2156" s="229" t="s">
        <v>1541</v>
      </c>
      <c r="D2156" s="130" t="s">
        <v>119</v>
      </c>
      <c r="E2156" s="130" t="s">
        <v>144</v>
      </c>
      <c r="F2156" s="230">
        <v>1.18E-2</v>
      </c>
      <c r="G2156" s="494">
        <v>72.86</v>
      </c>
      <c r="H2156" s="494">
        <v>0.86</v>
      </c>
    </row>
    <row r="2157" spans="1:8">
      <c r="B2157" s="130" t="s">
        <v>1623</v>
      </c>
      <c r="C2157" s="229" t="s">
        <v>1624</v>
      </c>
      <c r="D2157" s="130" t="s">
        <v>119</v>
      </c>
      <c r="E2157" s="130" t="s">
        <v>144</v>
      </c>
      <c r="F2157" s="230">
        <v>1</v>
      </c>
      <c r="G2157" s="494">
        <v>4.55</v>
      </c>
      <c r="H2157" s="494">
        <v>4.55</v>
      </c>
    </row>
    <row r="2158" spans="1:8">
      <c r="B2158" s="130" t="s">
        <v>673</v>
      </c>
      <c r="C2158" s="229" t="s">
        <v>3789</v>
      </c>
      <c r="D2158" s="130" t="s">
        <v>119</v>
      </c>
      <c r="E2158" s="130" t="s">
        <v>144</v>
      </c>
      <c r="F2158" s="230">
        <v>1.0999999999999999E-2</v>
      </c>
      <c r="G2158" s="494">
        <v>2.57</v>
      </c>
      <c r="H2158" s="494">
        <v>0.03</v>
      </c>
    </row>
    <row r="2159" spans="1:8">
      <c r="B2159" s="130" t="s">
        <v>1542</v>
      </c>
      <c r="C2159" s="229" t="s">
        <v>1543</v>
      </c>
      <c r="D2159" s="130" t="s">
        <v>119</v>
      </c>
      <c r="E2159" s="130" t="s">
        <v>144</v>
      </c>
      <c r="F2159" s="230">
        <v>1.4999999999999999E-2</v>
      </c>
      <c r="G2159" s="494">
        <v>82.55</v>
      </c>
      <c r="H2159" s="494">
        <v>1.24</v>
      </c>
    </row>
    <row r="2160" spans="1:8">
      <c r="B2160" s="105"/>
      <c r="C2160" s="105"/>
      <c r="D2160" s="105"/>
      <c r="E2160" s="105"/>
      <c r="F2160" s="629" t="s">
        <v>604</v>
      </c>
      <c r="G2160" s="629"/>
      <c r="H2160" s="495">
        <v>6.68</v>
      </c>
    </row>
    <row r="2161" spans="1:8" ht="12.75" customHeight="1">
      <c r="B2161" s="628" t="s">
        <v>607</v>
      </c>
      <c r="C2161" s="628"/>
      <c r="D2161" s="103" t="s">
        <v>579</v>
      </c>
      <c r="E2161" s="103" t="s">
        <v>580</v>
      </c>
      <c r="F2161" s="103" t="s">
        <v>581</v>
      </c>
      <c r="G2161" s="103" t="s">
        <v>582</v>
      </c>
      <c r="H2161" s="103" t="s">
        <v>583</v>
      </c>
    </row>
    <row r="2162" spans="1:8">
      <c r="B2162" s="130" t="s">
        <v>1296</v>
      </c>
      <c r="C2162" s="229" t="s">
        <v>611</v>
      </c>
      <c r="D2162" s="130" t="s">
        <v>119</v>
      </c>
      <c r="E2162" s="130" t="s">
        <v>121</v>
      </c>
      <c r="F2162" s="230">
        <v>6.59E-2</v>
      </c>
      <c r="G2162" s="494">
        <v>24.02</v>
      </c>
      <c r="H2162" s="494">
        <v>1.58</v>
      </c>
    </row>
    <row r="2163" spans="1:8">
      <c r="B2163" s="130" t="s">
        <v>1297</v>
      </c>
      <c r="C2163" s="229" t="s">
        <v>612</v>
      </c>
      <c r="D2163" s="130" t="s">
        <v>119</v>
      </c>
      <c r="E2163" s="130" t="s">
        <v>121</v>
      </c>
      <c r="F2163" s="230">
        <v>6.59E-2</v>
      </c>
      <c r="G2163" s="494">
        <v>30.62</v>
      </c>
      <c r="H2163" s="494">
        <v>2.02</v>
      </c>
    </row>
    <row r="2164" spans="1:8" ht="12.75" customHeight="1">
      <c r="B2164" s="105"/>
      <c r="C2164" s="105"/>
      <c r="D2164" s="105"/>
      <c r="E2164" s="105"/>
      <c r="F2164" s="629" t="s">
        <v>610</v>
      </c>
      <c r="G2164" s="629"/>
      <c r="H2164" s="495">
        <v>3.6</v>
      </c>
    </row>
    <row r="2165" spans="1:8" ht="12.75" customHeight="1">
      <c r="B2165" s="105"/>
      <c r="C2165" s="105"/>
      <c r="D2165" s="105"/>
      <c r="E2165" s="105"/>
      <c r="F2165" s="630" t="s">
        <v>464</v>
      </c>
      <c r="G2165" s="630"/>
      <c r="H2165" s="102">
        <v>10.24</v>
      </c>
    </row>
    <row r="2166" spans="1:8">
      <c r="B2166" s="105"/>
      <c r="C2166" s="105"/>
      <c r="D2166" s="105"/>
      <c r="E2166" s="105"/>
      <c r="F2166" s="634"/>
      <c r="G2166" s="634"/>
      <c r="H2166" s="634"/>
    </row>
    <row r="2167" spans="1:8" s="220" customFormat="1" ht="27" customHeight="1">
      <c r="A2167" s="178" t="str">
        <f>'3 - PLAN. ORÇAMENTÁRIA'!A406</f>
        <v>5.1.1.12</v>
      </c>
      <c r="B2167" s="242">
        <f>VLOOKUP(A2167,'3 - PLAN. ORÇAMENTÁRIA'!$A$16:$B$721,2,FALSE)</f>
        <v>103953</v>
      </c>
      <c r="C2167" s="631" t="str">
        <f>VLOOKUP(A2167,'3 - PLAN. ORÇAMENTÁRIA'!$A$16:$C$721,3,FALSE)</f>
        <v>BUCHA DE REDUÇÃO, CURTA, PVC, SOLDÁVEL, DN 32 X 25 MM - FORNECIMENTO E INSTALAÇÃO. AF_06/2022</v>
      </c>
      <c r="D2167" s="632"/>
      <c r="E2167" s="632"/>
      <c r="F2167" s="632"/>
      <c r="G2167" s="633"/>
      <c r="H2167" s="493" t="str">
        <f>VLOOKUP(A2167,'3 - PLAN. ORÇAMENTÁRIA'!$A$17:$E$721,5,FALSE)</f>
        <v>UN</v>
      </c>
    </row>
    <row r="2168" spans="1:8">
      <c r="B2168" s="628" t="s">
        <v>593</v>
      </c>
      <c r="C2168" s="628"/>
      <c r="D2168" s="103" t="s">
        <v>579</v>
      </c>
      <c r="E2168" s="103" t="s">
        <v>580</v>
      </c>
      <c r="F2168" s="103" t="s">
        <v>581</v>
      </c>
      <c r="G2168" s="103" t="s">
        <v>582</v>
      </c>
      <c r="H2168" s="103" t="s">
        <v>583</v>
      </c>
    </row>
    <row r="2169" spans="1:8">
      <c r="B2169" s="130" t="s">
        <v>1540</v>
      </c>
      <c r="C2169" s="229" t="s">
        <v>1541</v>
      </c>
      <c r="D2169" s="130" t="s">
        <v>119</v>
      </c>
      <c r="E2169" s="130" t="s">
        <v>144</v>
      </c>
      <c r="F2169" s="230">
        <v>8.2000000000000007E-3</v>
      </c>
      <c r="G2169" s="494">
        <v>72.86</v>
      </c>
      <c r="H2169" s="494">
        <v>0.6</v>
      </c>
    </row>
    <row r="2170" spans="1:8">
      <c r="B2170" s="130" t="s">
        <v>1625</v>
      </c>
      <c r="C2170" s="229" t="s">
        <v>1626</v>
      </c>
      <c r="D2170" s="130" t="s">
        <v>119</v>
      </c>
      <c r="E2170" s="130" t="s">
        <v>144</v>
      </c>
      <c r="F2170" s="230">
        <v>1</v>
      </c>
      <c r="G2170" s="494">
        <v>1.02</v>
      </c>
      <c r="H2170" s="494">
        <v>1.02</v>
      </c>
    </row>
    <row r="2171" spans="1:8">
      <c r="B2171" s="130" t="s">
        <v>673</v>
      </c>
      <c r="C2171" s="229" t="s">
        <v>3789</v>
      </c>
      <c r="D2171" s="130" t="s">
        <v>119</v>
      </c>
      <c r="E2171" s="130" t="s">
        <v>144</v>
      </c>
      <c r="F2171" s="230">
        <v>3.3099999999999997E-2</v>
      </c>
      <c r="G2171" s="494">
        <v>2.57</v>
      </c>
      <c r="H2171" s="494">
        <v>0.09</v>
      </c>
    </row>
    <row r="2172" spans="1:8">
      <c r="B2172" s="130" t="s">
        <v>1542</v>
      </c>
      <c r="C2172" s="229" t="s">
        <v>1543</v>
      </c>
      <c r="D2172" s="130" t="s">
        <v>119</v>
      </c>
      <c r="E2172" s="130" t="s">
        <v>144</v>
      </c>
      <c r="F2172" s="230">
        <v>9.4999999999999998E-3</v>
      </c>
      <c r="G2172" s="494">
        <v>82.55</v>
      </c>
      <c r="H2172" s="494">
        <v>0.78</v>
      </c>
    </row>
    <row r="2173" spans="1:8">
      <c r="B2173" s="105"/>
      <c r="C2173" s="105"/>
      <c r="D2173" s="105"/>
      <c r="E2173" s="105"/>
      <c r="F2173" s="629" t="s">
        <v>604</v>
      </c>
      <c r="G2173" s="629"/>
      <c r="H2173" s="495">
        <v>2.4900000000000002</v>
      </c>
    </row>
    <row r="2174" spans="1:8" ht="12.75" customHeight="1">
      <c r="B2174" s="628" t="s">
        <v>607</v>
      </c>
      <c r="C2174" s="628"/>
      <c r="D2174" s="103" t="s">
        <v>579</v>
      </c>
      <c r="E2174" s="103" t="s">
        <v>580</v>
      </c>
      <c r="F2174" s="103" t="s">
        <v>581</v>
      </c>
      <c r="G2174" s="103" t="s">
        <v>582</v>
      </c>
      <c r="H2174" s="103" t="s">
        <v>583</v>
      </c>
    </row>
    <row r="2175" spans="1:8">
      <c r="B2175" s="130" t="s">
        <v>1296</v>
      </c>
      <c r="C2175" s="229" t="s">
        <v>611</v>
      </c>
      <c r="D2175" s="130" t="s">
        <v>119</v>
      </c>
      <c r="E2175" s="130" t="s">
        <v>121</v>
      </c>
      <c r="F2175" s="230">
        <v>9.9400000000000002E-2</v>
      </c>
      <c r="G2175" s="494">
        <v>24.02</v>
      </c>
      <c r="H2175" s="494">
        <v>2.39</v>
      </c>
    </row>
    <row r="2176" spans="1:8">
      <c r="B2176" s="130" t="s">
        <v>1297</v>
      </c>
      <c r="C2176" s="229" t="s">
        <v>612</v>
      </c>
      <c r="D2176" s="130" t="s">
        <v>119</v>
      </c>
      <c r="E2176" s="130" t="s">
        <v>121</v>
      </c>
      <c r="F2176" s="230">
        <v>9.9400000000000002E-2</v>
      </c>
      <c r="G2176" s="494">
        <v>30.62</v>
      </c>
      <c r="H2176" s="494">
        <v>3.04</v>
      </c>
    </row>
    <row r="2177" spans="1:8" ht="12.75" customHeight="1">
      <c r="B2177" s="105"/>
      <c r="C2177" s="105"/>
      <c r="D2177" s="105"/>
      <c r="E2177" s="105"/>
      <c r="F2177" s="629" t="s">
        <v>610</v>
      </c>
      <c r="G2177" s="629"/>
      <c r="H2177" s="495">
        <v>5.43</v>
      </c>
    </row>
    <row r="2178" spans="1:8" ht="12.75" customHeight="1">
      <c r="B2178" s="105"/>
      <c r="C2178" s="105"/>
      <c r="D2178" s="105"/>
      <c r="E2178" s="105"/>
      <c r="F2178" s="630" t="s">
        <v>464</v>
      </c>
      <c r="G2178" s="630"/>
      <c r="H2178" s="102">
        <v>7.89</v>
      </c>
    </row>
    <row r="2179" spans="1:8">
      <c r="B2179" s="105"/>
      <c r="C2179" s="105"/>
      <c r="D2179" s="105"/>
      <c r="E2179" s="105"/>
      <c r="F2179" s="634"/>
      <c r="G2179" s="634"/>
      <c r="H2179" s="634"/>
    </row>
    <row r="2180" spans="1:8" s="220" customFormat="1" ht="27" customHeight="1">
      <c r="A2180" s="178" t="str">
        <f>'3 - PLAN. ORÇAMENTÁRIA'!A407</f>
        <v>5.1.1.13</v>
      </c>
      <c r="B2180" s="242">
        <f>VLOOKUP(A2180,'3 - PLAN. ORÇAMENTÁRIA'!$A$16:$B$721,2,FALSE)</f>
        <v>103952</v>
      </c>
      <c r="C2180" s="631" t="str">
        <f>VLOOKUP(A2180,'3 - PLAN. ORÇAMENTÁRIA'!$A$16:$C$721,3,FALSE)</f>
        <v>BUCHA DE REDUÇÃO, CURTA, PVC, SOLDÁVEL, DN 25 X 20 MM - FORNECIMENTO E INSTALAÇÃO. AF_06/2022</v>
      </c>
      <c r="D2180" s="632"/>
      <c r="E2180" s="632"/>
      <c r="F2180" s="632"/>
      <c r="G2180" s="633"/>
      <c r="H2180" s="493" t="str">
        <f>VLOOKUP(A2180,'3 - PLAN. ORÇAMENTÁRIA'!$A$17:$E$721,5,FALSE)</f>
        <v>UN</v>
      </c>
    </row>
    <row r="2181" spans="1:8">
      <c r="B2181" s="628" t="s">
        <v>593</v>
      </c>
      <c r="C2181" s="628"/>
      <c r="D2181" s="103" t="s">
        <v>579</v>
      </c>
      <c r="E2181" s="103" t="s">
        <v>580</v>
      </c>
      <c r="F2181" s="103" t="s">
        <v>581</v>
      </c>
      <c r="G2181" s="103" t="s">
        <v>582</v>
      </c>
      <c r="H2181" s="103" t="s">
        <v>583</v>
      </c>
    </row>
    <row r="2182" spans="1:8">
      <c r="B2182" s="130" t="s">
        <v>1540</v>
      </c>
      <c r="C2182" s="229" t="s">
        <v>1541</v>
      </c>
      <c r="D2182" s="130" t="s">
        <v>119</v>
      </c>
      <c r="E2182" s="130" t="s">
        <v>144</v>
      </c>
      <c r="F2182" s="230">
        <v>5.8999999999999999E-3</v>
      </c>
      <c r="G2182" s="494">
        <v>72.86</v>
      </c>
      <c r="H2182" s="494">
        <v>0.43</v>
      </c>
    </row>
    <row r="2183" spans="1:8">
      <c r="B2183" s="130" t="s">
        <v>3629</v>
      </c>
      <c r="C2183" s="229" t="s">
        <v>3628</v>
      </c>
      <c r="D2183" s="130" t="s">
        <v>119</v>
      </c>
      <c r="E2183" s="130" t="s">
        <v>144</v>
      </c>
      <c r="F2183" s="230">
        <v>1</v>
      </c>
      <c r="G2183" s="494">
        <v>0.64</v>
      </c>
      <c r="H2183" s="494">
        <v>0.64</v>
      </c>
    </row>
    <row r="2184" spans="1:8">
      <c r="B2184" s="130" t="s">
        <v>673</v>
      </c>
      <c r="C2184" s="229" t="s">
        <v>3789</v>
      </c>
      <c r="D2184" s="130" t="s">
        <v>119</v>
      </c>
      <c r="E2184" s="130" t="s">
        <v>144</v>
      </c>
      <c r="F2184" s="230">
        <v>2.81E-2</v>
      </c>
      <c r="G2184" s="494">
        <v>2.57</v>
      </c>
      <c r="H2184" s="494">
        <v>7.0000000000000007E-2</v>
      </c>
    </row>
    <row r="2185" spans="1:8">
      <c r="B2185" s="130" t="s">
        <v>1542</v>
      </c>
      <c r="C2185" s="229" t="s">
        <v>1543</v>
      </c>
      <c r="D2185" s="130" t="s">
        <v>119</v>
      </c>
      <c r="E2185" s="130" t="s">
        <v>144</v>
      </c>
      <c r="F2185" s="230">
        <v>7.0000000000000001E-3</v>
      </c>
      <c r="G2185" s="494">
        <v>82.55</v>
      </c>
      <c r="H2185" s="494">
        <v>0.57999999999999996</v>
      </c>
    </row>
    <row r="2186" spans="1:8">
      <c r="B2186" s="105"/>
      <c r="C2186" s="105"/>
      <c r="D2186" s="105"/>
      <c r="E2186" s="105"/>
      <c r="F2186" s="629" t="s">
        <v>604</v>
      </c>
      <c r="G2186" s="629"/>
      <c r="H2186" s="495">
        <v>1.72</v>
      </c>
    </row>
    <row r="2187" spans="1:8" ht="12.75" customHeight="1">
      <c r="B2187" s="628" t="s">
        <v>607</v>
      </c>
      <c r="C2187" s="628"/>
      <c r="D2187" s="103" t="s">
        <v>579</v>
      </c>
      <c r="E2187" s="103" t="s">
        <v>580</v>
      </c>
      <c r="F2187" s="103" t="s">
        <v>581</v>
      </c>
      <c r="G2187" s="103" t="s">
        <v>582</v>
      </c>
      <c r="H2187" s="103" t="s">
        <v>583</v>
      </c>
    </row>
    <row r="2188" spans="1:8">
      <c r="B2188" s="130" t="s">
        <v>1296</v>
      </c>
      <c r="C2188" s="229" t="s">
        <v>611</v>
      </c>
      <c r="D2188" s="130" t="s">
        <v>119</v>
      </c>
      <c r="E2188" s="130" t="s">
        <v>121</v>
      </c>
      <c r="F2188" s="230">
        <v>8.4400000000000003E-2</v>
      </c>
      <c r="G2188" s="494">
        <v>24.02</v>
      </c>
      <c r="H2188" s="494">
        <v>2.0299999999999998</v>
      </c>
    </row>
    <row r="2189" spans="1:8">
      <c r="B2189" s="130" t="s">
        <v>1297</v>
      </c>
      <c r="C2189" s="229" t="s">
        <v>612</v>
      </c>
      <c r="D2189" s="130" t="s">
        <v>119</v>
      </c>
      <c r="E2189" s="130" t="s">
        <v>121</v>
      </c>
      <c r="F2189" s="230">
        <v>8.4400000000000003E-2</v>
      </c>
      <c r="G2189" s="494">
        <v>30.62</v>
      </c>
      <c r="H2189" s="494">
        <v>2.58</v>
      </c>
    </row>
    <row r="2190" spans="1:8" ht="12.75" customHeight="1">
      <c r="B2190" s="105"/>
      <c r="C2190" s="105"/>
      <c r="D2190" s="105"/>
      <c r="E2190" s="105"/>
      <c r="F2190" s="629" t="s">
        <v>610</v>
      </c>
      <c r="G2190" s="629"/>
      <c r="H2190" s="495">
        <v>4.6100000000000003</v>
      </c>
    </row>
    <row r="2191" spans="1:8" ht="12.75" customHeight="1">
      <c r="B2191" s="105"/>
      <c r="C2191" s="105"/>
      <c r="D2191" s="105"/>
      <c r="E2191" s="105"/>
      <c r="F2191" s="630" t="s">
        <v>464</v>
      </c>
      <c r="G2191" s="630"/>
      <c r="H2191" s="102">
        <v>6.3</v>
      </c>
    </row>
    <row r="2192" spans="1:8">
      <c r="B2192" s="105"/>
      <c r="C2192" s="105"/>
      <c r="D2192" s="105"/>
      <c r="E2192" s="105"/>
      <c r="F2192" s="634"/>
      <c r="G2192" s="634"/>
      <c r="H2192" s="634"/>
    </row>
    <row r="2193" spans="1:8" s="220" customFormat="1" ht="27" customHeight="1">
      <c r="A2193" s="178" t="str">
        <f>'3 - PLAN. ORÇAMENTÁRIA'!A408</f>
        <v>5.1.1.14</v>
      </c>
      <c r="B2193" s="242">
        <f>VLOOKUP(A2193,'3 - PLAN. ORÇAMENTÁRIA'!$A$16:$B$721,2,FALSE)</f>
        <v>94706</v>
      </c>
      <c r="C2193" s="631" t="str">
        <f>VLOOKUP(A2193,'3 - PLAN. ORÇAMENTÁRIA'!$A$16:$C$721,3,FALSE)</f>
        <v>ADAPTADOR COM FLANGE E ANEL DE VEDAÇÃO, PVC, SOLDÁVEL, DN 50 MM X 1 1/2" - FORNECIMENTO E INSTALAÇÃO. AF_04/2024</v>
      </c>
      <c r="D2193" s="632"/>
      <c r="E2193" s="632"/>
      <c r="F2193" s="632"/>
      <c r="G2193" s="633"/>
      <c r="H2193" s="493" t="str">
        <f>VLOOKUP(A2193,'3 - PLAN. ORÇAMENTÁRIA'!$A$17:$E$721,5,FALSE)</f>
        <v>UN</v>
      </c>
    </row>
    <row r="2194" spans="1:8">
      <c r="B2194" s="628" t="s">
        <v>593</v>
      </c>
      <c r="C2194" s="628"/>
      <c r="D2194" s="103" t="s">
        <v>579</v>
      </c>
      <c r="E2194" s="103" t="s">
        <v>580</v>
      </c>
      <c r="F2194" s="103" t="s">
        <v>581</v>
      </c>
      <c r="G2194" s="103" t="s">
        <v>582</v>
      </c>
      <c r="H2194" s="103" t="s">
        <v>583</v>
      </c>
    </row>
    <row r="2195" spans="1:8" ht="25.5">
      <c r="B2195" s="130" t="s">
        <v>2448</v>
      </c>
      <c r="C2195" s="229" t="s">
        <v>2449</v>
      </c>
      <c r="D2195" s="130" t="s">
        <v>119</v>
      </c>
      <c r="E2195" s="130" t="s">
        <v>144</v>
      </c>
      <c r="F2195" s="230">
        <v>1</v>
      </c>
      <c r="G2195" s="494">
        <v>28.16</v>
      </c>
      <c r="H2195" s="494">
        <v>28.16</v>
      </c>
    </row>
    <row r="2196" spans="1:8">
      <c r="B2196" s="130" t="s">
        <v>1540</v>
      </c>
      <c r="C2196" s="229" t="s">
        <v>1541</v>
      </c>
      <c r="D2196" s="130" t="s">
        <v>119</v>
      </c>
      <c r="E2196" s="130" t="s">
        <v>144</v>
      </c>
      <c r="F2196" s="230">
        <v>8.2000000000000007E-3</v>
      </c>
      <c r="G2196" s="494">
        <v>72.86</v>
      </c>
      <c r="H2196" s="494">
        <v>0.6</v>
      </c>
    </row>
    <row r="2197" spans="1:8">
      <c r="B2197" s="130" t="s">
        <v>673</v>
      </c>
      <c r="C2197" s="229" t="s">
        <v>3789</v>
      </c>
      <c r="D2197" s="130" t="s">
        <v>119</v>
      </c>
      <c r="E2197" s="130" t="s">
        <v>144</v>
      </c>
      <c r="F2197" s="230">
        <v>7.7999999999999996E-3</v>
      </c>
      <c r="G2197" s="494">
        <v>2.57</v>
      </c>
      <c r="H2197" s="494">
        <v>0.02</v>
      </c>
    </row>
    <row r="2198" spans="1:8">
      <c r="B2198" s="130" t="s">
        <v>1542</v>
      </c>
      <c r="C2198" s="229" t="s">
        <v>1543</v>
      </c>
      <c r="D2198" s="130" t="s">
        <v>119</v>
      </c>
      <c r="E2198" s="130" t="s">
        <v>144</v>
      </c>
      <c r="F2198" s="230">
        <v>1.0999999999999999E-2</v>
      </c>
      <c r="G2198" s="494">
        <v>82.55</v>
      </c>
      <c r="H2198" s="494">
        <v>0.91</v>
      </c>
    </row>
    <row r="2199" spans="1:8">
      <c r="B2199" s="105"/>
      <c r="C2199" s="105"/>
      <c r="D2199" s="105"/>
      <c r="E2199" s="105"/>
      <c r="F2199" s="629" t="s">
        <v>604</v>
      </c>
      <c r="G2199" s="629"/>
      <c r="H2199" s="495">
        <v>29.69</v>
      </c>
    </row>
    <row r="2200" spans="1:8" ht="12.75" customHeight="1">
      <c r="B2200" s="628" t="s">
        <v>607</v>
      </c>
      <c r="C2200" s="628"/>
      <c r="D2200" s="103" t="s">
        <v>579</v>
      </c>
      <c r="E2200" s="103" t="s">
        <v>580</v>
      </c>
      <c r="F2200" s="103" t="s">
        <v>581</v>
      </c>
      <c r="G2200" s="103" t="s">
        <v>582</v>
      </c>
      <c r="H2200" s="103" t="s">
        <v>583</v>
      </c>
    </row>
    <row r="2201" spans="1:8">
      <c r="B2201" s="130" t="s">
        <v>1296</v>
      </c>
      <c r="C2201" s="229" t="s">
        <v>611</v>
      </c>
      <c r="D2201" s="130" t="s">
        <v>119</v>
      </c>
      <c r="E2201" s="130" t="s">
        <v>121</v>
      </c>
      <c r="F2201" s="230">
        <v>0.1472</v>
      </c>
      <c r="G2201" s="494">
        <v>24.02</v>
      </c>
      <c r="H2201" s="494">
        <v>3.54</v>
      </c>
    </row>
    <row r="2202" spans="1:8">
      <c r="B2202" s="130" t="s">
        <v>1297</v>
      </c>
      <c r="C2202" s="229" t="s">
        <v>612</v>
      </c>
      <c r="D2202" s="130" t="s">
        <v>119</v>
      </c>
      <c r="E2202" s="130" t="s">
        <v>121</v>
      </c>
      <c r="F2202" s="230">
        <v>0.1472</v>
      </c>
      <c r="G2202" s="494">
        <v>30.62</v>
      </c>
      <c r="H2202" s="494">
        <v>4.51</v>
      </c>
    </row>
    <row r="2203" spans="1:8" ht="12.75" customHeight="1">
      <c r="B2203" s="105"/>
      <c r="C2203" s="105"/>
      <c r="D2203" s="105"/>
      <c r="E2203" s="105"/>
      <c r="F2203" s="629" t="s">
        <v>610</v>
      </c>
      <c r="G2203" s="629"/>
      <c r="H2203" s="495">
        <v>8.0500000000000007</v>
      </c>
    </row>
    <row r="2204" spans="1:8" ht="12.75" customHeight="1">
      <c r="B2204" s="105"/>
      <c r="C2204" s="105"/>
      <c r="D2204" s="105"/>
      <c r="E2204" s="105"/>
      <c r="F2204" s="630" t="s">
        <v>464</v>
      </c>
      <c r="G2204" s="630"/>
      <c r="H2204" s="102">
        <v>37.700000000000003</v>
      </c>
    </row>
    <row r="2205" spans="1:8">
      <c r="B2205" s="105"/>
      <c r="C2205" s="105"/>
      <c r="D2205" s="105"/>
      <c r="E2205" s="105"/>
      <c r="F2205" s="634"/>
      <c r="G2205" s="634"/>
      <c r="H2205" s="634"/>
    </row>
    <row r="2206" spans="1:8" s="220" customFormat="1" ht="27" customHeight="1">
      <c r="A2206" s="178" t="str">
        <f>'3 - PLAN. ORÇAMENTÁRIA'!A409</f>
        <v>5.1.1.15</v>
      </c>
      <c r="B2206" s="242">
        <f>VLOOKUP(A2206,'3 - PLAN. ORÇAMENTÁRIA'!$A$16:$B$721,2,FALSE)</f>
        <v>94704</v>
      </c>
      <c r="C2206" s="631" t="str">
        <f>VLOOKUP(A2206,'3 - PLAN. ORÇAMENTÁRIA'!$A$16:$C$721,3,FALSE)</f>
        <v>ADAPTADOR COM FLANGE E ANEL DE VEDAÇÃO, PVC, SOLDÁVEL, DN 32 MM X 1" - FORNECIMENTO E INSTALAÇÃO. AF_04/2024</v>
      </c>
      <c r="D2206" s="632"/>
      <c r="E2206" s="632"/>
      <c r="F2206" s="632"/>
      <c r="G2206" s="633"/>
      <c r="H2206" s="493" t="str">
        <f>VLOOKUP(A2206,'3 - PLAN. ORÇAMENTÁRIA'!$A$17:$E$721,5,FALSE)</f>
        <v>UN</v>
      </c>
    </row>
    <row r="2207" spans="1:8">
      <c r="B2207" s="628" t="s">
        <v>593</v>
      </c>
      <c r="C2207" s="628"/>
      <c r="D2207" s="103" t="s">
        <v>579</v>
      </c>
      <c r="E2207" s="103" t="s">
        <v>580</v>
      </c>
      <c r="F2207" s="103" t="s">
        <v>581</v>
      </c>
      <c r="G2207" s="103" t="s">
        <v>582</v>
      </c>
      <c r="H2207" s="103" t="s">
        <v>583</v>
      </c>
    </row>
    <row r="2208" spans="1:8">
      <c r="B2208" s="130" t="s">
        <v>2450</v>
      </c>
      <c r="C2208" s="229" t="s">
        <v>2451</v>
      </c>
      <c r="D2208" s="130" t="s">
        <v>119</v>
      </c>
      <c r="E2208" s="130" t="s">
        <v>144</v>
      </c>
      <c r="F2208" s="230">
        <v>1</v>
      </c>
      <c r="G2208" s="494">
        <v>19.899999999999999</v>
      </c>
      <c r="H2208" s="494">
        <v>19.899999999999999</v>
      </c>
    </row>
    <row r="2209" spans="1:8">
      <c r="B2209" s="130" t="s">
        <v>1540</v>
      </c>
      <c r="C2209" s="229" t="s">
        <v>1541</v>
      </c>
      <c r="D2209" s="130" t="s">
        <v>119</v>
      </c>
      <c r="E2209" s="130" t="s">
        <v>144</v>
      </c>
      <c r="F2209" s="230">
        <v>4.7000000000000002E-3</v>
      </c>
      <c r="G2209" s="494">
        <v>72.86</v>
      </c>
      <c r="H2209" s="494">
        <v>0.34</v>
      </c>
    </row>
    <row r="2210" spans="1:8">
      <c r="B2210" s="130" t="s">
        <v>1542</v>
      </c>
      <c r="C2210" s="229" t="s">
        <v>1543</v>
      </c>
      <c r="D2210" s="130" t="s">
        <v>119</v>
      </c>
      <c r="E2210" s="130" t="s">
        <v>144</v>
      </c>
      <c r="F2210" s="230">
        <v>5.4999999999999997E-3</v>
      </c>
      <c r="G2210" s="494">
        <v>82.55</v>
      </c>
      <c r="H2210" s="494">
        <v>0.45</v>
      </c>
    </row>
    <row r="2211" spans="1:8">
      <c r="B2211" s="105"/>
      <c r="C2211" s="105"/>
      <c r="D2211" s="105"/>
      <c r="E2211" s="105"/>
      <c r="F2211" s="629" t="s">
        <v>604</v>
      </c>
      <c r="G2211" s="629"/>
      <c r="H2211" s="495">
        <v>20.69</v>
      </c>
    </row>
    <row r="2212" spans="1:8" ht="12.75" customHeight="1">
      <c r="B2212" s="628" t="s">
        <v>607</v>
      </c>
      <c r="C2212" s="628"/>
      <c r="D2212" s="103" t="s">
        <v>579</v>
      </c>
      <c r="E2212" s="103" t="s">
        <v>580</v>
      </c>
      <c r="F2212" s="103" t="s">
        <v>581</v>
      </c>
      <c r="G2212" s="103" t="s">
        <v>582</v>
      </c>
      <c r="H2212" s="103" t="s">
        <v>583</v>
      </c>
    </row>
    <row r="2213" spans="1:8">
      <c r="B2213" s="130" t="s">
        <v>1296</v>
      </c>
      <c r="C2213" s="229" t="s">
        <v>611</v>
      </c>
      <c r="D2213" s="130" t="s">
        <v>119</v>
      </c>
      <c r="E2213" s="130" t="s">
        <v>121</v>
      </c>
      <c r="F2213" s="230">
        <v>0.13750000000000001</v>
      </c>
      <c r="G2213" s="494">
        <v>24.02</v>
      </c>
      <c r="H2213" s="494">
        <v>3.3</v>
      </c>
    </row>
    <row r="2214" spans="1:8">
      <c r="B2214" s="130" t="s">
        <v>1297</v>
      </c>
      <c r="C2214" s="229" t="s">
        <v>612</v>
      </c>
      <c r="D2214" s="130" t="s">
        <v>119</v>
      </c>
      <c r="E2214" s="130" t="s">
        <v>121</v>
      </c>
      <c r="F2214" s="230">
        <v>0.13750000000000001</v>
      </c>
      <c r="G2214" s="494">
        <v>30.62</v>
      </c>
      <c r="H2214" s="494">
        <v>4.21</v>
      </c>
    </row>
    <row r="2215" spans="1:8" ht="12.75" customHeight="1">
      <c r="B2215" s="105"/>
      <c r="C2215" s="105"/>
      <c r="D2215" s="105"/>
      <c r="E2215" s="105"/>
      <c r="F2215" s="629" t="s">
        <v>610</v>
      </c>
      <c r="G2215" s="629"/>
      <c r="H2215" s="495">
        <v>7.51</v>
      </c>
    </row>
    <row r="2216" spans="1:8" ht="12.75" customHeight="1">
      <c r="B2216" s="105"/>
      <c r="C2216" s="105"/>
      <c r="D2216" s="105"/>
      <c r="E2216" s="105"/>
      <c r="F2216" s="630" t="s">
        <v>464</v>
      </c>
      <c r="G2216" s="630"/>
      <c r="H2216" s="102">
        <v>28.2</v>
      </c>
    </row>
    <row r="2217" spans="1:8">
      <c r="B2217" s="105"/>
      <c r="C2217" s="105"/>
      <c r="D2217" s="105"/>
      <c r="E2217" s="105"/>
      <c r="F2217" s="634"/>
      <c r="G2217" s="634"/>
      <c r="H2217" s="634"/>
    </row>
    <row r="2218" spans="1:8" s="220" customFormat="1" ht="27" customHeight="1">
      <c r="A2218" s="178" t="str">
        <f>'3 - PLAN. ORÇAMENTÁRIA'!A410</f>
        <v>5.1.1.16</v>
      </c>
      <c r="B2218" s="242">
        <f>VLOOKUP(A2218,'3 - PLAN. ORÇAMENTÁRIA'!$A$16:$B$721,2,FALSE)</f>
        <v>94703</v>
      </c>
      <c r="C2218" s="631" t="str">
        <f>VLOOKUP(A2218,'3 - PLAN. ORÇAMENTÁRIA'!$A$16:$C$721,3,FALSE)</f>
        <v>ADAPTADOR COM FLANGE E ANEL DE VEDAÇÃO, PVC, SOLDÁVEL, DN 25 MM X 3/4" - FORNECIMENTO E INSTALAÇÃO. AF_04/2024</v>
      </c>
      <c r="D2218" s="632"/>
      <c r="E2218" s="632"/>
      <c r="F2218" s="632"/>
      <c r="G2218" s="633"/>
      <c r="H2218" s="493" t="str">
        <f>VLOOKUP(A2218,'3 - PLAN. ORÇAMENTÁRIA'!$A$17:$E$721,5,FALSE)</f>
        <v>UN</v>
      </c>
    </row>
    <row r="2219" spans="1:8">
      <c r="B2219" s="628" t="s">
        <v>593</v>
      </c>
      <c r="C2219" s="628"/>
      <c r="D2219" s="103" t="s">
        <v>579</v>
      </c>
      <c r="E2219" s="103" t="s">
        <v>580</v>
      </c>
      <c r="F2219" s="103" t="s">
        <v>581</v>
      </c>
      <c r="G2219" s="103" t="s">
        <v>582</v>
      </c>
      <c r="H2219" s="103" t="s">
        <v>583</v>
      </c>
    </row>
    <row r="2220" spans="1:8">
      <c r="B2220" s="130" t="s">
        <v>2452</v>
      </c>
      <c r="C2220" s="229" t="s">
        <v>2453</v>
      </c>
      <c r="D2220" s="130" t="s">
        <v>119</v>
      </c>
      <c r="E2220" s="130" t="s">
        <v>144</v>
      </c>
      <c r="F2220" s="230">
        <v>1</v>
      </c>
      <c r="G2220" s="494">
        <v>13.23</v>
      </c>
      <c r="H2220" s="494">
        <v>13.23</v>
      </c>
    </row>
    <row r="2221" spans="1:8">
      <c r="B2221" s="130" t="s">
        <v>1540</v>
      </c>
      <c r="C2221" s="229" t="s">
        <v>1541</v>
      </c>
      <c r="D2221" s="130" t="s">
        <v>119</v>
      </c>
      <c r="E2221" s="130" t="s">
        <v>144</v>
      </c>
      <c r="F2221" s="230">
        <v>3.5000000000000001E-3</v>
      </c>
      <c r="G2221" s="494">
        <v>72.86</v>
      </c>
      <c r="H2221" s="494">
        <v>0.26</v>
      </c>
    </row>
    <row r="2222" spans="1:8">
      <c r="B2222" s="130" t="s">
        <v>1542</v>
      </c>
      <c r="C2222" s="229" t="s">
        <v>1543</v>
      </c>
      <c r="D2222" s="130" t="s">
        <v>119</v>
      </c>
      <c r="E2222" s="130" t="s">
        <v>144</v>
      </c>
      <c r="F2222" s="230">
        <v>4.0000000000000001E-3</v>
      </c>
      <c r="G2222" s="494">
        <v>82.55</v>
      </c>
      <c r="H2222" s="494">
        <v>0.33</v>
      </c>
    </row>
    <row r="2223" spans="1:8">
      <c r="B2223" s="105"/>
      <c r="C2223" s="105"/>
      <c r="D2223" s="105"/>
      <c r="E2223" s="105"/>
      <c r="F2223" s="629" t="s">
        <v>604</v>
      </c>
      <c r="G2223" s="629"/>
      <c r="H2223" s="495">
        <v>13.82</v>
      </c>
    </row>
    <row r="2224" spans="1:8" ht="12.75" customHeight="1">
      <c r="B2224" s="628" t="s">
        <v>607</v>
      </c>
      <c r="C2224" s="628"/>
      <c r="D2224" s="103" t="s">
        <v>579</v>
      </c>
      <c r="E2224" s="103" t="s">
        <v>580</v>
      </c>
      <c r="F2224" s="103" t="s">
        <v>581</v>
      </c>
      <c r="G2224" s="103" t="s">
        <v>582</v>
      </c>
      <c r="H2224" s="103" t="s">
        <v>583</v>
      </c>
    </row>
    <row r="2225" spans="1:8">
      <c r="B2225" s="130" t="s">
        <v>1296</v>
      </c>
      <c r="C2225" s="229" t="s">
        <v>611</v>
      </c>
      <c r="D2225" s="130" t="s">
        <v>119</v>
      </c>
      <c r="E2225" s="130" t="s">
        <v>121</v>
      </c>
      <c r="F2225" s="230">
        <v>0.1338</v>
      </c>
      <c r="G2225" s="494">
        <v>24.02</v>
      </c>
      <c r="H2225" s="494">
        <v>3.21</v>
      </c>
    </row>
    <row r="2226" spans="1:8">
      <c r="B2226" s="130" t="s">
        <v>1297</v>
      </c>
      <c r="C2226" s="229" t="s">
        <v>612</v>
      </c>
      <c r="D2226" s="130" t="s">
        <v>119</v>
      </c>
      <c r="E2226" s="130" t="s">
        <v>121</v>
      </c>
      <c r="F2226" s="230">
        <v>0.1338</v>
      </c>
      <c r="G2226" s="494">
        <v>30.62</v>
      </c>
      <c r="H2226" s="494">
        <v>4.0999999999999996</v>
      </c>
    </row>
    <row r="2227" spans="1:8" ht="12.75" customHeight="1">
      <c r="B2227" s="105"/>
      <c r="C2227" s="105"/>
      <c r="D2227" s="105"/>
      <c r="E2227" s="105"/>
      <c r="F2227" s="629" t="s">
        <v>610</v>
      </c>
      <c r="G2227" s="629"/>
      <c r="H2227" s="495">
        <v>7.31</v>
      </c>
    </row>
    <row r="2228" spans="1:8" ht="12.75" customHeight="1">
      <c r="B2228" s="105"/>
      <c r="C2228" s="105"/>
      <c r="D2228" s="105"/>
      <c r="E2228" s="105"/>
      <c r="F2228" s="630" t="s">
        <v>464</v>
      </c>
      <c r="G2228" s="630"/>
      <c r="H2228" s="102">
        <v>21.11</v>
      </c>
    </row>
    <row r="2229" spans="1:8">
      <c r="B2229" s="105"/>
      <c r="C2229" s="105"/>
      <c r="D2229" s="105"/>
      <c r="E2229" s="105"/>
      <c r="F2229" s="634"/>
      <c r="G2229" s="634"/>
      <c r="H2229" s="634"/>
    </row>
    <row r="2230" spans="1:8" s="220" customFormat="1" ht="27" customHeight="1">
      <c r="A2230" s="178" t="str">
        <f>'3 - PLAN. ORÇAMENTÁRIA'!A411</f>
        <v>5.1.1.17</v>
      </c>
      <c r="B2230" s="242">
        <f>VLOOKUP(A2230,'3 - PLAN. ORÇAMENTÁRIA'!$A$16:$B$721,2,FALSE)</f>
        <v>89418</v>
      </c>
      <c r="C2230" s="631" t="str">
        <f>VLOOKUP(A2230,'3 - PLAN. ORÇAMENTÁRIA'!$A$16:$C$721,3,FALSE)</f>
        <v>LUVA DE CORRER, PVC, SOLDÁVEL, DN 20MM - FORNECIMENTO E INSTALAÇÃO. AF_06/2022</v>
      </c>
      <c r="D2230" s="632"/>
      <c r="E2230" s="632"/>
      <c r="F2230" s="632"/>
      <c r="G2230" s="633"/>
      <c r="H2230" s="493" t="str">
        <f>VLOOKUP(A2230,'3 - PLAN. ORÇAMENTÁRIA'!$A$17:$E$721,5,FALSE)</f>
        <v>UN</v>
      </c>
    </row>
    <row r="2231" spans="1:8">
      <c r="B2231" s="628" t="s">
        <v>593</v>
      </c>
      <c r="C2231" s="628"/>
      <c r="D2231" s="103" t="s">
        <v>579</v>
      </c>
      <c r="E2231" s="103" t="s">
        <v>580</v>
      </c>
      <c r="F2231" s="103" t="s">
        <v>581</v>
      </c>
      <c r="G2231" s="103" t="s">
        <v>582</v>
      </c>
      <c r="H2231" s="103" t="s">
        <v>583</v>
      </c>
    </row>
    <row r="2232" spans="1:8">
      <c r="B2232" s="130" t="s">
        <v>1540</v>
      </c>
      <c r="C2232" s="229" t="s">
        <v>1541</v>
      </c>
      <c r="D2232" s="130" t="s">
        <v>119</v>
      </c>
      <c r="E2232" s="130" t="s">
        <v>144</v>
      </c>
      <c r="F2232" s="230">
        <v>4.7000000000000002E-3</v>
      </c>
      <c r="G2232" s="494">
        <v>72.86</v>
      </c>
      <c r="H2232" s="494">
        <v>0.34</v>
      </c>
    </row>
    <row r="2233" spans="1:8">
      <c r="B2233" s="130" t="s">
        <v>673</v>
      </c>
      <c r="C2233" s="229" t="s">
        <v>3789</v>
      </c>
      <c r="D2233" s="130" t="s">
        <v>119</v>
      </c>
      <c r="E2233" s="130" t="s">
        <v>144</v>
      </c>
      <c r="F2233" s="230">
        <v>2.5999999999999999E-2</v>
      </c>
      <c r="G2233" s="494">
        <v>2.57</v>
      </c>
      <c r="H2233" s="494">
        <v>7.0000000000000007E-2</v>
      </c>
    </row>
    <row r="2234" spans="1:8">
      <c r="B2234" s="130" t="s">
        <v>3630</v>
      </c>
      <c r="C2234" s="229" t="s">
        <v>3631</v>
      </c>
      <c r="D2234" s="130" t="s">
        <v>119</v>
      </c>
      <c r="E2234" s="130" t="s">
        <v>144</v>
      </c>
      <c r="F2234" s="230">
        <v>1</v>
      </c>
      <c r="G2234" s="494">
        <v>11.39</v>
      </c>
      <c r="H2234" s="494">
        <v>11.39</v>
      </c>
    </row>
    <row r="2235" spans="1:8">
      <c r="B2235" s="130" t="s">
        <v>1542</v>
      </c>
      <c r="C2235" s="229" t="s">
        <v>1543</v>
      </c>
      <c r="D2235" s="130" t="s">
        <v>119</v>
      </c>
      <c r="E2235" s="130" t="s">
        <v>144</v>
      </c>
      <c r="F2235" s="230">
        <v>6.0000000000000001E-3</v>
      </c>
      <c r="G2235" s="494">
        <v>82.55</v>
      </c>
      <c r="H2235" s="494">
        <v>0.5</v>
      </c>
    </row>
    <row r="2236" spans="1:8">
      <c r="B2236" s="105"/>
      <c r="C2236" s="105"/>
      <c r="D2236" s="105"/>
      <c r="E2236" s="105"/>
      <c r="F2236" s="629" t="s">
        <v>604</v>
      </c>
      <c r="G2236" s="629"/>
      <c r="H2236" s="495">
        <v>12.3</v>
      </c>
    </row>
    <row r="2237" spans="1:8" ht="12.75" customHeight="1">
      <c r="B2237" s="628" t="s">
        <v>607</v>
      </c>
      <c r="C2237" s="628"/>
      <c r="D2237" s="103" t="s">
        <v>579</v>
      </c>
      <c r="E2237" s="103" t="s">
        <v>580</v>
      </c>
      <c r="F2237" s="103" t="s">
        <v>581</v>
      </c>
      <c r="G2237" s="103" t="s">
        <v>582</v>
      </c>
      <c r="H2237" s="103" t="s">
        <v>583</v>
      </c>
    </row>
    <row r="2238" spans="1:8">
      <c r="B2238" s="130" t="s">
        <v>1296</v>
      </c>
      <c r="C2238" s="229" t="s">
        <v>611</v>
      </c>
      <c r="D2238" s="130" t="s">
        <v>119</v>
      </c>
      <c r="E2238" s="130" t="s">
        <v>121</v>
      </c>
      <c r="F2238" s="230">
        <v>7.8100000000000003E-2</v>
      </c>
      <c r="G2238" s="494">
        <v>24.02</v>
      </c>
      <c r="H2238" s="494">
        <v>1.88</v>
      </c>
    </row>
    <row r="2239" spans="1:8">
      <c r="B2239" s="130" t="s">
        <v>1297</v>
      </c>
      <c r="C2239" s="229" t="s">
        <v>612</v>
      </c>
      <c r="D2239" s="130" t="s">
        <v>119</v>
      </c>
      <c r="E2239" s="130" t="s">
        <v>121</v>
      </c>
      <c r="F2239" s="230">
        <v>7.8100000000000003E-2</v>
      </c>
      <c r="G2239" s="494">
        <v>30.62</v>
      </c>
      <c r="H2239" s="494">
        <v>2.39</v>
      </c>
    </row>
    <row r="2240" spans="1:8" ht="12.75" customHeight="1">
      <c r="B2240" s="105"/>
      <c r="C2240" s="105"/>
      <c r="D2240" s="105"/>
      <c r="E2240" s="105"/>
      <c r="F2240" s="629" t="s">
        <v>610</v>
      </c>
      <c r="G2240" s="629"/>
      <c r="H2240" s="495">
        <v>4.2699999999999996</v>
      </c>
    </row>
    <row r="2241" spans="1:8" ht="12.75" customHeight="1">
      <c r="B2241" s="105"/>
      <c r="C2241" s="105"/>
      <c r="D2241" s="105"/>
      <c r="E2241" s="105"/>
      <c r="F2241" s="630" t="s">
        <v>464</v>
      </c>
      <c r="G2241" s="630"/>
      <c r="H2241" s="102">
        <v>16.54</v>
      </c>
    </row>
    <row r="2242" spans="1:8">
      <c r="B2242" s="105"/>
      <c r="C2242" s="105"/>
      <c r="D2242" s="105"/>
      <c r="E2242" s="105"/>
      <c r="F2242" s="396"/>
      <c r="G2242" s="396"/>
      <c r="H2242" s="396"/>
    </row>
    <row r="2243" spans="1:8" s="220" customFormat="1" ht="27" customHeight="1">
      <c r="A2243" s="178" t="str">
        <f>'3 - PLAN. ORÇAMENTÁRIA'!A413</f>
        <v>5.1.2.1</v>
      </c>
      <c r="B2243" s="178">
        <f>VLOOKUP(A2243,'3 - PLAN. ORÇAMENTÁRIA'!$A$16:$B$721,2,FALSE)</f>
        <v>89402</v>
      </c>
      <c r="C2243" s="631" t="str">
        <f>VLOOKUP(A2243,'3 - PLAN. ORÇAMENTÁRIA'!$A$16:$C$721,3,FALSE)</f>
        <v>TUBO, PVC, SOLDÁVEL, DN 25MM - FORNECIMENTO E INSTALAÇÃO. AF_06/2022</v>
      </c>
      <c r="D2243" s="632"/>
      <c r="E2243" s="632"/>
      <c r="F2243" s="632"/>
      <c r="G2243" s="633"/>
      <c r="H2243" s="433" t="str">
        <f>VLOOKUP(A2243,'3 - PLAN. ORÇAMENTÁRIA'!$A$17:$E$721,5,FALSE)</f>
        <v>M</v>
      </c>
    </row>
    <row r="2244" spans="1:8">
      <c r="B2244" s="628" t="s">
        <v>593</v>
      </c>
      <c r="C2244" s="628"/>
      <c r="D2244" s="103" t="s">
        <v>579</v>
      </c>
      <c r="E2244" s="103" t="s">
        <v>580</v>
      </c>
      <c r="F2244" s="103" t="s">
        <v>581</v>
      </c>
      <c r="G2244" s="103" t="s">
        <v>582</v>
      </c>
      <c r="H2244" s="103" t="s">
        <v>583</v>
      </c>
    </row>
    <row r="2245" spans="1:8">
      <c r="B2245" s="130" t="s">
        <v>673</v>
      </c>
      <c r="C2245" s="229" t="s">
        <v>3789</v>
      </c>
      <c r="D2245" s="130" t="s">
        <v>119</v>
      </c>
      <c r="E2245" s="130" t="s">
        <v>144</v>
      </c>
      <c r="F2245" s="230">
        <v>3.6999999999999998E-2</v>
      </c>
      <c r="G2245" s="494">
        <v>2.57</v>
      </c>
      <c r="H2245" s="494">
        <v>0.1</v>
      </c>
    </row>
    <row r="2246" spans="1:8">
      <c r="B2246" s="130" t="s">
        <v>1663</v>
      </c>
      <c r="C2246" s="229" t="s">
        <v>1664</v>
      </c>
      <c r="D2246" s="130" t="s">
        <v>119</v>
      </c>
      <c r="E2246" s="130" t="s">
        <v>173</v>
      </c>
      <c r="F2246" s="230">
        <v>1.0492999999999999</v>
      </c>
      <c r="G2246" s="494">
        <v>4.46</v>
      </c>
      <c r="H2246" s="494">
        <v>4.68</v>
      </c>
    </row>
    <row r="2247" spans="1:8">
      <c r="B2247" s="105"/>
      <c r="C2247" s="105"/>
      <c r="D2247" s="105"/>
      <c r="E2247" s="105"/>
      <c r="F2247" s="629" t="s">
        <v>604</v>
      </c>
      <c r="G2247" s="629"/>
      <c r="H2247" s="495">
        <v>4.78</v>
      </c>
    </row>
    <row r="2248" spans="1:8" ht="12.75" customHeight="1">
      <c r="B2248" s="628" t="s">
        <v>607</v>
      </c>
      <c r="C2248" s="628"/>
      <c r="D2248" s="103" t="s">
        <v>579</v>
      </c>
      <c r="E2248" s="103" t="s">
        <v>580</v>
      </c>
      <c r="F2248" s="103" t="s">
        <v>581</v>
      </c>
      <c r="G2248" s="103" t="s">
        <v>582</v>
      </c>
      <c r="H2248" s="103" t="s">
        <v>583</v>
      </c>
    </row>
    <row r="2249" spans="1:8">
      <c r="B2249" s="130" t="s">
        <v>1296</v>
      </c>
      <c r="C2249" s="229" t="s">
        <v>611</v>
      </c>
      <c r="D2249" s="130" t="s">
        <v>119</v>
      </c>
      <c r="E2249" s="130" t="s">
        <v>121</v>
      </c>
      <c r="F2249" s="230">
        <v>0.15859999999999999</v>
      </c>
      <c r="G2249" s="494">
        <v>24.02</v>
      </c>
      <c r="H2249" s="494">
        <v>3.81</v>
      </c>
    </row>
    <row r="2250" spans="1:8">
      <c r="B2250" s="130" t="s">
        <v>1297</v>
      </c>
      <c r="C2250" s="229" t="s">
        <v>612</v>
      </c>
      <c r="D2250" s="130" t="s">
        <v>119</v>
      </c>
      <c r="E2250" s="130" t="s">
        <v>121</v>
      </c>
      <c r="F2250" s="230">
        <v>0.15859999999999999</v>
      </c>
      <c r="G2250" s="494">
        <v>30.62</v>
      </c>
      <c r="H2250" s="494">
        <v>4.8600000000000003</v>
      </c>
    </row>
    <row r="2251" spans="1:8" ht="12.75" customHeight="1">
      <c r="B2251" s="105"/>
      <c r="C2251" s="105"/>
      <c r="D2251" s="105"/>
      <c r="E2251" s="105"/>
      <c r="F2251" s="629" t="s">
        <v>610</v>
      </c>
      <c r="G2251" s="629"/>
      <c r="H2251" s="495">
        <v>8.67</v>
      </c>
    </row>
    <row r="2252" spans="1:8" ht="12.75" customHeight="1">
      <c r="B2252" s="105"/>
      <c r="C2252" s="105"/>
      <c r="D2252" s="105"/>
      <c r="E2252" s="105"/>
      <c r="F2252" s="630" t="s">
        <v>464</v>
      </c>
      <c r="G2252" s="630"/>
      <c r="H2252" s="102">
        <v>13.41</v>
      </c>
    </row>
    <row r="2253" spans="1:8">
      <c r="B2253" s="105"/>
      <c r="C2253" s="105"/>
      <c r="D2253" s="105"/>
      <c r="E2253" s="105"/>
      <c r="F2253" s="634"/>
      <c r="G2253" s="634"/>
      <c r="H2253" s="634"/>
    </row>
    <row r="2254" spans="1:8" s="220" customFormat="1" ht="27" customHeight="1">
      <c r="A2254" s="178" t="str">
        <f>'3 - PLAN. ORÇAMENTÁRIA'!A414</f>
        <v>5.1.2.2</v>
      </c>
      <c r="B2254" s="178">
        <f>VLOOKUP(A2254,'3 - PLAN. ORÇAMENTÁRIA'!$A$16:$B$721,2,FALSE)</f>
        <v>89403</v>
      </c>
      <c r="C2254" s="631" t="str">
        <f>VLOOKUP(A2254,'3 - PLAN. ORÇAMENTÁRIA'!$A$16:$C$721,3,FALSE)</f>
        <v>TUBO, PVC, SOLDÁVEL, DN 32MM - FORNECIMENTO E INSTALAÇÃO. AF_06/2022</v>
      </c>
      <c r="D2254" s="632"/>
      <c r="E2254" s="632"/>
      <c r="F2254" s="632"/>
      <c r="G2254" s="633"/>
      <c r="H2254" s="493" t="str">
        <f>VLOOKUP(A2254,'3 - PLAN. ORÇAMENTÁRIA'!$A$17:$E$721,5,FALSE)</f>
        <v>M</v>
      </c>
    </row>
    <row r="2255" spans="1:8">
      <c r="B2255" s="628" t="s">
        <v>593</v>
      </c>
      <c r="C2255" s="628"/>
      <c r="D2255" s="103" t="s">
        <v>579</v>
      </c>
      <c r="E2255" s="103" t="s">
        <v>580</v>
      </c>
      <c r="F2255" s="103" t="s">
        <v>581</v>
      </c>
      <c r="G2255" s="103" t="s">
        <v>582</v>
      </c>
      <c r="H2255" s="103" t="s">
        <v>583</v>
      </c>
    </row>
    <row r="2256" spans="1:8">
      <c r="B2256" s="130" t="s">
        <v>673</v>
      </c>
      <c r="C2256" s="229" t="s">
        <v>3789</v>
      </c>
      <c r="D2256" s="130" t="s">
        <v>119</v>
      </c>
      <c r="E2256" s="130" t="s">
        <v>144</v>
      </c>
      <c r="F2256" s="230">
        <v>4.41E-2</v>
      </c>
      <c r="G2256" s="494">
        <v>2.57</v>
      </c>
      <c r="H2256" s="494">
        <v>0.11</v>
      </c>
    </row>
    <row r="2257" spans="1:8">
      <c r="B2257" s="130" t="s">
        <v>1665</v>
      </c>
      <c r="C2257" s="229" t="s">
        <v>1666</v>
      </c>
      <c r="D2257" s="130" t="s">
        <v>119</v>
      </c>
      <c r="E2257" s="130" t="s">
        <v>173</v>
      </c>
      <c r="F2257" s="230">
        <v>1.0492999999999999</v>
      </c>
      <c r="G2257" s="494">
        <v>9.6199999999999992</v>
      </c>
      <c r="H2257" s="494">
        <v>10.09</v>
      </c>
    </row>
    <row r="2258" spans="1:8">
      <c r="B2258" s="105"/>
      <c r="C2258" s="105"/>
      <c r="D2258" s="105"/>
      <c r="E2258" s="105"/>
      <c r="F2258" s="629" t="s">
        <v>604</v>
      </c>
      <c r="G2258" s="629"/>
      <c r="H2258" s="495">
        <v>10.199999999999999</v>
      </c>
    </row>
    <row r="2259" spans="1:8" ht="12.75" customHeight="1">
      <c r="B2259" s="628" t="s">
        <v>607</v>
      </c>
      <c r="C2259" s="628"/>
      <c r="D2259" s="103" t="s">
        <v>579</v>
      </c>
      <c r="E2259" s="103" t="s">
        <v>580</v>
      </c>
      <c r="F2259" s="103" t="s">
        <v>581</v>
      </c>
      <c r="G2259" s="103" t="s">
        <v>582</v>
      </c>
      <c r="H2259" s="103" t="s">
        <v>583</v>
      </c>
    </row>
    <row r="2260" spans="1:8">
      <c r="B2260" s="130" t="s">
        <v>1296</v>
      </c>
      <c r="C2260" s="229" t="s">
        <v>611</v>
      </c>
      <c r="D2260" s="130" t="s">
        <v>119</v>
      </c>
      <c r="E2260" s="130" t="s">
        <v>121</v>
      </c>
      <c r="F2260" s="230">
        <v>0.18909999999999999</v>
      </c>
      <c r="G2260" s="494">
        <v>24.02</v>
      </c>
      <c r="H2260" s="494">
        <v>4.54</v>
      </c>
    </row>
    <row r="2261" spans="1:8">
      <c r="B2261" s="130" t="s">
        <v>1297</v>
      </c>
      <c r="C2261" s="229" t="s">
        <v>612</v>
      </c>
      <c r="D2261" s="130" t="s">
        <v>119</v>
      </c>
      <c r="E2261" s="130" t="s">
        <v>121</v>
      </c>
      <c r="F2261" s="230">
        <v>0.18909999999999999</v>
      </c>
      <c r="G2261" s="494">
        <v>30.62</v>
      </c>
      <c r="H2261" s="494">
        <v>5.79</v>
      </c>
    </row>
    <row r="2262" spans="1:8" ht="12.75" customHeight="1">
      <c r="B2262" s="105"/>
      <c r="C2262" s="105"/>
      <c r="D2262" s="105"/>
      <c r="E2262" s="105"/>
      <c r="F2262" s="629" t="s">
        <v>610</v>
      </c>
      <c r="G2262" s="629"/>
      <c r="H2262" s="495">
        <v>10.33</v>
      </c>
    </row>
    <row r="2263" spans="1:8" ht="12.75" customHeight="1">
      <c r="B2263" s="105"/>
      <c r="C2263" s="105"/>
      <c r="D2263" s="105"/>
      <c r="E2263" s="105"/>
      <c r="F2263" s="630" t="s">
        <v>464</v>
      </c>
      <c r="G2263" s="630"/>
      <c r="H2263" s="102">
        <v>20.53</v>
      </c>
    </row>
    <row r="2264" spans="1:8">
      <c r="B2264" s="105"/>
      <c r="C2264" s="105"/>
      <c r="D2264" s="105"/>
      <c r="E2264" s="105"/>
      <c r="F2264" s="634"/>
      <c r="G2264" s="634"/>
      <c r="H2264" s="634"/>
    </row>
    <row r="2265" spans="1:8" s="220" customFormat="1" ht="27" customHeight="1">
      <c r="A2265" s="178" t="str">
        <f>'3 - PLAN. ORÇAMENTÁRIA'!A415</f>
        <v>5.1.2.3</v>
      </c>
      <c r="B2265" s="178">
        <f>VLOOKUP(A2265,'3 - PLAN. ORÇAMENTÁRIA'!$A$16:$B$721,2,FALSE)</f>
        <v>103979</v>
      </c>
      <c r="C2265" s="631" t="str">
        <f>VLOOKUP(A2265,'3 - PLAN. ORÇAMENTÁRIA'!$A$16:$C$721,3,FALSE)</f>
        <v>TUBO, PVC, SOLDÁVEL, DN 50MM - FORNECIMENTO E INSTALAÇÃO. AF_06/2022</v>
      </c>
      <c r="D2265" s="632"/>
      <c r="E2265" s="632"/>
      <c r="F2265" s="632"/>
      <c r="G2265" s="633"/>
      <c r="H2265" s="493" t="str">
        <f>VLOOKUP(A2265,'3 - PLAN. ORÇAMENTÁRIA'!$A$17:$E$721,5,FALSE)</f>
        <v>M</v>
      </c>
    </row>
    <row r="2266" spans="1:8">
      <c r="B2266" s="628" t="s">
        <v>593</v>
      </c>
      <c r="C2266" s="628"/>
      <c r="D2266" s="103" t="s">
        <v>579</v>
      </c>
      <c r="E2266" s="103" t="s">
        <v>580</v>
      </c>
      <c r="F2266" s="103" t="s">
        <v>581</v>
      </c>
      <c r="G2266" s="103" t="s">
        <v>582</v>
      </c>
      <c r="H2266" s="103" t="s">
        <v>583</v>
      </c>
    </row>
    <row r="2267" spans="1:8">
      <c r="B2267" s="130" t="s">
        <v>673</v>
      </c>
      <c r="C2267" s="229" t="s">
        <v>3789</v>
      </c>
      <c r="D2267" s="130" t="s">
        <v>119</v>
      </c>
      <c r="E2267" s="130" t="s">
        <v>144</v>
      </c>
      <c r="F2267" s="230">
        <v>3.1199999999999999E-2</v>
      </c>
      <c r="G2267" s="494">
        <v>2.57</v>
      </c>
      <c r="H2267" s="494">
        <v>0.08</v>
      </c>
    </row>
    <row r="2268" spans="1:8">
      <c r="B2268" s="130" t="s">
        <v>1671</v>
      </c>
      <c r="C2268" s="229" t="s">
        <v>1672</v>
      </c>
      <c r="D2268" s="130" t="s">
        <v>119</v>
      </c>
      <c r="E2268" s="130" t="s">
        <v>173</v>
      </c>
      <c r="F2268" s="230">
        <v>1.0492999999999999</v>
      </c>
      <c r="G2268" s="494">
        <v>16.579999999999998</v>
      </c>
      <c r="H2268" s="494">
        <v>17.399999999999999</v>
      </c>
    </row>
    <row r="2269" spans="1:8">
      <c r="B2269" s="105"/>
      <c r="C2269" s="105"/>
      <c r="D2269" s="105"/>
      <c r="E2269" s="105"/>
      <c r="F2269" s="629" t="s">
        <v>604</v>
      </c>
      <c r="G2269" s="629"/>
      <c r="H2269" s="495">
        <v>17.48</v>
      </c>
    </row>
    <row r="2270" spans="1:8" ht="12.75" customHeight="1">
      <c r="B2270" s="628" t="s">
        <v>607</v>
      </c>
      <c r="C2270" s="628"/>
      <c r="D2270" s="103" t="s">
        <v>579</v>
      </c>
      <c r="E2270" s="103" t="s">
        <v>580</v>
      </c>
      <c r="F2270" s="103" t="s">
        <v>581</v>
      </c>
      <c r="G2270" s="103" t="s">
        <v>582</v>
      </c>
      <c r="H2270" s="103" t="s">
        <v>583</v>
      </c>
    </row>
    <row r="2271" spans="1:8">
      <c r="B2271" s="130" t="s">
        <v>1296</v>
      </c>
      <c r="C2271" s="229" t="s">
        <v>611</v>
      </c>
      <c r="D2271" s="130" t="s">
        <v>119</v>
      </c>
      <c r="E2271" s="130" t="s">
        <v>121</v>
      </c>
      <c r="F2271" s="230">
        <v>0.26769999999999999</v>
      </c>
      <c r="G2271" s="494">
        <v>24.02</v>
      </c>
      <c r="H2271" s="494">
        <v>6.43</v>
      </c>
    </row>
    <row r="2272" spans="1:8">
      <c r="B2272" s="130" t="s">
        <v>1297</v>
      </c>
      <c r="C2272" s="229" t="s">
        <v>612</v>
      </c>
      <c r="D2272" s="130" t="s">
        <v>119</v>
      </c>
      <c r="E2272" s="130" t="s">
        <v>121</v>
      </c>
      <c r="F2272" s="230">
        <v>0.26769999999999999</v>
      </c>
      <c r="G2272" s="494">
        <v>30.62</v>
      </c>
      <c r="H2272" s="494">
        <v>8.1999999999999993</v>
      </c>
    </row>
    <row r="2273" spans="1:8" ht="12.75" customHeight="1">
      <c r="B2273" s="105"/>
      <c r="C2273" s="105"/>
      <c r="D2273" s="105"/>
      <c r="E2273" s="105"/>
      <c r="F2273" s="629" t="s">
        <v>610</v>
      </c>
      <c r="G2273" s="629"/>
      <c r="H2273" s="495">
        <v>14.63</v>
      </c>
    </row>
    <row r="2274" spans="1:8" ht="12.75" customHeight="1">
      <c r="B2274" s="105"/>
      <c r="C2274" s="105"/>
      <c r="D2274" s="105"/>
      <c r="E2274" s="105"/>
      <c r="F2274" s="630" t="s">
        <v>464</v>
      </c>
      <c r="G2274" s="630"/>
      <c r="H2274" s="102">
        <v>32.090000000000003</v>
      </c>
    </row>
    <row r="2275" spans="1:8">
      <c r="B2275" s="105"/>
      <c r="C2275" s="105"/>
      <c r="D2275" s="105"/>
      <c r="E2275" s="105"/>
      <c r="F2275" s="634"/>
      <c r="G2275" s="634"/>
      <c r="H2275" s="634"/>
    </row>
    <row r="2276" spans="1:8" s="220" customFormat="1" ht="27" customHeight="1">
      <c r="A2276" s="178" t="str">
        <f>'3 - PLAN. ORÇAMENTÁRIA'!A418</f>
        <v>5.1.3.2</v>
      </c>
      <c r="B2276" s="178">
        <f>VLOOKUP(A2276,'3 - PLAN. ORÇAMENTÁRIA'!$A$16:$B$721,2,FALSE)</f>
        <v>102608</v>
      </c>
      <c r="C2276" s="631" t="str">
        <f>VLOOKUP(A2276,'3 - PLAN. ORÇAMENTÁRIA'!$A$16:$C$721,3,FALSE)</f>
        <v>CAIXA D´ÁGUA EM POLIETILENO, 1500 LITROS - FORNECIMENTO E INSTALAÇÃO. AF_06/2021</v>
      </c>
      <c r="D2276" s="632"/>
      <c r="E2276" s="632"/>
      <c r="F2276" s="632"/>
      <c r="G2276" s="633"/>
      <c r="H2276" s="433" t="str">
        <f>VLOOKUP(A2276,'3 - PLAN. ORÇAMENTÁRIA'!$A$17:$E$721,5,FALSE)</f>
        <v>UN</v>
      </c>
    </row>
    <row r="2277" spans="1:8">
      <c r="B2277" s="628" t="s">
        <v>593</v>
      </c>
      <c r="C2277" s="628"/>
      <c r="D2277" s="103" t="s">
        <v>579</v>
      </c>
      <c r="E2277" s="103" t="s">
        <v>580</v>
      </c>
      <c r="F2277" s="103" t="s">
        <v>581</v>
      </c>
      <c r="G2277" s="103" t="s">
        <v>582</v>
      </c>
      <c r="H2277" s="103" t="s">
        <v>583</v>
      </c>
    </row>
    <row r="2278" spans="1:8">
      <c r="B2278" s="130" t="s">
        <v>3251</v>
      </c>
      <c r="C2278" s="229" t="s">
        <v>3392</v>
      </c>
      <c r="D2278" s="130" t="s">
        <v>119</v>
      </c>
      <c r="E2278" s="130" t="s">
        <v>144</v>
      </c>
      <c r="F2278" s="230">
        <v>1</v>
      </c>
      <c r="G2278" s="494">
        <v>1151.78</v>
      </c>
      <c r="H2278" s="494">
        <v>1151.78</v>
      </c>
    </row>
    <row r="2279" spans="1:8">
      <c r="B2279" s="105"/>
      <c r="C2279" s="105"/>
      <c r="D2279" s="105"/>
      <c r="E2279" s="105"/>
      <c r="F2279" s="629" t="s">
        <v>604</v>
      </c>
      <c r="G2279" s="629"/>
      <c r="H2279" s="495">
        <v>1151.78</v>
      </c>
    </row>
    <row r="2280" spans="1:8" ht="12.75" customHeight="1">
      <c r="B2280" s="628" t="s">
        <v>607</v>
      </c>
      <c r="C2280" s="628"/>
      <c r="D2280" s="103" t="s">
        <v>579</v>
      </c>
      <c r="E2280" s="103" t="s">
        <v>580</v>
      </c>
      <c r="F2280" s="103" t="s">
        <v>581</v>
      </c>
      <c r="G2280" s="103" t="s">
        <v>582</v>
      </c>
      <c r="H2280" s="103" t="s">
        <v>583</v>
      </c>
    </row>
    <row r="2281" spans="1:8">
      <c r="B2281" s="130" t="s">
        <v>1296</v>
      </c>
      <c r="C2281" s="229" t="s">
        <v>611</v>
      </c>
      <c r="D2281" s="130" t="s">
        <v>119</v>
      </c>
      <c r="E2281" s="130" t="s">
        <v>121</v>
      </c>
      <c r="F2281" s="230">
        <v>0.20080000000000001</v>
      </c>
      <c r="G2281" s="494">
        <v>24.02</v>
      </c>
      <c r="H2281" s="494">
        <v>4.82</v>
      </c>
    </row>
    <row r="2282" spans="1:8">
      <c r="B2282" s="130" t="s">
        <v>1297</v>
      </c>
      <c r="C2282" s="229" t="s">
        <v>612</v>
      </c>
      <c r="D2282" s="130" t="s">
        <v>119</v>
      </c>
      <c r="E2282" s="130" t="s">
        <v>121</v>
      </c>
      <c r="F2282" s="230">
        <v>0.20080000000000001</v>
      </c>
      <c r="G2282" s="494">
        <v>30.62</v>
      </c>
      <c r="H2282" s="494">
        <v>6.15</v>
      </c>
    </row>
    <row r="2283" spans="1:8" ht="12.75" customHeight="1">
      <c r="B2283" s="105"/>
      <c r="C2283" s="105"/>
      <c r="D2283" s="105"/>
      <c r="E2283" s="105"/>
      <c r="F2283" s="629" t="s">
        <v>610</v>
      </c>
      <c r="G2283" s="629"/>
      <c r="H2283" s="495">
        <v>10.97</v>
      </c>
    </row>
    <row r="2284" spans="1:8" ht="12.75" customHeight="1">
      <c r="B2284" s="105"/>
      <c r="C2284" s="105"/>
      <c r="D2284" s="105"/>
      <c r="E2284" s="105"/>
      <c r="F2284" s="630" t="s">
        <v>464</v>
      </c>
      <c r="G2284" s="630"/>
      <c r="H2284" s="102">
        <v>1162.74</v>
      </c>
    </row>
    <row r="2285" spans="1:8">
      <c r="B2285" s="105"/>
      <c r="C2285" s="105"/>
      <c r="D2285" s="105"/>
      <c r="E2285" s="105"/>
      <c r="F2285" s="634"/>
      <c r="G2285" s="634"/>
      <c r="H2285" s="634"/>
    </row>
    <row r="2286" spans="1:8" s="220" customFormat="1" ht="27" customHeight="1">
      <c r="A2286" s="178" t="str">
        <f>'3 - PLAN. ORÇAMENTÁRIA'!A419</f>
        <v>5.1.3.3</v>
      </c>
      <c r="B2286" s="178">
        <f>VLOOKUP(A2286,'3 - PLAN. ORÇAMENTÁRIA'!$A$16:$B$721,2,FALSE)</f>
        <v>102609</v>
      </c>
      <c r="C2286" s="631" t="str">
        <f>VLOOKUP(A2286,'3 - PLAN. ORÇAMENTÁRIA'!$A$16:$C$721,3,FALSE)</f>
        <v>CAIXA D´ÁGUA EM POLIETILENO, 2000 LITROS - FORNECIMENTO E INSTALAÇÃO. AF_06/2021</v>
      </c>
      <c r="D2286" s="632"/>
      <c r="E2286" s="632"/>
      <c r="F2286" s="632"/>
      <c r="G2286" s="633"/>
      <c r="H2286" s="493" t="str">
        <f>VLOOKUP(A2286,'3 - PLAN. ORÇAMENTÁRIA'!$A$17:$E$721,5,FALSE)</f>
        <v>UN</v>
      </c>
    </row>
    <row r="2287" spans="1:8">
      <c r="B2287" s="628" t="s">
        <v>593</v>
      </c>
      <c r="C2287" s="628"/>
      <c r="D2287" s="103" t="s">
        <v>579</v>
      </c>
      <c r="E2287" s="103" t="s">
        <v>580</v>
      </c>
      <c r="F2287" s="103" t="s">
        <v>581</v>
      </c>
      <c r="G2287" s="103" t="s">
        <v>582</v>
      </c>
      <c r="H2287" s="103" t="s">
        <v>583</v>
      </c>
    </row>
    <row r="2288" spans="1:8">
      <c r="B2288" s="130" t="s">
        <v>3614</v>
      </c>
      <c r="C2288" s="229" t="s">
        <v>1678</v>
      </c>
      <c r="D2288" s="130" t="s">
        <v>119</v>
      </c>
      <c r="E2288" s="130" t="s">
        <v>144</v>
      </c>
      <c r="F2288" s="230">
        <v>1</v>
      </c>
      <c r="G2288" s="494">
        <v>1306.51</v>
      </c>
      <c r="H2288" s="494">
        <v>1306.51</v>
      </c>
    </row>
    <row r="2289" spans="1:8">
      <c r="B2289" s="105"/>
      <c r="C2289" s="105"/>
      <c r="D2289" s="105"/>
      <c r="E2289" s="105"/>
      <c r="F2289" s="629" t="s">
        <v>604</v>
      </c>
      <c r="G2289" s="629"/>
      <c r="H2289" s="495">
        <v>1306.51</v>
      </c>
    </row>
    <row r="2290" spans="1:8" ht="12.75" customHeight="1">
      <c r="B2290" s="628" t="s">
        <v>607</v>
      </c>
      <c r="C2290" s="628"/>
      <c r="D2290" s="103" t="s">
        <v>579</v>
      </c>
      <c r="E2290" s="103" t="s">
        <v>580</v>
      </c>
      <c r="F2290" s="103" t="s">
        <v>581</v>
      </c>
      <c r="G2290" s="103" t="s">
        <v>582</v>
      </c>
      <c r="H2290" s="103" t="s">
        <v>583</v>
      </c>
    </row>
    <row r="2291" spans="1:8">
      <c r="B2291" s="130" t="s">
        <v>1296</v>
      </c>
      <c r="C2291" s="229" t="s">
        <v>611</v>
      </c>
      <c r="D2291" s="130" t="s">
        <v>119</v>
      </c>
      <c r="E2291" s="130" t="s">
        <v>121</v>
      </c>
      <c r="F2291" s="230">
        <v>0.26860000000000001</v>
      </c>
      <c r="G2291" s="494">
        <v>24.02</v>
      </c>
      <c r="H2291" s="494">
        <v>6.45</v>
      </c>
    </row>
    <row r="2292" spans="1:8">
      <c r="B2292" s="130" t="s">
        <v>1297</v>
      </c>
      <c r="C2292" s="229" t="s">
        <v>612</v>
      </c>
      <c r="D2292" s="130" t="s">
        <v>119</v>
      </c>
      <c r="E2292" s="130" t="s">
        <v>121</v>
      </c>
      <c r="F2292" s="230">
        <v>0.26860000000000001</v>
      </c>
      <c r="G2292" s="494">
        <v>30.62</v>
      </c>
      <c r="H2292" s="494">
        <v>8.2200000000000006</v>
      </c>
    </row>
    <row r="2293" spans="1:8" ht="12.75" customHeight="1">
      <c r="B2293" s="105"/>
      <c r="C2293" s="105"/>
      <c r="D2293" s="105"/>
      <c r="E2293" s="105"/>
      <c r="F2293" s="629" t="s">
        <v>610</v>
      </c>
      <c r="G2293" s="629"/>
      <c r="H2293" s="495">
        <v>14.67</v>
      </c>
    </row>
    <row r="2294" spans="1:8" ht="12.75" customHeight="1">
      <c r="B2294" s="105"/>
      <c r="C2294" s="105"/>
      <c r="D2294" s="105"/>
      <c r="E2294" s="105"/>
      <c r="F2294" s="630" t="s">
        <v>464</v>
      </c>
      <c r="G2294" s="630"/>
      <c r="H2294" s="102">
        <v>1321.18</v>
      </c>
    </row>
    <row r="2295" spans="1:8">
      <c r="B2295" s="105"/>
      <c r="C2295" s="105"/>
      <c r="D2295" s="105"/>
      <c r="E2295" s="105"/>
      <c r="F2295" s="634"/>
      <c r="G2295" s="634"/>
      <c r="H2295" s="634"/>
    </row>
    <row r="2296" spans="1:8" s="220" customFormat="1" ht="27" customHeight="1">
      <c r="A2296" s="178" t="str">
        <f>'3 - PLAN. ORÇAMENTÁRIA'!A420</f>
        <v>5.1.3.4</v>
      </c>
      <c r="B2296" s="178">
        <f>VLOOKUP(A2296,'3 - PLAN. ORÇAMENTÁRIA'!$A$16:$B$721,2,FALSE)</f>
        <v>94795</v>
      </c>
      <c r="C2296" s="631" t="str">
        <f>VLOOKUP(A2296,'3 - PLAN. ORÇAMENTÁRIA'!$A$16:$C$721,3,FALSE)</f>
        <v>TORNEIRA DE BOIA PARA CAIXA D'ÁGUA, ROSCÁVEL, 1/2" - FORNECIMENTO E INSTALAÇÃO. AF_08/2021</v>
      </c>
      <c r="D2296" s="632"/>
      <c r="E2296" s="632"/>
      <c r="F2296" s="632"/>
      <c r="G2296" s="633"/>
      <c r="H2296" s="493" t="str">
        <f>VLOOKUP(A2296,'3 - PLAN. ORÇAMENTÁRIA'!$A$17:$E$721,5,FALSE)</f>
        <v>UN</v>
      </c>
    </row>
    <row r="2297" spans="1:8">
      <c r="B2297" s="628" t="s">
        <v>593</v>
      </c>
      <c r="C2297" s="628"/>
      <c r="D2297" s="103" t="s">
        <v>579</v>
      </c>
      <c r="E2297" s="103" t="s">
        <v>580</v>
      </c>
      <c r="F2297" s="103" t="s">
        <v>581</v>
      </c>
      <c r="G2297" s="103" t="s">
        <v>582</v>
      </c>
      <c r="H2297" s="103" t="s">
        <v>583</v>
      </c>
    </row>
    <row r="2298" spans="1:8">
      <c r="B2298" s="130" t="s">
        <v>1286</v>
      </c>
      <c r="C2298" s="229" t="s">
        <v>3793</v>
      </c>
      <c r="D2298" s="130" t="s">
        <v>119</v>
      </c>
      <c r="E2298" s="130" t="s">
        <v>144</v>
      </c>
      <c r="F2298" s="230">
        <v>4.1999999999999997E-3</v>
      </c>
      <c r="G2298" s="494">
        <v>14.38</v>
      </c>
      <c r="H2298" s="494">
        <v>0.06</v>
      </c>
    </row>
    <row r="2299" spans="1:8" ht="25.5">
      <c r="B2299" s="130" t="s">
        <v>2456</v>
      </c>
      <c r="C2299" s="229" t="s">
        <v>2457</v>
      </c>
      <c r="D2299" s="130" t="s">
        <v>119</v>
      </c>
      <c r="E2299" s="130" t="s">
        <v>144</v>
      </c>
      <c r="F2299" s="230">
        <v>1</v>
      </c>
      <c r="G2299" s="494">
        <v>55.85</v>
      </c>
      <c r="H2299" s="494">
        <v>55.85</v>
      </c>
    </row>
    <row r="2300" spans="1:8">
      <c r="B2300" s="105"/>
      <c r="C2300" s="105"/>
      <c r="D2300" s="105"/>
      <c r="E2300" s="105"/>
      <c r="F2300" s="629" t="s">
        <v>604</v>
      </c>
      <c r="G2300" s="629"/>
      <c r="H2300" s="495">
        <v>55.91</v>
      </c>
    </row>
    <row r="2301" spans="1:8" ht="12.75" customHeight="1">
      <c r="B2301" s="628" t="s">
        <v>607</v>
      </c>
      <c r="C2301" s="628"/>
      <c r="D2301" s="103" t="s">
        <v>579</v>
      </c>
      <c r="E2301" s="103" t="s">
        <v>580</v>
      </c>
      <c r="F2301" s="103" t="s">
        <v>581</v>
      </c>
      <c r="G2301" s="103" t="s">
        <v>582</v>
      </c>
      <c r="H2301" s="103" t="s">
        <v>583</v>
      </c>
    </row>
    <row r="2302" spans="1:8">
      <c r="B2302" s="130" t="s">
        <v>1296</v>
      </c>
      <c r="C2302" s="229" t="s">
        <v>611</v>
      </c>
      <c r="D2302" s="130" t="s">
        <v>119</v>
      </c>
      <c r="E2302" s="130" t="s">
        <v>121</v>
      </c>
      <c r="F2302" s="230">
        <v>0.1242</v>
      </c>
      <c r="G2302" s="494">
        <v>24.02</v>
      </c>
      <c r="H2302" s="494">
        <v>2.98</v>
      </c>
    </row>
    <row r="2303" spans="1:8">
      <c r="B2303" s="130" t="s">
        <v>1297</v>
      </c>
      <c r="C2303" s="229" t="s">
        <v>612</v>
      </c>
      <c r="D2303" s="130" t="s">
        <v>119</v>
      </c>
      <c r="E2303" s="130" t="s">
        <v>121</v>
      </c>
      <c r="F2303" s="230">
        <v>0.1242</v>
      </c>
      <c r="G2303" s="494">
        <v>30.62</v>
      </c>
      <c r="H2303" s="494">
        <v>3.8</v>
      </c>
    </row>
    <row r="2304" spans="1:8" ht="12.75" customHeight="1">
      <c r="B2304" s="105"/>
      <c r="C2304" s="105"/>
      <c r="D2304" s="105"/>
      <c r="E2304" s="105"/>
      <c r="F2304" s="629" t="s">
        <v>610</v>
      </c>
      <c r="G2304" s="629"/>
      <c r="H2304" s="495">
        <v>6.78</v>
      </c>
    </row>
    <row r="2305" spans="1:8" ht="12.75" customHeight="1">
      <c r="B2305" s="105"/>
      <c r="C2305" s="105"/>
      <c r="D2305" s="105"/>
      <c r="E2305" s="105"/>
      <c r="F2305" s="630" t="s">
        <v>464</v>
      </c>
      <c r="G2305" s="630"/>
      <c r="H2305" s="102">
        <v>62.69</v>
      </c>
    </row>
    <row r="2306" spans="1:8">
      <c r="B2306" s="105"/>
      <c r="C2306" s="105"/>
      <c r="D2306" s="105"/>
      <c r="E2306" s="105"/>
      <c r="F2306" s="634"/>
      <c r="G2306" s="634"/>
      <c r="H2306" s="634"/>
    </row>
    <row r="2307" spans="1:8" s="220" customFormat="1" ht="27" customHeight="1">
      <c r="A2307" s="178" t="str">
        <f>'3 - PLAN. ORÇAMENTÁRIA'!A423</f>
        <v>5.1.4.1</v>
      </c>
      <c r="B2307" s="178">
        <f>VLOOKUP(A2307,'3 - PLAN. ORÇAMENTÁRIA'!$A$16:$B$721,2,FALSE)</f>
        <v>89987</v>
      </c>
      <c r="C2307" s="631" t="str">
        <f>VLOOKUP(A2307,'3 - PLAN. ORÇAMENTÁRIA'!$A$16:$C$721,3,FALSE)</f>
        <v>REGISTRO DE GAVETA BRUTO, LATÃO, ROSCÁVEL, 3/4", COM ACABAMENTO E CANOPLA CROMADOS - FORNECIMENTO E INSTALAÇÃO. AF_08/2021</v>
      </c>
      <c r="D2307" s="632"/>
      <c r="E2307" s="632"/>
      <c r="F2307" s="632"/>
      <c r="G2307" s="633"/>
      <c r="H2307" s="433" t="str">
        <f>VLOOKUP(A2307,'3 - PLAN. ORÇAMENTÁRIA'!$A$17:$E$721,5,FALSE)</f>
        <v>UN</v>
      </c>
    </row>
    <row r="2308" spans="1:8">
      <c r="B2308" s="628" t="s">
        <v>593</v>
      </c>
      <c r="C2308" s="628"/>
      <c r="D2308" s="103" t="s">
        <v>579</v>
      </c>
      <c r="E2308" s="103" t="s">
        <v>580</v>
      </c>
      <c r="F2308" s="103" t="s">
        <v>581</v>
      </c>
      <c r="G2308" s="103" t="s">
        <v>582</v>
      </c>
      <c r="H2308" s="103" t="s">
        <v>583</v>
      </c>
    </row>
    <row r="2309" spans="1:8">
      <c r="B2309" s="130" t="s">
        <v>1286</v>
      </c>
      <c r="C2309" s="229" t="s">
        <v>3793</v>
      </c>
      <c r="D2309" s="130" t="s">
        <v>119</v>
      </c>
      <c r="E2309" s="130" t="s">
        <v>144</v>
      </c>
      <c r="F2309" s="230">
        <v>1.06E-2</v>
      </c>
      <c r="G2309" s="494">
        <v>14.38</v>
      </c>
      <c r="H2309" s="494">
        <v>0.15</v>
      </c>
    </row>
    <row r="2310" spans="1:8">
      <c r="B2310" s="130" t="s">
        <v>2458</v>
      </c>
      <c r="C2310" s="229" t="s">
        <v>3829</v>
      </c>
      <c r="D2310" s="130" t="s">
        <v>119</v>
      </c>
      <c r="E2310" s="130" t="s">
        <v>144</v>
      </c>
      <c r="F2310" s="230">
        <v>1</v>
      </c>
      <c r="G2310" s="494">
        <v>93.8</v>
      </c>
      <c r="H2310" s="494">
        <v>93.8</v>
      </c>
    </row>
    <row r="2311" spans="1:8">
      <c r="B2311" s="105"/>
      <c r="C2311" s="105"/>
      <c r="D2311" s="105"/>
      <c r="E2311" s="105"/>
      <c r="F2311" s="629" t="s">
        <v>604</v>
      </c>
      <c r="G2311" s="629"/>
      <c r="H2311" s="495">
        <v>93.95</v>
      </c>
    </row>
    <row r="2312" spans="1:8" ht="12.75" customHeight="1">
      <c r="B2312" s="628" t="s">
        <v>607</v>
      </c>
      <c r="C2312" s="628"/>
      <c r="D2312" s="103" t="s">
        <v>579</v>
      </c>
      <c r="E2312" s="103" t="s">
        <v>580</v>
      </c>
      <c r="F2312" s="103" t="s">
        <v>581</v>
      </c>
      <c r="G2312" s="103" t="s">
        <v>582</v>
      </c>
      <c r="H2312" s="103" t="s">
        <v>583</v>
      </c>
    </row>
    <row r="2313" spans="1:8">
      <c r="B2313" s="130" t="s">
        <v>1296</v>
      </c>
      <c r="C2313" s="229" t="s">
        <v>611</v>
      </c>
      <c r="D2313" s="130" t="s">
        <v>119</v>
      </c>
      <c r="E2313" s="130" t="s">
        <v>121</v>
      </c>
      <c r="F2313" s="230">
        <v>0.22120000000000001</v>
      </c>
      <c r="G2313" s="494">
        <v>24.02</v>
      </c>
      <c r="H2313" s="494">
        <v>5.31</v>
      </c>
    </row>
    <row r="2314" spans="1:8">
      <c r="B2314" s="130" t="s">
        <v>1297</v>
      </c>
      <c r="C2314" s="229" t="s">
        <v>612</v>
      </c>
      <c r="D2314" s="130" t="s">
        <v>119</v>
      </c>
      <c r="E2314" s="130" t="s">
        <v>121</v>
      </c>
      <c r="F2314" s="230">
        <v>0.22120000000000001</v>
      </c>
      <c r="G2314" s="494">
        <v>30.62</v>
      </c>
      <c r="H2314" s="494">
        <v>6.77</v>
      </c>
    </row>
    <row r="2315" spans="1:8" ht="12.75" customHeight="1">
      <c r="B2315" s="105"/>
      <c r="C2315" s="105"/>
      <c r="D2315" s="105"/>
      <c r="E2315" s="105"/>
      <c r="F2315" s="629" t="s">
        <v>610</v>
      </c>
      <c r="G2315" s="629"/>
      <c r="H2315" s="495">
        <v>12.08</v>
      </c>
    </row>
    <row r="2316" spans="1:8" ht="12.75" customHeight="1">
      <c r="B2316" s="105"/>
      <c r="C2316" s="105"/>
      <c r="D2316" s="105"/>
      <c r="E2316" s="105"/>
      <c r="F2316" s="630" t="s">
        <v>464</v>
      </c>
      <c r="G2316" s="630"/>
      <c r="H2316" s="102">
        <v>106.03</v>
      </c>
    </row>
    <row r="2317" spans="1:8">
      <c r="B2317" s="105"/>
      <c r="C2317" s="105"/>
      <c r="D2317" s="105"/>
      <c r="E2317" s="105"/>
      <c r="F2317" s="634"/>
      <c r="G2317" s="634"/>
      <c r="H2317" s="634"/>
    </row>
    <row r="2318" spans="1:8" s="220" customFormat="1" ht="27" customHeight="1">
      <c r="A2318" s="178" t="str">
        <f>'3 - PLAN. ORÇAMENTÁRIA'!A424</f>
        <v>5.1.4.2</v>
      </c>
      <c r="B2318" s="178">
        <f>VLOOKUP(A2318,'3 - PLAN. ORÇAMENTÁRIA'!$A$16:$B$721,2,FALSE)</f>
        <v>94489</v>
      </c>
      <c r="C2318" s="631" t="str">
        <f>VLOOKUP(A2318,'3 - PLAN. ORÇAMENTÁRIA'!$A$16:$C$721,3,FALSE)</f>
        <v>REGISTRO DE ESFERA, PVC, SOLDÁVEL, COM VOLANTE, DN 25 MM - FORNECIMENTO E INSTALAÇÃO. AF_08/2021</v>
      </c>
      <c r="D2318" s="632"/>
      <c r="E2318" s="632"/>
      <c r="F2318" s="632"/>
      <c r="G2318" s="633"/>
      <c r="H2318" s="493" t="str">
        <f>VLOOKUP(A2318,'3 - PLAN. ORÇAMENTÁRIA'!$A$17:$E$721,5,FALSE)</f>
        <v>UN</v>
      </c>
    </row>
    <row r="2319" spans="1:8">
      <c r="B2319" s="628" t="s">
        <v>593</v>
      </c>
      <c r="C2319" s="628"/>
      <c r="D2319" s="103" t="s">
        <v>579</v>
      </c>
      <c r="E2319" s="103" t="s">
        <v>580</v>
      </c>
      <c r="F2319" s="103" t="s">
        <v>581</v>
      </c>
      <c r="G2319" s="103" t="s">
        <v>582</v>
      </c>
      <c r="H2319" s="103" t="s">
        <v>583</v>
      </c>
    </row>
    <row r="2320" spans="1:8">
      <c r="B2320" s="130" t="s">
        <v>1685</v>
      </c>
      <c r="C2320" s="229" t="s">
        <v>1686</v>
      </c>
      <c r="D2320" s="130" t="s">
        <v>119</v>
      </c>
      <c r="E2320" s="130" t="s">
        <v>144</v>
      </c>
      <c r="F2320" s="230">
        <v>0.04</v>
      </c>
      <c r="G2320" s="494">
        <v>23.78</v>
      </c>
      <c r="H2320" s="494">
        <v>0.95</v>
      </c>
    </row>
    <row r="2321" spans="1:8">
      <c r="B2321" s="130" t="s">
        <v>673</v>
      </c>
      <c r="C2321" s="229" t="s">
        <v>3789</v>
      </c>
      <c r="D2321" s="130" t="s">
        <v>119</v>
      </c>
      <c r="E2321" s="130" t="s">
        <v>144</v>
      </c>
      <c r="F2321" s="230">
        <v>8.0000000000000002E-3</v>
      </c>
      <c r="G2321" s="494">
        <v>2.57</v>
      </c>
      <c r="H2321" s="494">
        <v>0.02</v>
      </c>
    </row>
    <row r="2322" spans="1:8">
      <c r="B2322" s="130" t="s">
        <v>2459</v>
      </c>
      <c r="C2322" s="229" t="s">
        <v>2460</v>
      </c>
      <c r="D2322" s="130" t="s">
        <v>119</v>
      </c>
      <c r="E2322" s="130" t="s">
        <v>144</v>
      </c>
      <c r="F2322" s="230">
        <v>1</v>
      </c>
      <c r="G2322" s="494">
        <v>25.7</v>
      </c>
      <c r="H2322" s="494">
        <v>25.7</v>
      </c>
    </row>
    <row r="2323" spans="1:8">
      <c r="B2323" s="130" t="s">
        <v>1542</v>
      </c>
      <c r="C2323" s="229" t="s">
        <v>1543</v>
      </c>
      <c r="D2323" s="130" t="s">
        <v>119</v>
      </c>
      <c r="E2323" s="130" t="s">
        <v>144</v>
      </c>
      <c r="F2323" s="230">
        <v>9.4999999999999998E-3</v>
      </c>
      <c r="G2323" s="494">
        <v>82.55</v>
      </c>
      <c r="H2323" s="494">
        <v>0.78</v>
      </c>
    </row>
    <row r="2324" spans="1:8">
      <c r="B2324" s="105"/>
      <c r="C2324" s="105"/>
      <c r="D2324" s="105"/>
      <c r="E2324" s="105"/>
      <c r="F2324" s="629" t="s">
        <v>604</v>
      </c>
      <c r="G2324" s="629"/>
      <c r="H2324" s="495">
        <v>27.45</v>
      </c>
    </row>
    <row r="2325" spans="1:8" ht="12.75" customHeight="1">
      <c r="B2325" s="628" t="s">
        <v>607</v>
      </c>
      <c r="C2325" s="628"/>
      <c r="D2325" s="103" t="s">
        <v>579</v>
      </c>
      <c r="E2325" s="103" t="s">
        <v>580</v>
      </c>
      <c r="F2325" s="103" t="s">
        <v>581</v>
      </c>
      <c r="G2325" s="103" t="s">
        <v>582</v>
      </c>
      <c r="H2325" s="103" t="s">
        <v>583</v>
      </c>
    </row>
    <row r="2326" spans="1:8">
      <c r="B2326" s="130" t="s">
        <v>1296</v>
      </c>
      <c r="C2326" s="229" t="s">
        <v>611</v>
      </c>
      <c r="D2326" s="130" t="s">
        <v>119</v>
      </c>
      <c r="E2326" s="130" t="s">
        <v>121</v>
      </c>
      <c r="F2326" s="230">
        <v>7.9500000000000001E-2</v>
      </c>
      <c r="G2326" s="494">
        <v>24.02</v>
      </c>
      <c r="H2326" s="494">
        <v>1.91</v>
      </c>
    </row>
    <row r="2327" spans="1:8">
      <c r="B2327" s="130" t="s">
        <v>1297</v>
      </c>
      <c r="C2327" s="229" t="s">
        <v>612</v>
      </c>
      <c r="D2327" s="130" t="s">
        <v>119</v>
      </c>
      <c r="E2327" s="130" t="s">
        <v>121</v>
      </c>
      <c r="F2327" s="230">
        <v>7.9500000000000001E-2</v>
      </c>
      <c r="G2327" s="494">
        <v>30.62</v>
      </c>
      <c r="H2327" s="494">
        <v>2.4300000000000002</v>
      </c>
    </row>
    <row r="2328" spans="1:8" ht="12.75" customHeight="1">
      <c r="B2328" s="105"/>
      <c r="C2328" s="105"/>
      <c r="D2328" s="105"/>
      <c r="E2328" s="105"/>
      <c r="F2328" s="629" t="s">
        <v>610</v>
      </c>
      <c r="G2328" s="629"/>
      <c r="H2328" s="495">
        <v>4.34</v>
      </c>
    </row>
    <row r="2329" spans="1:8" ht="12.75" customHeight="1">
      <c r="B2329" s="105"/>
      <c r="C2329" s="105"/>
      <c r="D2329" s="105"/>
      <c r="E2329" s="105"/>
      <c r="F2329" s="630" t="s">
        <v>464</v>
      </c>
      <c r="G2329" s="630"/>
      <c r="H2329" s="102">
        <v>31.78</v>
      </c>
    </row>
    <row r="2330" spans="1:8">
      <c r="B2330" s="105"/>
      <c r="C2330" s="105"/>
      <c r="D2330" s="105"/>
      <c r="E2330" s="105"/>
      <c r="F2330" s="634"/>
      <c r="G2330" s="634"/>
      <c r="H2330" s="634"/>
    </row>
    <row r="2331" spans="1:8" s="220" customFormat="1" ht="27" customHeight="1">
      <c r="A2331" s="178" t="str">
        <f>'3 - PLAN. ORÇAMENTÁRIA'!A425</f>
        <v>5.1.4.3</v>
      </c>
      <c r="B2331" s="178">
        <f>VLOOKUP(A2331,'3 - PLAN. ORÇAMENTÁRIA'!$A$16:$B$721,2,FALSE)</f>
        <v>94490</v>
      </c>
      <c r="C2331" s="631" t="str">
        <f>VLOOKUP(A2331,'3 - PLAN. ORÇAMENTÁRIA'!$A$16:$C$721,3,FALSE)</f>
        <v>REGISTRO DE ESFERA, PVC, SOLDÁVEL, COM VOLANTE, DN 32 MM - FORNECIMENTO E INSTALAÇÃO. AF_08/2021</v>
      </c>
      <c r="D2331" s="632"/>
      <c r="E2331" s="632"/>
      <c r="F2331" s="632"/>
      <c r="G2331" s="633"/>
      <c r="H2331" s="493" t="str">
        <f>VLOOKUP(A2331,'3 - PLAN. ORÇAMENTÁRIA'!$A$17:$E$721,5,FALSE)</f>
        <v>UN</v>
      </c>
    </row>
    <row r="2332" spans="1:8">
      <c r="B2332" s="628" t="s">
        <v>593</v>
      </c>
      <c r="C2332" s="628"/>
      <c r="D2332" s="103" t="s">
        <v>579</v>
      </c>
      <c r="E2332" s="103" t="s">
        <v>580</v>
      </c>
      <c r="F2332" s="103" t="s">
        <v>581</v>
      </c>
      <c r="G2332" s="103" t="s">
        <v>582</v>
      </c>
      <c r="H2332" s="103" t="s">
        <v>583</v>
      </c>
    </row>
    <row r="2333" spans="1:8">
      <c r="B2333" s="130" t="s">
        <v>1685</v>
      </c>
      <c r="C2333" s="229" t="s">
        <v>1686</v>
      </c>
      <c r="D2333" s="130" t="s">
        <v>119</v>
      </c>
      <c r="E2333" s="130" t="s">
        <v>144</v>
      </c>
      <c r="F2333" s="230">
        <v>0.04</v>
      </c>
      <c r="G2333" s="494">
        <v>23.78</v>
      </c>
      <c r="H2333" s="494">
        <v>0.95</v>
      </c>
    </row>
    <row r="2334" spans="1:8">
      <c r="B2334" s="130" t="s">
        <v>673</v>
      </c>
      <c r="C2334" s="229" t="s">
        <v>3789</v>
      </c>
      <c r="D2334" s="130" t="s">
        <v>119</v>
      </c>
      <c r="E2334" s="130" t="s">
        <v>144</v>
      </c>
      <c r="F2334" s="230">
        <v>8.0000000000000002E-3</v>
      </c>
      <c r="G2334" s="494">
        <v>2.57</v>
      </c>
      <c r="H2334" s="494">
        <v>0.02</v>
      </c>
    </row>
    <row r="2335" spans="1:8">
      <c r="B2335" s="130" t="s">
        <v>1687</v>
      </c>
      <c r="C2335" s="229" t="s">
        <v>1688</v>
      </c>
      <c r="D2335" s="130" t="s">
        <v>119</v>
      </c>
      <c r="E2335" s="130" t="s">
        <v>144</v>
      </c>
      <c r="F2335" s="230">
        <v>1</v>
      </c>
      <c r="G2335" s="494">
        <v>40.799999999999997</v>
      </c>
      <c r="H2335" s="494">
        <v>40.799999999999997</v>
      </c>
    </row>
    <row r="2336" spans="1:8">
      <c r="B2336" s="130" t="s">
        <v>1542</v>
      </c>
      <c r="C2336" s="229" t="s">
        <v>1543</v>
      </c>
      <c r="D2336" s="130" t="s">
        <v>119</v>
      </c>
      <c r="E2336" s="130" t="s">
        <v>144</v>
      </c>
      <c r="F2336" s="230">
        <v>9.4999999999999998E-3</v>
      </c>
      <c r="G2336" s="494">
        <v>82.55</v>
      </c>
      <c r="H2336" s="494">
        <v>0.78</v>
      </c>
    </row>
    <row r="2337" spans="1:8">
      <c r="B2337" s="105"/>
      <c r="C2337" s="105"/>
      <c r="D2337" s="105"/>
      <c r="E2337" s="105"/>
      <c r="F2337" s="629" t="s">
        <v>604</v>
      </c>
      <c r="G2337" s="629"/>
      <c r="H2337" s="495">
        <v>42.55</v>
      </c>
    </row>
    <row r="2338" spans="1:8" ht="12.75" customHeight="1">
      <c r="B2338" s="628" t="s">
        <v>607</v>
      </c>
      <c r="C2338" s="628"/>
      <c r="D2338" s="103" t="s">
        <v>579</v>
      </c>
      <c r="E2338" s="103" t="s">
        <v>580</v>
      </c>
      <c r="F2338" s="103" t="s">
        <v>581</v>
      </c>
      <c r="G2338" s="103" t="s">
        <v>582</v>
      </c>
      <c r="H2338" s="103" t="s">
        <v>583</v>
      </c>
    </row>
    <row r="2339" spans="1:8">
      <c r="B2339" s="130" t="s">
        <v>1296</v>
      </c>
      <c r="C2339" s="229" t="s">
        <v>611</v>
      </c>
      <c r="D2339" s="130" t="s">
        <v>119</v>
      </c>
      <c r="E2339" s="130" t="s">
        <v>121</v>
      </c>
      <c r="F2339" s="230">
        <v>7.9500000000000001E-2</v>
      </c>
      <c r="G2339" s="494">
        <v>24.02</v>
      </c>
      <c r="H2339" s="494">
        <v>1.91</v>
      </c>
    </row>
    <row r="2340" spans="1:8">
      <c r="B2340" s="130" t="s">
        <v>1297</v>
      </c>
      <c r="C2340" s="229" t="s">
        <v>612</v>
      </c>
      <c r="D2340" s="130" t="s">
        <v>119</v>
      </c>
      <c r="E2340" s="130" t="s">
        <v>121</v>
      </c>
      <c r="F2340" s="230">
        <v>7.9500000000000001E-2</v>
      </c>
      <c r="G2340" s="494">
        <v>30.62</v>
      </c>
      <c r="H2340" s="494">
        <v>2.4300000000000002</v>
      </c>
    </row>
    <row r="2341" spans="1:8" ht="12.75" customHeight="1">
      <c r="B2341" s="105"/>
      <c r="C2341" s="105"/>
      <c r="D2341" s="105"/>
      <c r="E2341" s="105"/>
      <c r="F2341" s="629" t="s">
        <v>610</v>
      </c>
      <c r="G2341" s="629"/>
      <c r="H2341" s="495">
        <v>4.34</v>
      </c>
    </row>
    <row r="2342" spans="1:8" ht="12.75" customHeight="1">
      <c r="B2342" s="105"/>
      <c r="C2342" s="105"/>
      <c r="D2342" s="105"/>
      <c r="E2342" s="105"/>
      <c r="F2342" s="630" t="s">
        <v>464</v>
      </c>
      <c r="G2342" s="630"/>
      <c r="H2342" s="102">
        <v>46.88</v>
      </c>
    </row>
    <row r="2343" spans="1:8">
      <c r="B2343" s="105"/>
      <c r="C2343" s="105"/>
      <c r="D2343" s="105"/>
      <c r="E2343" s="105"/>
      <c r="F2343" s="634"/>
      <c r="G2343" s="634"/>
      <c r="H2343" s="634"/>
    </row>
    <row r="2344" spans="1:8" s="220" customFormat="1" ht="27" customHeight="1">
      <c r="A2344" s="178" t="str">
        <f>'3 - PLAN. ORÇAMENTÁRIA'!A426</f>
        <v>5.1.4.4</v>
      </c>
      <c r="B2344" s="178">
        <f>VLOOKUP(A2344,'3 - PLAN. ORÇAMENTÁRIA'!$A$16:$B$721,2,FALSE)</f>
        <v>94492</v>
      </c>
      <c r="C2344" s="631" t="str">
        <f>VLOOKUP(A2344,'3 - PLAN. ORÇAMENTÁRIA'!$A$16:$C$721,3,FALSE)</f>
        <v>REGISTRO DE ESFERA, PVC, SOLDÁVEL, COM VOLANTE, DN 50 MM - FORNECIMENTO E INSTALAÇÃO. AF_08/2021</v>
      </c>
      <c r="D2344" s="632"/>
      <c r="E2344" s="632"/>
      <c r="F2344" s="632"/>
      <c r="G2344" s="633"/>
      <c r="H2344" s="493" t="str">
        <f>VLOOKUP(A2344,'3 - PLAN. ORÇAMENTÁRIA'!$A$17:$E$721,5,FALSE)</f>
        <v>UN</v>
      </c>
    </row>
    <row r="2345" spans="1:8">
      <c r="B2345" s="628" t="s">
        <v>593</v>
      </c>
      <c r="C2345" s="628"/>
      <c r="D2345" s="103" t="s">
        <v>579</v>
      </c>
      <c r="E2345" s="103" t="s">
        <v>580</v>
      </c>
      <c r="F2345" s="103" t="s">
        <v>581</v>
      </c>
      <c r="G2345" s="103" t="s">
        <v>582</v>
      </c>
      <c r="H2345" s="103" t="s">
        <v>583</v>
      </c>
    </row>
    <row r="2346" spans="1:8">
      <c r="B2346" s="130" t="s">
        <v>1685</v>
      </c>
      <c r="C2346" s="229" t="s">
        <v>1686</v>
      </c>
      <c r="D2346" s="130" t="s">
        <v>119</v>
      </c>
      <c r="E2346" s="130" t="s">
        <v>144</v>
      </c>
      <c r="F2346" s="230">
        <v>7.1400000000000005E-2</v>
      </c>
      <c r="G2346" s="494">
        <v>23.78</v>
      </c>
      <c r="H2346" s="494">
        <v>1.7</v>
      </c>
    </row>
    <row r="2347" spans="1:8">
      <c r="B2347" s="130" t="s">
        <v>673</v>
      </c>
      <c r="C2347" s="229" t="s">
        <v>3789</v>
      </c>
      <c r="D2347" s="130" t="s">
        <v>119</v>
      </c>
      <c r="E2347" s="130" t="s">
        <v>144</v>
      </c>
      <c r="F2347" s="230">
        <v>1.14E-2</v>
      </c>
      <c r="G2347" s="494">
        <v>2.57</v>
      </c>
      <c r="H2347" s="494">
        <v>0.03</v>
      </c>
    </row>
    <row r="2348" spans="1:8">
      <c r="B2348" s="130" t="s">
        <v>1689</v>
      </c>
      <c r="C2348" s="229" t="s">
        <v>1690</v>
      </c>
      <c r="D2348" s="130" t="s">
        <v>119</v>
      </c>
      <c r="E2348" s="130" t="s">
        <v>144</v>
      </c>
      <c r="F2348" s="230">
        <v>1</v>
      </c>
      <c r="G2348" s="494">
        <v>56.36</v>
      </c>
      <c r="H2348" s="494">
        <v>56.36</v>
      </c>
    </row>
    <row r="2349" spans="1:8">
      <c r="B2349" s="130" t="s">
        <v>1542</v>
      </c>
      <c r="C2349" s="229" t="s">
        <v>1543</v>
      </c>
      <c r="D2349" s="130" t="s">
        <v>119</v>
      </c>
      <c r="E2349" s="130" t="s">
        <v>144</v>
      </c>
      <c r="F2349" s="230">
        <v>1.7999999999999999E-2</v>
      </c>
      <c r="G2349" s="494">
        <v>82.55</v>
      </c>
      <c r="H2349" s="494">
        <v>1.49</v>
      </c>
    </row>
    <row r="2350" spans="1:8">
      <c r="B2350" s="105"/>
      <c r="C2350" s="105"/>
      <c r="D2350" s="105"/>
      <c r="E2350" s="105"/>
      <c r="F2350" s="629" t="s">
        <v>604</v>
      </c>
      <c r="G2350" s="629"/>
      <c r="H2350" s="495">
        <v>59.58</v>
      </c>
    </row>
    <row r="2351" spans="1:8" ht="12.75" customHeight="1">
      <c r="B2351" s="628" t="s">
        <v>607</v>
      </c>
      <c r="C2351" s="628"/>
      <c r="D2351" s="103" t="s">
        <v>579</v>
      </c>
      <c r="E2351" s="103" t="s">
        <v>580</v>
      </c>
      <c r="F2351" s="103" t="s">
        <v>581</v>
      </c>
      <c r="G2351" s="103" t="s">
        <v>582</v>
      </c>
      <c r="H2351" s="103" t="s">
        <v>583</v>
      </c>
    </row>
    <row r="2352" spans="1:8">
      <c r="B2352" s="130" t="s">
        <v>1296</v>
      </c>
      <c r="C2352" s="229" t="s">
        <v>611</v>
      </c>
      <c r="D2352" s="130" t="s">
        <v>119</v>
      </c>
      <c r="E2352" s="130" t="s">
        <v>121</v>
      </c>
      <c r="F2352" s="230">
        <v>0.1133</v>
      </c>
      <c r="G2352" s="494">
        <v>24.02</v>
      </c>
      <c r="H2352" s="494">
        <v>2.72</v>
      </c>
    </row>
    <row r="2353" spans="1:8">
      <c r="B2353" s="130" t="s">
        <v>1297</v>
      </c>
      <c r="C2353" s="229" t="s">
        <v>612</v>
      </c>
      <c r="D2353" s="130" t="s">
        <v>119</v>
      </c>
      <c r="E2353" s="130" t="s">
        <v>121</v>
      </c>
      <c r="F2353" s="230">
        <v>0.1133</v>
      </c>
      <c r="G2353" s="494">
        <v>30.62</v>
      </c>
      <c r="H2353" s="494">
        <v>3.47</v>
      </c>
    </row>
    <row r="2354" spans="1:8" ht="12.75" customHeight="1">
      <c r="B2354" s="105"/>
      <c r="C2354" s="105"/>
      <c r="D2354" s="105"/>
      <c r="E2354" s="105"/>
      <c r="F2354" s="629" t="s">
        <v>610</v>
      </c>
      <c r="G2354" s="629"/>
      <c r="H2354" s="495">
        <v>6.19</v>
      </c>
    </row>
    <row r="2355" spans="1:8" ht="12.75" customHeight="1">
      <c r="B2355" s="105"/>
      <c r="C2355" s="105"/>
      <c r="D2355" s="105"/>
      <c r="E2355" s="105"/>
      <c r="F2355" s="630" t="s">
        <v>464</v>
      </c>
      <c r="G2355" s="630"/>
      <c r="H2355" s="102">
        <v>65.73</v>
      </c>
    </row>
    <row r="2356" spans="1:8">
      <c r="B2356" s="105"/>
      <c r="C2356" s="105"/>
      <c r="D2356" s="105"/>
      <c r="E2356" s="105"/>
      <c r="F2356" s="634"/>
      <c r="G2356" s="634"/>
      <c r="H2356" s="634"/>
    </row>
    <row r="2357" spans="1:8" s="220" customFormat="1" ht="27" customHeight="1">
      <c r="A2357" s="178" t="str">
        <f>'3 - PLAN. ORÇAMENTÁRIA'!A427</f>
        <v>5.1.4.5</v>
      </c>
      <c r="B2357" s="178">
        <f>VLOOKUP(A2357,'3 - PLAN. ORÇAMENTÁRIA'!$A$16:$B$721,2,FALSE)</f>
        <v>94792</v>
      </c>
      <c r="C2357" s="631" t="str">
        <f>VLOOKUP(A2357,'3 - PLAN. ORÇAMENTÁRIA'!$A$16:$C$721,3,FALSE)</f>
        <v>REGISTRO DE GAVETA BRUTO, LATÃO, ROSCÁVEL, 1", COM ACABAMENTO E CANOPLA CROMADOS - FORNECIMENTO E INSTALAÇÃO. AF_08/2021</v>
      </c>
      <c r="D2357" s="632"/>
      <c r="E2357" s="632"/>
      <c r="F2357" s="632"/>
      <c r="G2357" s="633"/>
      <c r="H2357" s="493" t="str">
        <f>VLOOKUP(A2357,'3 - PLAN. ORÇAMENTÁRIA'!$A$17:$E$721,5,FALSE)</f>
        <v>UN</v>
      </c>
    </row>
    <row r="2358" spans="1:8">
      <c r="B2358" s="628" t="s">
        <v>593</v>
      </c>
      <c r="C2358" s="628"/>
      <c r="D2358" s="103" t="s">
        <v>579</v>
      </c>
      <c r="E2358" s="103" t="s">
        <v>580</v>
      </c>
      <c r="F2358" s="103" t="s">
        <v>581</v>
      </c>
      <c r="G2358" s="103" t="s">
        <v>582</v>
      </c>
      <c r="H2358" s="103" t="s">
        <v>583</v>
      </c>
    </row>
    <row r="2359" spans="1:8">
      <c r="B2359" s="130" t="s">
        <v>1286</v>
      </c>
      <c r="C2359" s="229" t="s">
        <v>3793</v>
      </c>
      <c r="D2359" s="130" t="s">
        <v>119</v>
      </c>
      <c r="E2359" s="130" t="s">
        <v>144</v>
      </c>
      <c r="F2359" s="230">
        <v>1.32E-2</v>
      </c>
      <c r="G2359" s="494">
        <v>14.38</v>
      </c>
      <c r="H2359" s="494">
        <v>0.19</v>
      </c>
    </row>
    <row r="2360" spans="1:8">
      <c r="B2360" s="130" t="s">
        <v>2854</v>
      </c>
      <c r="C2360" s="229" t="s">
        <v>3830</v>
      </c>
      <c r="D2360" s="130" t="s">
        <v>119</v>
      </c>
      <c r="E2360" s="130" t="s">
        <v>144</v>
      </c>
      <c r="F2360" s="230">
        <v>1</v>
      </c>
      <c r="G2360" s="494">
        <v>114.82</v>
      </c>
      <c r="H2360" s="494">
        <v>114.82</v>
      </c>
    </row>
    <row r="2361" spans="1:8">
      <c r="B2361" s="105"/>
      <c r="C2361" s="105"/>
      <c r="D2361" s="105"/>
      <c r="E2361" s="105"/>
      <c r="F2361" s="629" t="s">
        <v>604</v>
      </c>
      <c r="G2361" s="629"/>
      <c r="H2361" s="495">
        <v>115.01</v>
      </c>
    </row>
    <row r="2362" spans="1:8" ht="12.75" customHeight="1">
      <c r="B2362" s="628" t="s">
        <v>607</v>
      </c>
      <c r="C2362" s="628"/>
      <c r="D2362" s="103" t="s">
        <v>579</v>
      </c>
      <c r="E2362" s="103" t="s">
        <v>580</v>
      </c>
      <c r="F2362" s="103" t="s">
        <v>581</v>
      </c>
      <c r="G2362" s="103" t="s">
        <v>582</v>
      </c>
      <c r="H2362" s="103" t="s">
        <v>583</v>
      </c>
    </row>
    <row r="2363" spans="1:8">
      <c r="B2363" s="130" t="s">
        <v>1296</v>
      </c>
      <c r="C2363" s="229" t="s">
        <v>611</v>
      </c>
      <c r="D2363" s="130" t="s">
        <v>119</v>
      </c>
      <c r="E2363" s="130" t="s">
        <v>121</v>
      </c>
      <c r="F2363" s="230">
        <v>0.25950000000000001</v>
      </c>
      <c r="G2363" s="494">
        <v>24.02</v>
      </c>
      <c r="H2363" s="494">
        <v>6.23</v>
      </c>
    </row>
    <row r="2364" spans="1:8">
      <c r="B2364" s="130" t="s">
        <v>1297</v>
      </c>
      <c r="C2364" s="229" t="s">
        <v>612</v>
      </c>
      <c r="D2364" s="130" t="s">
        <v>119</v>
      </c>
      <c r="E2364" s="130" t="s">
        <v>121</v>
      </c>
      <c r="F2364" s="230">
        <v>0.25950000000000001</v>
      </c>
      <c r="G2364" s="494">
        <v>30.62</v>
      </c>
      <c r="H2364" s="494">
        <v>7.95</v>
      </c>
    </row>
    <row r="2365" spans="1:8" ht="12.75" customHeight="1">
      <c r="B2365" s="105"/>
      <c r="C2365" s="105"/>
      <c r="D2365" s="105"/>
      <c r="E2365" s="105"/>
      <c r="F2365" s="629" t="s">
        <v>610</v>
      </c>
      <c r="G2365" s="629"/>
      <c r="H2365" s="495">
        <v>14.18</v>
      </c>
    </row>
    <row r="2366" spans="1:8" ht="12.75" customHeight="1">
      <c r="B2366" s="105"/>
      <c r="C2366" s="105"/>
      <c r="D2366" s="105"/>
      <c r="E2366" s="105"/>
      <c r="F2366" s="630" t="s">
        <v>464</v>
      </c>
      <c r="G2366" s="630"/>
      <c r="H2366" s="102">
        <v>129.16999999999999</v>
      </c>
    </row>
    <row r="2367" spans="1:8" s="318" customFormat="1">
      <c r="B2367" s="105"/>
      <c r="C2367" s="105"/>
      <c r="D2367" s="105"/>
      <c r="E2367" s="105"/>
      <c r="F2367" s="634"/>
      <c r="G2367" s="634"/>
      <c r="H2367" s="634"/>
    </row>
    <row r="2368" spans="1:8" s="220" customFormat="1" ht="27" customHeight="1">
      <c r="A2368" s="178" t="str">
        <f>'3 - PLAN. ORÇAMENTÁRIA'!A428</f>
        <v>5.1.4.6</v>
      </c>
      <c r="B2368" s="178">
        <f>VLOOKUP(A2368,'3 - PLAN. ORÇAMENTÁRIA'!$A$16:$B$721,2,FALSE)</f>
        <v>94794</v>
      </c>
      <c r="C2368" s="631" t="str">
        <f>VLOOKUP(A2368,'3 - PLAN. ORÇAMENTÁRIA'!$A$16:$C$721,3,FALSE)</f>
        <v>REGISTRO DE GAVETA BRUTO, LATÃO, ROSCÁVEL, 1 1/2", COM ACABAMENTO E CANOPLA CROMADOS - FORNECIMENTO E INSTALAÇÃO. AF_08/2021</v>
      </c>
      <c r="D2368" s="632"/>
      <c r="E2368" s="632"/>
      <c r="F2368" s="632"/>
      <c r="G2368" s="633"/>
      <c r="H2368" s="493" t="str">
        <f>VLOOKUP(A2368,'3 - PLAN. ORÇAMENTÁRIA'!$A$17:$E$721,5,FALSE)</f>
        <v>UN</v>
      </c>
    </row>
    <row r="2369" spans="1:8" s="318" customFormat="1">
      <c r="A2369" s="106"/>
      <c r="B2369" s="628" t="s">
        <v>593</v>
      </c>
      <c r="C2369" s="628"/>
      <c r="D2369" s="103" t="s">
        <v>579</v>
      </c>
      <c r="E2369" s="103" t="s">
        <v>580</v>
      </c>
      <c r="F2369" s="103" t="s">
        <v>581</v>
      </c>
      <c r="G2369" s="103" t="s">
        <v>582</v>
      </c>
      <c r="H2369" s="103" t="s">
        <v>583</v>
      </c>
    </row>
    <row r="2370" spans="1:8" s="318" customFormat="1">
      <c r="A2370" s="106"/>
      <c r="B2370" s="130" t="s">
        <v>1286</v>
      </c>
      <c r="C2370" s="229" t="s">
        <v>3793</v>
      </c>
      <c r="D2370" s="130" t="s">
        <v>119</v>
      </c>
      <c r="E2370" s="130" t="s">
        <v>144</v>
      </c>
      <c r="F2370" s="230">
        <v>1.9199999999999998E-2</v>
      </c>
      <c r="G2370" s="494">
        <v>14.38</v>
      </c>
      <c r="H2370" s="494">
        <v>0.28000000000000003</v>
      </c>
    </row>
    <row r="2371" spans="1:8" s="318" customFormat="1">
      <c r="A2371" s="106"/>
      <c r="B2371" s="130" t="s">
        <v>3931</v>
      </c>
      <c r="C2371" s="229" t="s">
        <v>3932</v>
      </c>
      <c r="D2371" s="130" t="s">
        <v>119</v>
      </c>
      <c r="E2371" s="130" t="s">
        <v>144</v>
      </c>
      <c r="F2371" s="230">
        <v>1</v>
      </c>
      <c r="G2371" s="494">
        <v>166.98</v>
      </c>
      <c r="H2371" s="494">
        <v>166.98</v>
      </c>
    </row>
    <row r="2372" spans="1:8" s="318" customFormat="1">
      <c r="A2372" s="106"/>
      <c r="B2372" s="105"/>
      <c r="C2372" s="105"/>
      <c r="D2372" s="105"/>
      <c r="E2372" s="105"/>
      <c r="F2372" s="629" t="s">
        <v>604</v>
      </c>
      <c r="G2372" s="629"/>
      <c r="H2372" s="495">
        <v>167.26</v>
      </c>
    </row>
    <row r="2373" spans="1:8" s="318" customFormat="1" ht="12.75" customHeight="1">
      <c r="A2373" s="106"/>
      <c r="B2373" s="628" t="s">
        <v>607</v>
      </c>
      <c r="C2373" s="628"/>
      <c r="D2373" s="103" t="s">
        <v>579</v>
      </c>
      <c r="E2373" s="103" t="s">
        <v>580</v>
      </c>
      <c r="F2373" s="103" t="s">
        <v>581</v>
      </c>
      <c r="G2373" s="103" t="s">
        <v>582</v>
      </c>
      <c r="H2373" s="103" t="s">
        <v>583</v>
      </c>
    </row>
    <row r="2374" spans="1:8" s="318" customFormat="1">
      <c r="A2374" s="106"/>
      <c r="B2374" s="130" t="s">
        <v>1296</v>
      </c>
      <c r="C2374" s="229" t="s">
        <v>611</v>
      </c>
      <c r="D2374" s="130" t="s">
        <v>119</v>
      </c>
      <c r="E2374" s="130" t="s">
        <v>121</v>
      </c>
      <c r="F2374" s="230">
        <v>0.37430000000000002</v>
      </c>
      <c r="G2374" s="494">
        <v>24.02</v>
      </c>
      <c r="H2374" s="494">
        <v>8.99</v>
      </c>
    </row>
    <row r="2375" spans="1:8" s="318" customFormat="1">
      <c r="A2375" s="106"/>
      <c r="B2375" s="130" t="s">
        <v>1297</v>
      </c>
      <c r="C2375" s="229" t="s">
        <v>612</v>
      </c>
      <c r="D2375" s="130" t="s">
        <v>119</v>
      </c>
      <c r="E2375" s="130" t="s">
        <v>121</v>
      </c>
      <c r="F2375" s="230">
        <v>0.37430000000000002</v>
      </c>
      <c r="G2375" s="494">
        <v>30.62</v>
      </c>
      <c r="H2375" s="494">
        <v>11.46</v>
      </c>
    </row>
    <row r="2376" spans="1:8" s="318" customFormat="1" ht="12.75" customHeight="1">
      <c r="A2376" s="106"/>
      <c r="B2376" s="105"/>
      <c r="C2376" s="105"/>
      <c r="D2376" s="105"/>
      <c r="E2376" s="105"/>
      <c r="F2376" s="629" t="s">
        <v>610</v>
      </c>
      <c r="G2376" s="629"/>
      <c r="H2376" s="495">
        <v>20.45</v>
      </c>
    </row>
    <row r="2377" spans="1:8" s="318" customFormat="1" ht="12.75" customHeight="1">
      <c r="A2377" s="106"/>
      <c r="B2377" s="105"/>
      <c r="C2377" s="105"/>
      <c r="D2377" s="105"/>
      <c r="E2377" s="105"/>
      <c r="F2377" s="630" t="s">
        <v>464</v>
      </c>
      <c r="G2377" s="630"/>
      <c r="H2377" s="102">
        <v>187.7</v>
      </c>
    </row>
    <row r="2378" spans="1:8" s="318" customFormat="1">
      <c r="B2378" s="319"/>
      <c r="C2378" s="319"/>
      <c r="D2378" s="319"/>
      <c r="E2378" s="319"/>
      <c r="F2378" s="320"/>
      <c r="G2378" s="320"/>
      <c r="H2378" s="321"/>
    </row>
    <row r="2379" spans="1:8" s="220" customFormat="1" ht="27" customHeight="1">
      <c r="A2379" s="178" t="str">
        <f>'3 - PLAN. ORÇAMENTÁRIA'!A429</f>
        <v>5.1.4.7</v>
      </c>
      <c r="B2379" s="178">
        <f>VLOOKUP(A2379,'3 - PLAN. ORÇAMENTÁRIA'!$A$16:$B$721,2,FALSE)</f>
        <v>103014</v>
      </c>
      <c r="C2379" s="631" t="str">
        <f>VLOOKUP(A2379,'3 - PLAN. ORÇAMENTÁRIA'!$A$16:$C$721,3,FALSE)</f>
        <v>VÁLVULA DE RETENÇÃO, DE BRONZE, COM TELA, ROSCÁVEL, 2", PARA FUNDO DE POÇO OU SIMILARES - FORNECIMENTO E INSTALAÇÃO. AF_08/2021</v>
      </c>
      <c r="D2379" s="632"/>
      <c r="E2379" s="632"/>
      <c r="F2379" s="632"/>
      <c r="G2379" s="633"/>
      <c r="H2379" s="511" t="str">
        <f>VLOOKUP(A2379,'3 - PLAN. ORÇAMENTÁRIA'!$A$17:$E$721,5,FALSE)</f>
        <v>UN</v>
      </c>
    </row>
    <row r="2380" spans="1:8" s="318" customFormat="1">
      <c r="A2380" s="106"/>
      <c r="B2380" s="628" t="s">
        <v>593</v>
      </c>
      <c r="C2380" s="628"/>
      <c r="D2380" s="103" t="s">
        <v>579</v>
      </c>
      <c r="E2380" s="103" t="s">
        <v>580</v>
      </c>
      <c r="F2380" s="103" t="s">
        <v>581</v>
      </c>
      <c r="G2380" s="103" t="s">
        <v>582</v>
      </c>
      <c r="H2380" s="103" t="s">
        <v>583</v>
      </c>
    </row>
    <row r="2381" spans="1:8" s="318" customFormat="1">
      <c r="A2381" s="106"/>
      <c r="B2381" s="130" t="s">
        <v>1286</v>
      </c>
      <c r="C2381" s="229" t="s">
        <v>3793</v>
      </c>
      <c r="D2381" s="130" t="s">
        <v>119</v>
      </c>
      <c r="E2381" s="130" t="s">
        <v>144</v>
      </c>
      <c r="F2381" s="230">
        <v>1.2E-2</v>
      </c>
      <c r="G2381" s="513">
        <v>14.38</v>
      </c>
      <c r="H2381" s="513">
        <v>0.17</v>
      </c>
    </row>
    <row r="2382" spans="1:8" s="318" customFormat="1" ht="25.5">
      <c r="A2382" s="106"/>
      <c r="B2382" s="130">
        <v>10232</v>
      </c>
      <c r="C2382" s="229" t="s">
        <v>4108</v>
      </c>
      <c r="D2382" s="130" t="s">
        <v>119</v>
      </c>
      <c r="E2382" s="130" t="s">
        <v>144</v>
      </c>
      <c r="F2382" s="230">
        <v>1</v>
      </c>
      <c r="G2382" s="513" t="s">
        <v>4110</v>
      </c>
      <c r="H2382" s="513">
        <v>207.67</v>
      </c>
    </row>
    <row r="2383" spans="1:8" s="318" customFormat="1">
      <c r="A2383" s="106"/>
      <c r="B2383" s="105"/>
      <c r="C2383" s="105"/>
      <c r="D2383" s="105"/>
      <c r="E2383" s="105"/>
      <c r="F2383" s="629" t="s">
        <v>604</v>
      </c>
      <c r="G2383" s="629"/>
      <c r="H2383" s="514">
        <v>207.84</v>
      </c>
    </row>
    <row r="2384" spans="1:8" s="318" customFormat="1">
      <c r="A2384" s="106"/>
      <c r="B2384" s="628" t="s">
        <v>607</v>
      </c>
      <c r="C2384" s="628"/>
      <c r="D2384" s="103" t="s">
        <v>579</v>
      </c>
      <c r="E2384" s="103" t="s">
        <v>580</v>
      </c>
      <c r="F2384" s="103" t="s">
        <v>581</v>
      </c>
      <c r="G2384" s="103" t="s">
        <v>582</v>
      </c>
      <c r="H2384" s="103" t="s">
        <v>583</v>
      </c>
    </row>
    <row r="2385" spans="1:8" s="318" customFormat="1">
      <c r="A2385" s="106"/>
      <c r="B2385" s="130" t="s">
        <v>1296</v>
      </c>
      <c r="C2385" s="229" t="s">
        <v>611</v>
      </c>
      <c r="D2385" s="130" t="s">
        <v>119</v>
      </c>
      <c r="E2385" s="130" t="s">
        <v>121</v>
      </c>
      <c r="F2385" s="230">
        <v>0.1699</v>
      </c>
      <c r="G2385" s="513">
        <v>24.02</v>
      </c>
      <c r="H2385" s="513">
        <v>4.08</v>
      </c>
    </row>
    <row r="2386" spans="1:8" s="318" customFormat="1">
      <c r="A2386" s="106"/>
      <c r="B2386" s="130" t="s">
        <v>1297</v>
      </c>
      <c r="C2386" s="229" t="s">
        <v>612</v>
      </c>
      <c r="D2386" s="130" t="s">
        <v>119</v>
      </c>
      <c r="E2386" s="130" t="s">
        <v>121</v>
      </c>
      <c r="F2386" s="230">
        <v>0.1699</v>
      </c>
      <c r="G2386" s="513">
        <v>30.62</v>
      </c>
      <c r="H2386" s="513">
        <v>5.2</v>
      </c>
    </row>
    <row r="2387" spans="1:8" s="318" customFormat="1">
      <c r="A2387" s="106"/>
      <c r="B2387" s="105"/>
      <c r="C2387" s="105"/>
      <c r="D2387" s="105"/>
      <c r="E2387" s="105"/>
      <c r="F2387" s="629" t="s">
        <v>610</v>
      </c>
      <c r="G2387" s="629"/>
      <c r="H2387" s="514">
        <v>9.2799999999999994</v>
      </c>
    </row>
    <row r="2388" spans="1:8" s="318" customFormat="1">
      <c r="A2388" s="106"/>
      <c r="B2388" s="105"/>
      <c r="C2388" s="105"/>
      <c r="D2388" s="105"/>
      <c r="E2388" s="105"/>
      <c r="F2388" s="630" t="s">
        <v>464</v>
      </c>
      <c r="G2388" s="630"/>
      <c r="H2388" s="102">
        <v>217.12</v>
      </c>
    </row>
    <row r="2389" spans="1:8" s="318" customFormat="1">
      <c r="B2389" s="319"/>
      <c r="C2389" s="319"/>
      <c r="D2389" s="319"/>
      <c r="E2389" s="319"/>
      <c r="F2389" s="320"/>
      <c r="G2389" s="320"/>
      <c r="H2389" s="321"/>
    </row>
    <row r="2390" spans="1:8" s="220" customFormat="1" ht="27" customHeight="1">
      <c r="A2390" s="178" t="str">
        <f>'3 - PLAN. ORÇAMENTÁRIA'!A432</f>
        <v>5.2.1.1</v>
      </c>
      <c r="B2390" s="178">
        <f>VLOOKUP(A2390,'3 - PLAN. ORÇAMENTÁRIA'!$A$16:$B$721,2,FALSE)</f>
        <v>89644</v>
      </c>
      <c r="C2390" s="631" t="str">
        <f>VLOOKUP(A2390,'3 - PLAN. ORÇAMENTÁRIA'!$A$16:$C$721,3,FALSE)</f>
        <v>JOELHO DE TRANSIÇÃO, 90 GRAUS, CPVC, SOLDÁVEL, DN 22MM X 1/2" - FORNECIMENTO E INSTALAÇÃO. AF_06/2022</v>
      </c>
      <c r="D2390" s="632"/>
      <c r="E2390" s="632"/>
      <c r="F2390" s="632"/>
      <c r="G2390" s="633"/>
      <c r="H2390" s="433" t="str">
        <f>VLOOKUP(A2390,'3 - PLAN. ORÇAMENTÁRIA'!$A$17:$E$721,5,FALSE)</f>
        <v>UN</v>
      </c>
    </row>
    <row r="2391" spans="1:8" s="318" customFormat="1">
      <c r="A2391" s="106"/>
      <c r="B2391" s="628" t="s">
        <v>593</v>
      </c>
      <c r="C2391" s="628"/>
      <c r="D2391" s="103" t="s">
        <v>579</v>
      </c>
      <c r="E2391" s="103" t="s">
        <v>580</v>
      </c>
      <c r="F2391" s="103" t="s">
        <v>581</v>
      </c>
      <c r="G2391" s="103" t="s">
        <v>582</v>
      </c>
      <c r="H2391" s="103" t="s">
        <v>583</v>
      </c>
    </row>
    <row r="2392" spans="1:8" s="318" customFormat="1">
      <c r="A2392" s="106"/>
      <c r="B2392" s="130" t="s">
        <v>1280</v>
      </c>
      <c r="C2392" s="229" t="s">
        <v>1281</v>
      </c>
      <c r="D2392" s="130" t="s">
        <v>119</v>
      </c>
      <c r="E2392" s="130" t="s">
        <v>144</v>
      </c>
      <c r="F2392" s="230">
        <v>6.6699999999999995E-2</v>
      </c>
      <c r="G2392" s="494">
        <v>37.36</v>
      </c>
      <c r="H2392" s="494">
        <v>2.4900000000000002</v>
      </c>
    </row>
    <row r="2393" spans="1:8" s="318" customFormat="1">
      <c r="A2393" s="106"/>
      <c r="B2393" s="130" t="s">
        <v>1831</v>
      </c>
      <c r="C2393" s="229" t="s">
        <v>1832</v>
      </c>
      <c r="D2393" s="130" t="s">
        <v>119</v>
      </c>
      <c r="E2393" s="130" t="s">
        <v>144</v>
      </c>
      <c r="F2393" s="230">
        <v>1</v>
      </c>
      <c r="G2393" s="494">
        <v>15.48</v>
      </c>
      <c r="H2393" s="494">
        <v>15.48</v>
      </c>
    </row>
    <row r="2394" spans="1:8" s="318" customFormat="1">
      <c r="A2394" s="106"/>
      <c r="B2394" s="105"/>
      <c r="C2394" s="105"/>
      <c r="D2394" s="105"/>
      <c r="E2394" s="105"/>
      <c r="F2394" s="629" t="s">
        <v>604</v>
      </c>
      <c r="G2394" s="629"/>
      <c r="H2394" s="495">
        <v>17.97</v>
      </c>
    </row>
    <row r="2395" spans="1:8" s="318" customFormat="1" ht="12.75" customHeight="1">
      <c r="A2395" s="106"/>
      <c r="B2395" s="628" t="s">
        <v>607</v>
      </c>
      <c r="C2395" s="628"/>
      <c r="D2395" s="103" t="s">
        <v>579</v>
      </c>
      <c r="E2395" s="103" t="s">
        <v>580</v>
      </c>
      <c r="F2395" s="103" t="s">
        <v>581</v>
      </c>
      <c r="G2395" s="103" t="s">
        <v>582</v>
      </c>
      <c r="H2395" s="103" t="s">
        <v>583</v>
      </c>
    </row>
    <row r="2396" spans="1:8" s="318" customFormat="1">
      <c r="A2396" s="106"/>
      <c r="B2396" s="130" t="s">
        <v>1296</v>
      </c>
      <c r="C2396" s="229" t="s">
        <v>611</v>
      </c>
      <c r="D2396" s="130" t="s">
        <v>119</v>
      </c>
      <c r="E2396" s="130" t="s">
        <v>121</v>
      </c>
      <c r="F2396" s="230">
        <v>0.1249</v>
      </c>
      <c r="G2396" s="494">
        <v>24.02</v>
      </c>
      <c r="H2396" s="494">
        <v>3</v>
      </c>
    </row>
    <row r="2397" spans="1:8" s="318" customFormat="1">
      <c r="A2397" s="106"/>
      <c r="B2397" s="130" t="s">
        <v>1297</v>
      </c>
      <c r="C2397" s="229" t="s">
        <v>612</v>
      </c>
      <c r="D2397" s="130" t="s">
        <v>119</v>
      </c>
      <c r="E2397" s="130" t="s">
        <v>121</v>
      </c>
      <c r="F2397" s="230">
        <v>0.1249</v>
      </c>
      <c r="G2397" s="494">
        <v>30.62</v>
      </c>
      <c r="H2397" s="494">
        <v>3.82</v>
      </c>
    </row>
    <row r="2398" spans="1:8" s="318" customFormat="1" ht="12.75" customHeight="1">
      <c r="A2398" s="106"/>
      <c r="B2398" s="105"/>
      <c r="C2398" s="105"/>
      <c r="D2398" s="105"/>
      <c r="E2398" s="105"/>
      <c r="F2398" s="629" t="s">
        <v>610</v>
      </c>
      <c r="G2398" s="629"/>
      <c r="H2398" s="495">
        <v>6.82</v>
      </c>
    </row>
    <row r="2399" spans="1:8" s="318" customFormat="1" ht="12.75" customHeight="1">
      <c r="A2399" s="106"/>
      <c r="B2399" s="105"/>
      <c r="C2399" s="105"/>
      <c r="D2399" s="105"/>
      <c r="E2399" s="105"/>
      <c r="F2399" s="630" t="s">
        <v>464</v>
      </c>
      <c r="G2399" s="630"/>
      <c r="H2399" s="102">
        <v>24.79</v>
      </c>
    </row>
    <row r="2400" spans="1:8" s="318" customFormat="1">
      <c r="A2400" s="106"/>
      <c r="B2400" s="156"/>
      <c r="C2400" s="156"/>
      <c r="D2400" s="156"/>
      <c r="E2400" s="156"/>
      <c r="F2400" s="635"/>
      <c r="G2400" s="635"/>
      <c r="H2400" s="635"/>
    </row>
    <row r="2401" spans="1:8" s="220" customFormat="1" ht="27" customHeight="1">
      <c r="A2401" s="178" t="str">
        <f>'3 - PLAN. ORÇAMENTÁRIA'!A433</f>
        <v>5.2.1.2</v>
      </c>
      <c r="B2401" s="178">
        <f>VLOOKUP(A2401,'3 - PLAN. ORÇAMENTÁRIA'!$A$16:$B$721,2,FALSE)</f>
        <v>89719</v>
      </c>
      <c r="C2401" s="631" t="str">
        <f>VLOOKUP(A2401,'3 - PLAN. ORÇAMENTÁRIA'!$A$16:$C$721,3,FALSE)</f>
        <v>JOELHO 90 GRAUS, CPVC, SOLDÁVEL, DN 22MM FORNECIMENTO E INSTALAÇÃO. AF_06/2022</v>
      </c>
      <c r="D2401" s="632"/>
      <c r="E2401" s="632"/>
      <c r="F2401" s="632"/>
      <c r="G2401" s="633"/>
      <c r="H2401" s="433" t="str">
        <f>VLOOKUP(A2401,'3 - PLAN. ORÇAMENTÁRIA'!$A$17:$E$721,5,FALSE)</f>
        <v>UN</v>
      </c>
    </row>
    <row r="2402" spans="1:8" s="318" customFormat="1">
      <c r="A2402" s="106"/>
      <c r="B2402" s="628" t="s">
        <v>593</v>
      </c>
      <c r="C2402" s="628"/>
      <c r="D2402" s="103" t="s">
        <v>579</v>
      </c>
      <c r="E2402" s="103" t="s">
        <v>580</v>
      </c>
      <c r="F2402" s="103" t="s">
        <v>581</v>
      </c>
      <c r="G2402" s="103" t="s">
        <v>582</v>
      </c>
      <c r="H2402" s="103" t="s">
        <v>583</v>
      </c>
    </row>
    <row r="2403" spans="1:8" s="318" customFormat="1">
      <c r="A2403" s="106"/>
      <c r="B2403" s="130" t="s">
        <v>1280</v>
      </c>
      <c r="C2403" s="229" t="s">
        <v>1281</v>
      </c>
      <c r="D2403" s="130" t="s">
        <v>119</v>
      </c>
      <c r="E2403" s="130" t="s">
        <v>144</v>
      </c>
      <c r="F2403" s="230">
        <v>0.08</v>
      </c>
      <c r="G2403" s="494">
        <v>37.36</v>
      </c>
      <c r="H2403" s="494">
        <v>2.99</v>
      </c>
    </row>
    <row r="2404" spans="1:8" s="318" customFormat="1">
      <c r="A2404" s="106"/>
      <c r="B2404" s="130" t="s">
        <v>1829</v>
      </c>
      <c r="C2404" s="229" t="s">
        <v>1830</v>
      </c>
      <c r="D2404" s="130" t="s">
        <v>119</v>
      </c>
      <c r="E2404" s="130" t="s">
        <v>144</v>
      </c>
      <c r="F2404" s="230">
        <v>1</v>
      </c>
      <c r="G2404" s="494">
        <v>4.46</v>
      </c>
      <c r="H2404" s="494">
        <v>4.46</v>
      </c>
    </row>
    <row r="2405" spans="1:8" s="318" customFormat="1">
      <c r="A2405" s="106"/>
      <c r="B2405" s="105"/>
      <c r="C2405" s="105"/>
      <c r="D2405" s="105"/>
      <c r="E2405" s="105"/>
      <c r="F2405" s="629" t="s">
        <v>604</v>
      </c>
      <c r="G2405" s="629"/>
      <c r="H2405" s="495">
        <v>7.45</v>
      </c>
    </row>
    <row r="2406" spans="1:8" s="318" customFormat="1" ht="12.75" customHeight="1">
      <c r="A2406" s="106"/>
      <c r="B2406" s="628" t="s">
        <v>607</v>
      </c>
      <c r="C2406" s="628"/>
      <c r="D2406" s="103" t="s">
        <v>579</v>
      </c>
      <c r="E2406" s="103" t="s">
        <v>580</v>
      </c>
      <c r="F2406" s="103" t="s">
        <v>581</v>
      </c>
      <c r="G2406" s="103" t="s">
        <v>582</v>
      </c>
      <c r="H2406" s="103" t="s">
        <v>583</v>
      </c>
    </row>
    <row r="2407" spans="1:8" s="318" customFormat="1">
      <c r="A2407" s="106"/>
      <c r="B2407" s="130" t="s">
        <v>1296</v>
      </c>
      <c r="C2407" s="229" t="s">
        <v>611</v>
      </c>
      <c r="D2407" s="130" t="s">
        <v>119</v>
      </c>
      <c r="E2407" s="130" t="s">
        <v>121</v>
      </c>
      <c r="F2407" s="230">
        <v>0.12470000000000001</v>
      </c>
      <c r="G2407" s="494">
        <v>24.02</v>
      </c>
      <c r="H2407" s="494">
        <v>3</v>
      </c>
    </row>
    <row r="2408" spans="1:8" s="318" customFormat="1">
      <c r="A2408" s="106"/>
      <c r="B2408" s="130" t="s">
        <v>1297</v>
      </c>
      <c r="C2408" s="229" t="s">
        <v>612</v>
      </c>
      <c r="D2408" s="130" t="s">
        <v>119</v>
      </c>
      <c r="E2408" s="130" t="s">
        <v>121</v>
      </c>
      <c r="F2408" s="230">
        <v>0.12470000000000001</v>
      </c>
      <c r="G2408" s="494">
        <v>30.62</v>
      </c>
      <c r="H2408" s="494">
        <v>3.82</v>
      </c>
    </row>
    <row r="2409" spans="1:8" s="318" customFormat="1" ht="12.75" customHeight="1">
      <c r="A2409" s="106"/>
      <c r="B2409" s="105"/>
      <c r="C2409" s="105"/>
      <c r="D2409" s="105"/>
      <c r="E2409" s="105"/>
      <c r="F2409" s="629" t="s">
        <v>610</v>
      </c>
      <c r="G2409" s="629"/>
      <c r="H2409" s="495">
        <v>6.82</v>
      </c>
    </row>
    <row r="2410" spans="1:8" s="318" customFormat="1" ht="12.75" customHeight="1">
      <c r="A2410" s="106"/>
      <c r="B2410" s="105"/>
      <c r="C2410" s="105"/>
      <c r="D2410" s="105"/>
      <c r="E2410" s="105"/>
      <c r="F2410" s="630" t="s">
        <v>464</v>
      </c>
      <c r="G2410" s="630"/>
      <c r="H2410" s="102">
        <v>14.24</v>
      </c>
    </row>
    <row r="2411" spans="1:8" s="318" customFormat="1">
      <c r="A2411" s="106"/>
      <c r="B2411" s="105"/>
      <c r="C2411" s="105"/>
      <c r="D2411" s="105"/>
      <c r="E2411" s="105"/>
      <c r="F2411" s="366"/>
      <c r="G2411" s="366"/>
      <c r="H2411" s="366"/>
    </row>
    <row r="2412" spans="1:8" s="220" customFormat="1" ht="27" customHeight="1">
      <c r="A2412" s="178" t="str">
        <f>'3 - PLAN. ORÇAMENTÁRIA'!A435</f>
        <v>5.2.2.1</v>
      </c>
      <c r="B2412" s="178">
        <f>VLOOKUP(A2412,'3 - PLAN. ORÇAMENTÁRIA'!$A$16:$B$721,2,FALSE)</f>
        <v>89716</v>
      </c>
      <c r="C2412" s="631" t="str">
        <f>VLOOKUP(A2412,'3 - PLAN. ORÇAMENTÁRIA'!$A$16:$C$721,3,FALSE)</f>
        <v>TUBO, CPVC, SOLDÁVEL, DN 22MM - FORNECIMENTO E INSTALAÇÃO. AF_06/2022</v>
      </c>
      <c r="D2412" s="632"/>
      <c r="E2412" s="632"/>
      <c r="F2412" s="632"/>
      <c r="G2412" s="633"/>
      <c r="H2412" s="433" t="str">
        <f>VLOOKUP(A2412,'3 - PLAN. ORÇAMENTÁRIA'!$A$17:$E$721,5,FALSE)</f>
        <v>M</v>
      </c>
    </row>
    <row r="2413" spans="1:8" s="318" customFormat="1">
      <c r="A2413" s="106"/>
      <c r="B2413" s="628" t="s">
        <v>593</v>
      </c>
      <c r="C2413" s="628"/>
      <c r="D2413" s="103" t="s">
        <v>579</v>
      </c>
      <c r="E2413" s="103" t="s">
        <v>580</v>
      </c>
      <c r="F2413" s="103" t="s">
        <v>581</v>
      </c>
      <c r="G2413" s="103" t="s">
        <v>582</v>
      </c>
      <c r="H2413" s="103" t="s">
        <v>583</v>
      </c>
    </row>
    <row r="2414" spans="1:8" s="318" customFormat="1">
      <c r="A2414" s="106"/>
      <c r="B2414" s="130" t="s">
        <v>1833</v>
      </c>
      <c r="C2414" s="229" t="s">
        <v>1834</v>
      </c>
      <c r="D2414" s="130" t="s">
        <v>119</v>
      </c>
      <c r="E2414" s="130" t="s">
        <v>173</v>
      </c>
      <c r="F2414" s="230">
        <v>1.0492999999999999</v>
      </c>
      <c r="G2414" s="494">
        <v>19.47</v>
      </c>
      <c r="H2414" s="494">
        <v>20.43</v>
      </c>
    </row>
    <row r="2415" spans="1:8" s="318" customFormat="1">
      <c r="A2415" s="106"/>
      <c r="B2415" s="105"/>
      <c r="C2415" s="105"/>
      <c r="D2415" s="105"/>
      <c r="E2415" s="105"/>
      <c r="F2415" s="629" t="s">
        <v>604</v>
      </c>
      <c r="G2415" s="629"/>
      <c r="H2415" s="495">
        <v>20.43</v>
      </c>
    </row>
    <row r="2416" spans="1:8" s="318" customFormat="1" ht="12.75" customHeight="1">
      <c r="A2416" s="106"/>
      <c r="B2416" s="628" t="s">
        <v>607</v>
      </c>
      <c r="C2416" s="628"/>
      <c r="D2416" s="103" t="s">
        <v>579</v>
      </c>
      <c r="E2416" s="103" t="s">
        <v>580</v>
      </c>
      <c r="F2416" s="103" t="s">
        <v>581</v>
      </c>
      <c r="G2416" s="103" t="s">
        <v>582</v>
      </c>
      <c r="H2416" s="103" t="s">
        <v>583</v>
      </c>
    </row>
    <row r="2417" spans="1:8" s="318" customFormat="1">
      <c r="A2417" s="106"/>
      <c r="B2417" s="130" t="s">
        <v>1296</v>
      </c>
      <c r="C2417" s="229" t="s">
        <v>611</v>
      </c>
      <c r="D2417" s="130" t="s">
        <v>119</v>
      </c>
      <c r="E2417" s="130" t="s">
        <v>121</v>
      </c>
      <c r="F2417" s="230">
        <v>0.14549999999999999</v>
      </c>
      <c r="G2417" s="494">
        <v>24.02</v>
      </c>
      <c r="H2417" s="494">
        <v>3.49</v>
      </c>
    </row>
    <row r="2418" spans="1:8" s="318" customFormat="1">
      <c r="A2418" s="106"/>
      <c r="B2418" s="130" t="s">
        <v>1297</v>
      </c>
      <c r="C2418" s="229" t="s">
        <v>612</v>
      </c>
      <c r="D2418" s="130" t="s">
        <v>119</v>
      </c>
      <c r="E2418" s="130" t="s">
        <v>121</v>
      </c>
      <c r="F2418" s="230">
        <v>0.14549999999999999</v>
      </c>
      <c r="G2418" s="494">
        <v>30.62</v>
      </c>
      <c r="H2418" s="494">
        <v>4.46</v>
      </c>
    </row>
    <row r="2419" spans="1:8" s="318" customFormat="1" ht="12.75" customHeight="1">
      <c r="A2419" s="106"/>
      <c r="B2419" s="105"/>
      <c r="C2419" s="105"/>
      <c r="D2419" s="105"/>
      <c r="E2419" s="105"/>
      <c r="F2419" s="629" t="s">
        <v>610</v>
      </c>
      <c r="G2419" s="629"/>
      <c r="H2419" s="495">
        <v>7.95</v>
      </c>
    </row>
    <row r="2420" spans="1:8" s="318" customFormat="1" ht="12.75" customHeight="1">
      <c r="A2420" s="106"/>
      <c r="B2420" s="105"/>
      <c r="C2420" s="105"/>
      <c r="D2420" s="105"/>
      <c r="E2420" s="105"/>
      <c r="F2420" s="630" t="s">
        <v>464</v>
      </c>
      <c r="G2420" s="630"/>
      <c r="H2420" s="102">
        <v>28.36</v>
      </c>
    </row>
    <row r="2421" spans="1:8" s="318" customFormat="1">
      <c r="A2421" s="106"/>
      <c r="B2421" s="105"/>
      <c r="C2421" s="105"/>
      <c r="D2421" s="105"/>
      <c r="E2421" s="105"/>
      <c r="F2421" s="366"/>
      <c r="G2421" s="366"/>
      <c r="H2421" s="366"/>
    </row>
    <row r="2422" spans="1:8" s="220" customFormat="1" ht="27" customHeight="1">
      <c r="A2422" s="178" t="str">
        <f>'3 - PLAN. ORÇAMENTÁRIA'!A436</f>
        <v>5.2.2.2</v>
      </c>
      <c r="B2422" s="178">
        <f>VLOOKUP(A2422,'3 - PLAN. ORÇAMENTÁRIA'!$A$16:$B$721,2,FALSE)</f>
        <v>92306</v>
      </c>
      <c r="C2422" s="631" t="str">
        <f>VLOOKUP(A2422,'3 - PLAN. ORÇAMENTÁRIA'!$A$16:$C$721,3,FALSE)</f>
        <v>TUBO EM COBRE RÍGIDO, DN 22 MM, CLASSE E, SEM ISOLAMENTO - FORNECIMENTO E INSTALAÇÃO. AF_04/2022</v>
      </c>
      <c r="D2422" s="632"/>
      <c r="E2422" s="632"/>
      <c r="F2422" s="632"/>
      <c r="G2422" s="633"/>
      <c r="H2422" s="433" t="str">
        <f>VLOOKUP(A2422,'3 - PLAN. ORÇAMENTÁRIA'!$A$17:$E$721,5,FALSE)</f>
        <v>M</v>
      </c>
    </row>
    <row r="2423" spans="1:8" s="318" customFormat="1">
      <c r="A2423" s="106"/>
      <c r="B2423" s="628" t="s">
        <v>593</v>
      </c>
      <c r="C2423" s="628"/>
      <c r="D2423" s="103" t="s">
        <v>579</v>
      </c>
      <c r="E2423" s="103" t="s">
        <v>580</v>
      </c>
      <c r="F2423" s="103" t="s">
        <v>581</v>
      </c>
      <c r="G2423" s="103" t="s">
        <v>582</v>
      </c>
      <c r="H2423" s="103" t="s">
        <v>583</v>
      </c>
    </row>
    <row r="2424" spans="1:8" s="318" customFormat="1">
      <c r="A2424" s="106"/>
      <c r="B2424" s="130" t="s">
        <v>3635</v>
      </c>
      <c r="C2424" s="229" t="s">
        <v>3634</v>
      </c>
      <c r="D2424" s="130" t="s">
        <v>119</v>
      </c>
      <c r="E2424" s="130" t="s">
        <v>173</v>
      </c>
      <c r="F2424" s="230">
        <v>1.0225</v>
      </c>
      <c r="G2424" s="494">
        <v>89.5</v>
      </c>
      <c r="H2424" s="494">
        <v>91.51</v>
      </c>
    </row>
    <row r="2425" spans="1:8" s="318" customFormat="1">
      <c r="A2425" s="106"/>
      <c r="B2425" s="105"/>
      <c r="C2425" s="105"/>
      <c r="D2425" s="105"/>
      <c r="E2425" s="105"/>
      <c r="F2425" s="629" t="s">
        <v>604</v>
      </c>
      <c r="G2425" s="629"/>
      <c r="H2425" s="495">
        <v>91.51</v>
      </c>
    </row>
    <row r="2426" spans="1:8" s="318" customFormat="1" ht="12.75" customHeight="1">
      <c r="A2426" s="106"/>
      <c r="B2426" s="628" t="s">
        <v>607</v>
      </c>
      <c r="C2426" s="628"/>
      <c r="D2426" s="103" t="s">
        <v>579</v>
      </c>
      <c r="E2426" s="103" t="s">
        <v>580</v>
      </c>
      <c r="F2426" s="103" t="s">
        <v>581</v>
      </c>
      <c r="G2426" s="103" t="s">
        <v>582</v>
      </c>
      <c r="H2426" s="103" t="s">
        <v>583</v>
      </c>
    </row>
    <row r="2427" spans="1:8" s="318" customFormat="1">
      <c r="A2427" s="106"/>
      <c r="B2427" s="130" t="s">
        <v>1296</v>
      </c>
      <c r="C2427" s="229" t="s">
        <v>611</v>
      </c>
      <c r="D2427" s="130" t="s">
        <v>119</v>
      </c>
      <c r="E2427" s="130" t="s">
        <v>121</v>
      </c>
      <c r="F2427" s="230">
        <v>0.15670000000000001</v>
      </c>
      <c r="G2427" s="494">
        <v>24.02</v>
      </c>
      <c r="H2427" s="494">
        <v>3.76</v>
      </c>
    </row>
    <row r="2428" spans="1:8" s="318" customFormat="1">
      <c r="A2428" s="106"/>
      <c r="B2428" s="130" t="s">
        <v>1297</v>
      </c>
      <c r="C2428" s="229" t="s">
        <v>612</v>
      </c>
      <c r="D2428" s="130" t="s">
        <v>119</v>
      </c>
      <c r="E2428" s="130" t="s">
        <v>121</v>
      </c>
      <c r="F2428" s="230">
        <v>0.15670000000000001</v>
      </c>
      <c r="G2428" s="494">
        <v>30.62</v>
      </c>
      <c r="H2428" s="494">
        <v>4.8</v>
      </c>
    </row>
    <row r="2429" spans="1:8" s="318" customFormat="1" ht="12.75" customHeight="1">
      <c r="A2429" s="106"/>
      <c r="B2429" s="105"/>
      <c r="C2429" s="105"/>
      <c r="D2429" s="105"/>
      <c r="E2429" s="105"/>
      <c r="F2429" s="629" t="s">
        <v>610</v>
      </c>
      <c r="G2429" s="629"/>
      <c r="H2429" s="495">
        <v>8.56</v>
      </c>
    </row>
    <row r="2430" spans="1:8" s="318" customFormat="1" ht="12.75" customHeight="1">
      <c r="A2430" s="106"/>
      <c r="B2430" s="105"/>
      <c r="C2430" s="105"/>
      <c r="D2430" s="105"/>
      <c r="E2430" s="105"/>
      <c r="F2430" s="630" t="s">
        <v>464</v>
      </c>
      <c r="G2430" s="630"/>
      <c r="H2430" s="102">
        <v>100.06</v>
      </c>
    </row>
    <row r="2431" spans="1:8" s="318" customFormat="1">
      <c r="A2431" s="106"/>
      <c r="B2431" s="105"/>
      <c r="C2431" s="105"/>
      <c r="D2431" s="105"/>
      <c r="E2431" s="105"/>
      <c r="F2431" s="396"/>
      <c r="G2431" s="396"/>
      <c r="H2431" s="396"/>
    </row>
    <row r="2432" spans="1:8" s="220" customFormat="1" ht="27" customHeight="1">
      <c r="A2432" s="178" t="str">
        <f>'3 - PLAN. ORÇAMENTÁRIA'!A439</f>
        <v>5.3.1.1</v>
      </c>
      <c r="B2432" s="178">
        <f>VLOOKUP(A2432,'3 - PLAN. ORÇAMENTÁRIA'!$A$16:$B$721,2,FALSE)</f>
        <v>89443</v>
      </c>
      <c r="C2432" s="631" t="str">
        <f>VLOOKUP(A2432,'3 - PLAN. ORÇAMENTÁRIA'!$A$16:$C$721,3,FALSE)</f>
        <v>TE, PVC, SOLDÁVEL, DN 32MM - FORNECIMENTO E INSTALAÇÃO. AF_06/2022</v>
      </c>
      <c r="D2432" s="632"/>
      <c r="E2432" s="632"/>
      <c r="F2432" s="632"/>
      <c r="G2432" s="633"/>
      <c r="H2432" s="433" t="str">
        <f>VLOOKUP(A2432,'3 - PLAN. ORÇAMENTÁRIA'!$A$17:$E$721,5,FALSE)</f>
        <v>UN</v>
      </c>
    </row>
    <row r="2433" spans="1:8" s="318" customFormat="1">
      <c r="A2433" s="106"/>
      <c r="B2433" s="628" t="s">
        <v>593</v>
      </c>
      <c r="C2433" s="628"/>
      <c r="D2433" s="103" t="s">
        <v>579</v>
      </c>
      <c r="E2433" s="103" t="s">
        <v>580</v>
      </c>
      <c r="F2433" s="103" t="s">
        <v>581</v>
      </c>
      <c r="G2433" s="103" t="s">
        <v>582</v>
      </c>
      <c r="H2433" s="103" t="s">
        <v>583</v>
      </c>
    </row>
    <row r="2434" spans="1:8" s="318" customFormat="1">
      <c r="A2434" s="106"/>
      <c r="B2434" s="130" t="s">
        <v>1540</v>
      </c>
      <c r="C2434" s="229" t="s">
        <v>1541</v>
      </c>
      <c r="D2434" s="130" t="s">
        <v>119</v>
      </c>
      <c r="E2434" s="130" t="s">
        <v>144</v>
      </c>
      <c r="F2434" s="230">
        <v>1.41E-2</v>
      </c>
      <c r="G2434" s="494">
        <v>72.86</v>
      </c>
      <c r="H2434" s="494">
        <v>1.03</v>
      </c>
    </row>
    <row r="2435" spans="1:8" s="318" customFormat="1">
      <c r="A2435" s="106"/>
      <c r="B2435" s="130" t="s">
        <v>673</v>
      </c>
      <c r="C2435" s="229" t="s">
        <v>3789</v>
      </c>
      <c r="D2435" s="130" t="s">
        <v>119</v>
      </c>
      <c r="E2435" s="130" t="s">
        <v>144</v>
      </c>
      <c r="F2435" s="230">
        <v>5.3999999999999999E-2</v>
      </c>
      <c r="G2435" s="494">
        <v>2.57</v>
      </c>
      <c r="H2435" s="494">
        <v>0.14000000000000001</v>
      </c>
    </row>
    <row r="2436" spans="1:8" s="318" customFormat="1">
      <c r="A2436" s="106"/>
      <c r="B2436" s="130" t="s">
        <v>1542</v>
      </c>
      <c r="C2436" s="229" t="s">
        <v>1543</v>
      </c>
      <c r="D2436" s="130" t="s">
        <v>119</v>
      </c>
      <c r="E2436" s="130" t="s">
        <v>144</v>
      </c>
      <c r="F2436" s="230">
        <v>1.6500000000000001E-2</v>
      </c>
      <c r="G2436" s="494">
        <v>82.55</v>
      </c>
      <c r="H2436" s="494">
        <v>1.36</v>
      </c>
    </row>
    <row r="2437" spans="1:8" s="318" customFormat="1">
      <c r="A2437" s="106"/>
      <c r="B2437" s="130" t="s">
        <v>1657</v>
      </c>
      <c r="C2437" s="229" t="s">
        <v>1658</v>
      </c>
      <c r="D2437" s="130" t="s">
        <v>119</v>
      </c>
      <c r="E2437" s="130" t="s">
        <v>144</v>
      </c>
      <c r="F2437" s="230">
        <v>1</v>
      </c>
      <c r="G2437" s="494">
        <v>4.05</v>
      </c>
      <c r="H2437" s="494">
        <v>4.05</v>
      </c>
    </row>
    <row r="2438" spans="1:8" s="318" customFormat="1">
      <c r="A2438" s="106"/>
      <c r="B2438" s="105"/>
      <c r="C2438" s="105"/>
      <c r="D2438" s="105"/>
      <c r="E2438" s="105"/>
      <c r="F2438" s="629" t="s">
        <v>604</v>
      </c>
      <c r="G2438" s="629"/>
      <c r="H2438" s="495">
        <v>6.58</v>
      </c>
    </row>
    <row r="2439" spans="1:8" s="318" customFormat="1" ht="12.75" customHeight="1">
      <c r="A2439" s="106"/>
      <c r="B2439" s="628" t="s">
        <v>607</v>
      </c>
      <c r="C2439" s="628"/>
      <c r="D2439" s="103" t="s">
        <v>579</v>
      </c>
      <c r="E2439" s="103" t="s">
        <v>580</v>
      </c>
      <c r="F2439" s="103" t="s">
        <v>581</v>
      </c>
      <c r="G2439" s="103" t="s">
        <v>582</v>
      </c>
      <c r="H2439" s="103" t="s">
        <v>583</v>
      </c>
    </row>
    <row r="2440" spans="1:8" s="318" customFormat="1">
      <c r="A2440" s="106"/>
      <c r="B2440" s="130" t="s">
        <v>1296</v>
      </c>
      <c r="C2440" s="229" t="s">
        <v>611</v>
      </c>
      <c r="D2440" s="130" t="s">
        <v>119</v>
      </c>
      <c r="E2440" s="130" t="s">
        <v>121</v>
      </c>
      <c r="F2440" s="230">
        <v>0.21609999999999999</v>
      </c>
      <c r="G2440" s="494">
        <v>24.02</v>
      </c>
      <c r="H2440" s="494">
        <v>5.19</v>
      </c>
    </row>
    <row r="2441" spans="1:8" s="318" customFormat="1">
      <c r="A2441" s="106"/>
      <c r="B2441" s="130" t="s">
        <v>1297</v>
      </c>
      <c r="C2441" s="229" t="s">
        <v>612</v>
      </c>
      <c r="D2441" s="130" t="s">
        <v>119</v>
      </c>
      <c r="E2441" s="130" t="s">
        <v>121</v>
      </c>
      <c r="F2441" s="230">
        <v>0.21609999999999999</v>
      </c>
      <c r="G2441" s="494">
        <v>30.62</v>
      </c>
      <c r="H2441" s="494">
        <v>6.62</v>
      </c>
    </row>
    <row r="2442" spans="1:8" s="318" customFormat="1" ht="12.75" customHeight="1">
      <c r="A2442" s="106"/>
      <c r="B2442" s="105"/>
      <c r="C2442" s="105"/>
      <c r="D2442" s="105"/>
      <c r="E2442" s="105"/>
      <c r="F2442" s="629" t="s">
        <v>610</v>
      </c>
      <c r="G2442" s="629"/>
      <c r="H2442" s="495">
        <v>11.81</v>
      </c>
    </row>
    <row r="2443" spans="1:8" s="318" customFormat="1" ht="12.75" customHeight="1">
      <c r="A2443" s="106"/>
      <c r="B2443" s="105"/>
      <c r="C2443" s="105"/>
      <c r="D2443" s="105"/>
      <c r="E2443" s="105"/>
      <c r="F2443" s="630" t="s">
        <v>464</v>
      </c>
      <c r="G2443" s="630"/>
      <c r="H2443" s="102">
        <v>18.36</v>
      </c>
    </row>
    <row r="2444" spans="1:8" s="318" customFormat="1">
      <c r="A2444" s="106"/>
      <c r="B2444" s="105"/>
      <c r="C2444" s="105"/>
      <c r="D2444" s="105"/>
      <c r="E2444" s="105"/>
      <c r="F2444" s="634"/>
      <c r="G2444" s="634"/>
      <c r="H2444" s="634"/>
    </row>
    <row r="2445" spans="1:8" s="220" customFormat="1" ht="27" customHeight="1">
      <c r="A2445" s="178" t="str">
        <f>'3 - PLAN. ORÇAMENTÁRIA'!A440</f>
        <v>5.3.1.2</v>
      </c>
      <c r="B2445" s="178">
        <f>VLOOKUP(A2445,'3 - PLAN. ORÇAMENTÁRIA'!$A$16:$B$721,2,FALSE)</f>
        <v>89395</v>
      </c>
      <c r="C2445" s="631" t="str">
        <f>VLOOKUP(A2445,'3 - PLAN. ORÇAMENTÁRIA'!$A$16:$C$721,3,FALSE)</f>
        <v>TE, PVC, SOLDÁVEL, DN 25MM - FORNECIMENTO E INSTALAÇÃO. AF_06/2022</v>
      </c>
      <c r="D2445" s="632"/>
      <c r="E2445" s="632"/>
      <c r="F2445" s="632"/>
      <c r="G2445" s="633"/>
      <c r="H2445" s="493" t="str">
        <f>VLOOKUP(A2445,'3 - PLAN. ORÇAMENTÁRIA'!$A$17:$E$721,5,FALSE)</f>
        <v>UN</v>
      </c>
    </row>
    <row r="2446" spans="1:8" s="318" customFormat="1">
      <c r="A2446" s="106"/>
      <c r="B2446" s="628" t="s">
        <v>593</v>
      </c>
      <c r="C2446" s="628"/>
      <c r="D2446" s="103" t="s">
        <v>579</v>
      </c>
      <c r="E2446" s="103" t="s">
        <v>580</v>
      </c>
      <c r="F2446" s="103" t="s">
        <v>581</v>
      </c>
      <c r="G2446" s="103" t="s">
        <v>582</v>
      </c>
      <c r="H2446" s="103" t="s">
        <v>583</v>
      </c>
    </row>
    <row r="2447" spans="1:8" s="318" customFormat="1">
      <c r="A2447" s="106"/>
      <c r="B2447" s="130" t="s">
        <v>1540</v>
      </c>
      <c r="C2447" s="229" t="s">
        <v>1541</v>
      </c>
      <c r="D2447" s="130" t="s">
        <v>119</v>
      </c>
      <c r="E2447" s="130" t="s">
        <v>144</v>
      </c>
      <c r="F2447" s="230">
        <v>1.06E-2</v>
      </c>
      <c r="G2447" s="494">
        <v>72.86</v>
      </c>
      <c r="H2447" s="494">
        <v>0.77</v>
      </c>
    </row>
    <row r="2448" spans="1:8" s="318" customFormat="1">
      <c r="A2448" s="106"/>
      <c r="B2448" s="130" t="s">
        <v>673</v>
      </c>
      <c r="C2448" s="229" t="s">
        <v>3789</v>
      </c>
      <c r="D2448" s="130" t="s">
        <v>119</v>
      </c>
      <c r="E2448" s="130" t="s">
        <v>144</v>
      </c>
      <c r="F2448" s="230">
        <v>5.0700000000000002E-2</v>
      </c>
      <c r="G2448" s="494">
        <v>2.57</v>
      </c>
      <c r="H2448" s="494">
        <v>0.13</v>
      </c>
    </row>
    <row r="2449" spans="1:8" s="318" customFormat="1">
      <c r="A2449" s="106"/>
      <c r="B2449" s="130" t="s">
        <v>1542</v>
      </c>
      <c r="C2449" s="229" t="s">
        <v>1543</v>
      </c>
      <c r="D2449" s="130" t="s">
        <v>119</v>
      </c>
      <c r="E2449" s="130" t="s">
        <v>144</v>
      </c>
      <c r="F2449" s="230">
        <v>1.2E-2</v>
      </c>
      <c r="G2449" s="494">
        <v>82.55</v>
      </c>
      <c r="H2449" s="494">
        <v>0.99</v>
      </c>
    </row>
    <row r="2450" spans="1:8" s="318" customFormat="1">
      <c r="A2450" s="106"/>
      <c r="B2450" s="130" t="s">
        <v>1609</v>
      </c>
      <c r="C2450" s="229" t="s">
        <v>1610</v>
      </c>
      <c r="D2450" s="130" t="s">
        <v>119</v>
      </c>
      <c r="E2450" s="130" t="s">
        <v>144</v>
      </c>
      <c r="F2450" s="230">
        <v>1</v>
      </c>
      <c r="G2450" s="494">
        <v>1.29</v>
      </c>
      <c r="H2450" s="494">
        <v>1.29</v>
      </c>
    </row>
    <row r="2451" spans="1:8" s="318" customFormat="1">
      <c r="A2451" s="106"/>
      <c r="B2451" s="105"/>
      <c r="C2451" s="105"/>
      <c r="D2451" s="105"/>
      <c r="E2451" s="105"/>
      <c r="F2451" s="629" t="s">
        <v>604</v>
      </c>
      <c r="G2451" s="629"/>
      <c r="H2451" s="495">
        <v>3.18</v>
      </c>
    </row>
    <row r="2452" spans="1:8" s="318" customFormat="1" ht="12.75" customHeight="1">
      <c r="A2452" s="106"/>
      <c r="B2452" s="628" t="s">
        <v>607</v>
      </c>
      <c r="C2452" s="628"/>
      <c r="D2452" s="103" t="s">
        <v>579</v>
      </c>
      <c r="E2452" s="103" t="s">
        <v>580</v>
      </c>
      <c r="F2452" s="103" t="s">
        <v>581</v>
      </c>
      <c r="G2452" s="103" t="s">
        <v>582</v>
      </c>
      <c r="H2452" s="103" t="s">
        <v>583</v>
      </c>
    </row>
    <row r="2453" spans="1:8" s="318" customFormat="1">
      <c r="A2453" s="106"/>
      <c r="B2453" s="130" t="s">
        <v>1296</v>
      </c>
      <c r="C2453" s="229" t="s">
        <v>611</v>
      </c>
      <c r="D2453" s="130" t="s">
        <v>119</v>
      </c>
      <c r="E2453" s="130" t="s">
        <v>121</v>
      </c>
      <c r="F2453" s="230">
        <v>0.2026</v>
      </c>
      <c r="G2453" s="494">
        <v>24.02</v>
      </c>
      <c r="H2453" s="494">
        <v>4.87</v>
      </c>
    </row>
    <row r="2454" spans="1:8" s="318" customFormat="1">
      <c r="A2454" s="106"/>
      <c r="B2454" s="130" t="s">
        <v>1297</v>
      </c>
      <c r="C2454" s="229" t="s">
        <v>612</v>
      </c>
      <c r="D2454" s="130" t="s">
        <v>119</v>
      </c>
      <c r="E2454" s="130" t="s">
        <v>121</v>
      </c>
      <c r="F2454" s="230">
        <v>0.2026</v>
      </c>
      <c r="G2454" s="494">
        <v>30.62</v>
      </c>
      <c r="H2454" s="494">
        <v>6.2</v>
      </c>
    </row>
    <row r="2455" spans="1:8" s="318" customFormat="1" ht="12.75" customHeight="1">
      <c r="A2455" s="106"/>
      <c r="B2455" s="105"/>
      <c r="C2455" s="105"/>
      <c r="D2455" s="105"/>
      <c r="E2455" s="105"/>
      <c r="F2455" s="629" t="s">
        <v>610</v>
      </c>
      <c r="G2455" s="629"/>
      <c r="H2455" s="495">
        <v>11.07</v>
      </c>
    </row>
    <row r="2456" spans="1:8" s="318" customFormat="1" ht="12.75" customHeight="1">
      <c r="A2456" s="106"/>
      <c r="B2456" s="105"/>
      <c r="C2456" s="105"/>
      <c r="D2456" s="105"/>
      <c r="E2456" s="105"/>
      <c r="F2456" s="630" t="s">
        <v>464</v>
      </c>
      <c r="G2456" s="630"/>
      <c r="H2456" s="102">
        <v>14.24</v>
      </c>
    </row>
    <row r="2457" spans="1:8" s="318" customFormat="1">
      <c r="A2457" s="106"/>
      <c r="B2457" s="105"/>
      <c r="C2457" s="105"/>
      <c r="D2457" s="105"/>
      <c r="E2457" s="105"/>
      <c r="F2457" s="634"/>
      <c r="G2457" s="634"/>
      <c r="H2457" s="634"/>
    </row>
    <row r="2458" spans="1:8" s="220" customFormat="1" ht="27" customHeight="1">
      <c r="A2458" s="178" t="str">
        <f>'3 - PLAN. ORÇAMENTÁRIA'!A441</f>
        <v>5.3.1.3</v>
      </c>
      <c r="B2458" s="178">
        <f>VLOOKUP(A2458,'3 - PLAN. ORÇAMENTÁRIA'!$A$16:$B$721,2,FALSE)</f>
        <v>95237</v>
      </c>
      <c r="C2458" s="631" t="str">
        <f>VLOOKUP(A2458,'3 - PLAN. ORÇAMENTÁRIA'!$A$16:$C$721,3,FALSE)</f>
        <v>LUVA COM BUCHA DE LATÃO, PVC, SOLDÁVEL, DN 32MM X 1 - FORNECIMENTO E INSTALAÇÃO. AF_06/2022</v>
      </c>
      <c r="D2458" s="632"/>
      <c r="E2458" s="632"/>
      <c r="F2458" s="632"/>
      <c r="G2458" s="633"/>
      <c r="H2458" s="493" t="str">
        <f>VLOOKUP(A2458,'3 - PLAN. ORÇAMENTÁRIA'!$A$17:$E$721,5,FALSE)</f>
        <v>UN</v>
      </c>
    </row>
    <row r="2459" spans="1:8" s="318" customFormat="1">
      <c r="A2459" s="106"/>
      <c r="B2459" s="628" t="s">
        <v>593</v>
      </c>
      <c r="C2459" s="628"/>
      <c r="D2459" s="103" t="s">
        <v>579</v>
      </c>
      <c r="E2459" s="103" t="s">
        <v>580</v>
      </c>
      <c r="F2459" s="103" t="s">
        <v>581</v>
      </c>
      <c r="G2459" s="103" t="s">
        <v>582</v>
      </c>
      <c r="H2459" s="103" t="s">
        <v>583</v>
      </c>
    </row>
    <row r="2460" spans="1:8" s="318" customFormat="1">
      <c r="A2460" s="106"/>
      <c r="B2460" s="130" t="s">
        <v>1540</v>
      </c>
      <c r="C2460" s="229" t="s">
        <v>1541</v>
      </c>
      <c r="D2460" s="130" t="s">
        <v>119</v>
      </c>
      <c r="E2460" s="130" t="s">
        <v>144</v>
      </c>
      <c r="F2460" s="230">
        <v>8.2000000000000007E-3</v>
      </c>
      <c r="G2460" s="494">
        <v>72.86</v>
      </c>
      <c r="H2460" s="494">
        <v>0.6</v>
      </c>
    </row>
    <row r="2461" spans="1:8" s="318" customFormat="1">
      <c r="A2461" s="106"/>
      <c r="B2461" s="130" t="s">
        <v>673</v>
      </c>
      <c r="C2461" s="229" t="s">
        <v>3789</v>
      </c>
      <c r="D2461" s="130" t="s">
        <v>119</v>
      </c>
      <c r="E2461" s="130" t="s">
        <v>144</v>
      </c>
      <c r="F2461" s="230">
        <v>3.3099999999999997E-2</v>
      </c>
      <c r="G2461" s="494">
        <v>2.57</v>
      </c>
      <c r="H2461" s="494">
        <v>0.09</v>
      </c>
    </row>
    <row r="2462" spans="1:8" s="318" customFormat="1">
      <c r="A2462" s="106"/>
      <c r="B2462" s="130" t="s">
        <v>1659</v>
      </c>
      <c r="C2462" s="229" t="s">
        <v>1660</v>
      </c>
      <c r="D2462" s="130" t="s">
        <v>119</v>
      </c>
      <c r="E2462" s="130" t="s">
        <v>144</v>
      </c>
      <c r="F2462" s="230">
        <v>1</v>
      </c>
      <c r="G2462" s="494">
        <v>18.66</v>
      </c>
      <c r="H2462" s="494">
        <v>18.66</v>
      </c>
    </row>
    <row r="2463" spans="1:8" s="318" customFormat="1">
      <c r="A2463" s="106"/>
      <c r="B2463" s="130" t="s">
        <v>1542</v>
      </c>
      <c r="C2463" s="229" t="s">
        <v>1543</v>
      </c>
      <c r="D2463" s="130" t="s">
        <v>119</v>
      </c>
      <c r="E2463" s="130" t="s">
        <v>144</v>
      </c>
      <c r="F2463" s="230">
        <v>9.4999999999999998E-3</v>
      </c>
      <c r="G2463" s="494">
        <v>82.55</v>
      </c>
      <c r="H2463" s="494">
        <v>0.78</v>
      </c>
    </row>
    <row r="2464" spans="1:8" s="318" customFormat="1">
      <c r="A2464" s="106"/>
      <c r="B2464" s="105"/>
      <c r="C2464" s="105"/>
      <c r="D2464" s="105"/>
      <c r="E2464" s="105"/>
      <c r="F2464" s="629" t="s">
        <v>604</v>
      </c>
      <c r="G2464" s="629"/>
      <c r="H2464" s="495">
        <v>20.13</v>
      </c>
    </row>
    <row r="2465" spans="1:8" s="318" customFormat="1" ht="12.75" customHeight="1">
      <c r="A2465" s="106"/>
      <c r="B2465" s="628" t="s">
        <v>607</v>
      </c>
      <c r="C2465" s="628"/>
      <c r="D2465" s="103" t="s">
        <v>579</v>
      </c>
      <c r="E2465" s="103" t="s">
        <v>580</v>
      </c>
      <c r="F2465" s="103" t="s">
        <v>581</v>
      </c>
      <c r="G2465" s="103" t="s">
        <v>582</v>
      </c>
      <c r="H2465" s="103" t="s">
        <v>583</v>
      </c>
    </row>
    <row r="2466" spans="1:8" s="318" customFormat="1">
      <c r="A2466" s="106"/>
      <c r="B2466" s="130" t="s">
        <v>1296</v>
      </c>
      <c r="C2466" s="229" t="s">
        <v>611</v>
      </c>
      <c r="D2466" s="130" t="s">
        <v>119</v>
      </c>
      <c r="E2466" s="130" t="s">
        <v>121</v>
      </c>
      <c r="F2466" s="230">
        <v>9.9400000000000002E-2</v>
      </c>
      <c r="G2466" s="494">
        <v>24.02</v>
      </c>
      <c r="H2466" s="494">
        <v>2.39</v>
      </c>
    </row>
    <row r="2467" spans="1:8" s="318" customFormat="1">
      <c r="A2467" s="106"/>
      <c r="B2467" s="130" t="s">
        <v>1297</v>
      </c>
      <c r="C2467" s="229" t="s">
        <v>612</v>
      </c>
      <c r="D2467" s="130" t="s">
        <v>119</v>
      </c>
      <c r="E2467" s="130" t="s">
        <v>121</v>
      </c>
      <c r="F2467" s="230">
        <v>9.9400000000000002E-2</v>
      </c>
      <c r="G2467" s="494">
        <v>30.62</v>
      </c>
      <c r="H2467" s="494">
        <v>3.04</v>
      </c>
    </row>
    <row r="2468" spans="1:8" s="318" customFormat="1" ht="12.75" customHeight="1">
      <c r="A2468" s="106"/>
      <c r="B2468" s="105"/>
      <c r="C2468" s="105"/>
      <c r="D2468" s="105"/>
      <c r="E2468" s="105"/>
      <c r="F2468" s="629" t="s">
        <v>610</v>
      </c>
      <c r="G2468" s="629"/>
      <c r="H2468" s="495">
        <v>5.43</v>
      </c>
    </row>
    <row r="2469" spans="1:8" s="318" customFormat="1" ht="12.75" customHeight="1">
      <c r="A2469" s="106"/>
      <c r="B2469" s="105"/>
      <c r="C2469" s="105"/>
      <c r="D2469" s="105"/>
      <c r="E2469" s="105"/>
      <c r="F2469" s="630" t="s">
        <v>464</v>
      </c>
      <c r="G2469" s="630"/>
      <c r="H2469" s="102">
        <v>25.53</v>
      </c>
    </row>
    <row r="2470" spans="1:8" s="318" customFormat="1">
      <c r="A2470" s="106"/>
      <c r="B2470" s="105"/>
      <c r="C2470" s="105"/>
      <c r="D2470" s="105"/>
      <c r="E2470" s="105"/>
      <c r="F2470" s="634"/>
      <c r="G2470" s="634"/>
      <c r="H2470" s="634"/>
    </row>
    <row r="2471" spans="1:8" s="220" customFormat="1" ht="27" customHeight="1">
      <c r="A2471" s="178" t="str">
        <f>'3 - PLAN. ORÇAMENTÁRIA'!A442</f>
        <v>5.3.1.4</v>
      </c>
      <c r="B2471" s="178">
        <f>VLOOKUP(A2471,'3 - PLAN. ORÇAMENTÁRIA'!$A$16:$B$721,2,FALSE)</f>
        <v>89425</v>
      </c>
      <c r="C2471" s="631" t="str">
        <f>VLOOKUP(A2471,'3 - PLAN. ORÇAMENTÁRIA'!$A$16:$C$721,3,FALSE)</f>
        <v>LUVA DE CORRER, PVC, SOLDÁVEL, DN 25MM - FORNECIMENTO E INSTALAÇÃO. AF_06/2022</v>
      </c>
      <c r="D2471" s="632"/>
      <c r="E2471" s="632"/>
      <c r="F2471" s="632"/>
      <c r="G2471" s="633"/>
      <c r="H2471" s="493" t="str">
        <f>VLOOKUP(A2471,'3 - PLAN. ORÇAMENTÁRIA'!$A$17:$E$721,5,FALSE)</f>
        <v>UN</v>
      </c>
    </row>
    <row r="2472" spans="1:8" s="318" customFormat="1">
      <c r="A2472" s="106"/>
      <c r="B2472" s="628" t="s">
        <v>593</v>
      </c>
      <c r="C2472" s="628"/>
      <c r="D2472" s="103" t="s">
        <v>579</v>
      </c>
      <c r="E2472" s="103" t="s">
        <v>580</v>
      </c>
      <c r="F2472" s="103" t="s">
        <v>581</v>
      </c>
      <c r="G2472" s="103" t="s">
        <v>582</v>
      </c>
      <c r="H2472" s="103" t="s">
        <v>583</v>
      </c>
    </row>
    <row r="2473" spans="1:8" s="318" customFormat="1">
      <c r="A2473" s="106"/>
      <c r="B2473" s="130" t="s">
        <v>1540</v>
      </c>
      <c r="C2473" s="229" t="s">
        <v>1541</v>
      </c>
      <c r="D2473" s="130" t="s">
        <v>119</v>
      </c>
      <c r="E2473" s="130" t="s">
        <v>144</v>
      </c>
      <c r="F2473" s="230">
        <v>7.1000000000000004E-3</v>
      </c>
      <c r="G2473" s="494">
        <v>72.86</v>
      </c>
      <c r="H2473" s="494">
        <v>0.52</v>
      </c>
    </row>
    <row r="2474" spans="1:8" s="318" customFormat="1">
      <c r="A2474" s="106"/>
      <c r="B2474" s="130" t="s">
        <v>673</v>
      </c>
      <c r="C2474" s="229" t="s">
        <v>3789</v>
      </c>
      <c r="D2474" s="130" t="s">
        <v>119</v>
      </c>
      <c r="E2474" s="130" t="s">
        <v>144</v>
      </c>
      <c r="F2474" s="230">
        <v>3.0200000000000001E-2</v>
      </c>
      <c r="G2474" s="494">
        <v>2.57</v>
      </c>
      <c r="H2474" s="494">
        <v>0.08</v>
      </c>
    </row>
    <row r="2475" spans="1:8" s="318" customFormat="1">
      <c r="A2475" s="106"/>
      <c r="B2475" s="130" t="s">
        <v>3637</v>
      </c>
      <c r="C2475" s="229" t="s">
        <v>3638</v>
      </c>
      <c r="D2475" s="130" t="s">
        <v>119</v>
      </c>
      <c r="E2475" s="130" t="s">
        <v>144</v>
      </c>
      <c r="F2475" s="230">
        <v>1</v>
      </c>
      <c r="G2475" s="494">
        <v>13.25</v>
      </c>
      <c r="H2475" s="494">
        <v>13.25</v>
      </c>
    </row>
    <row r="2476" spans="1:8" s="318" customFormat="1">
      <c r="A2476" s="106"/>
      <c r="B2476" s="130" t="s">
        <v>1542</v>
      </c>
      <c r="C2476" s="229" t="s">
        <v>1543</v>
      </c>
      <c r="D2476" s="130" t="s">
        <v>119</v>
      </c>
      <c r="E2476" s="130" t="s">
        <v>144</v>
      </c>
      <c r="F2476" s="230">
        <v>8.0000000000000002E-3</v>
      </c>
      <c r="G2476" s="494">
        <v>82.55</v>
      </c>
      <c r="H2476" s="494">
        <v>0.66</v>
      </c>
    </row>
    <row r="2477" spans="1:8" s="318" customFormat="1">
      <c r="A2477" s="106"/>
      <c r="B2477" s="105"/>
      <c r="C2477" s="105"/>
      <c r="D2477" s="105"/>
      <c r="E2477" s="105"/>
      <c r="F2477" s="629" t="s">
        <v>604</v>
      </c>
      <c r="G2477" s="629"/>
      <c r="H2477" s="495">
        <v>14.51</v>
      </c>
    </row>
    <row r="2478" spans="1:8" s="318" customFormat="1" ht="12.75" customHeight="1">
      <c r="A2478" s="106"/>
      <c r="B2478" s="628" t="s">
        <v>607</v>
      </c>
      <c r="C2478" s="628"/>
      <c r="D2478" s="103" t="s">
        <v>579</v>
      </c>
      <c r="E2478" s="103" t="s">
        <v>580</v>
      </c>
      <c r="F2478" s="103" t="s">
        <v>581</v>
      </c>
      <c r="G2478" s="103" t="s">
        <v>582</v>
      </c>
      <c r="H2478" s="103" t="s">
        <v>583</v>
      </c>
    </row>
    <row r="2479" spans="1:8" s="318" customFormat="1">
      <c r="A2479" s="106"/>
      <c r="B2479" s="130" t="s">
        <v>1296</v>
      </c>
      <c r="C2479" s="229" t="s">
        <v>611</v>
      </c>
      <c r="D2479" s="130" t="s">
        <v>119</v>
      </c>
      <c r="E2479" s="130" t="s">
        <v>121</v>
      </c>
      <c r="F2479" s="230">
        <v>9.06E-2</v>
      </c>
      <c r="G2479" s="494">
        <v>24.02</v>
      </c>
      <c r="H2479" s="494">
        <v>2.1800000000000002</v>
      </c>
    </row>
    <row r="2480" spans="1:8" s="318" customFormat="1">
      <c r="A2480" s="106"/>
      <c r="B2480" s="130" t="s">
        <v>1297</v>
      </c>
      <c r="C2480" s="229" t="s">
        <v>612</v>
      </c>
      <c r="D2480" s="130" t="s">
        <v>119</v>
      </c>
      <c r="E2480" s="130" t="s">
        <v>121</v>
      </c>
      <c r="F2480" s="230">
        <v>9.06E-2</v>
      </c>
      <c r="G2480" s="494">
        <v>30.62</v>
      </c>
      <c r="H2480" s="494">
        <v>2.77</v>
      </c>
    </row>
    <row r="2481" spans="1:8" s="318" customFormat="1" ht="12.75" customHeight="1">
      <c r="A2481" s="106"/>
      <c r="B2481" s="105"/>
      <c r="C2481" s="105"/>
      <c r="D2481" s="105"/>
      <c r="E2481" s="105"/>
      <c r="F2481" s="629" t="s">
        <v>610</v>
      </c>
      <c r="G2481" s="629"/>
      <c r="H2481" s="495">
        <v>4.95</v>
      </c>
    </row>
    <row r="2482" spans="1:8" s="318" customFormat="1" ht="12.75" customHeight="1">
      <c r="A2482" s="106"/>
      <c r="B2482" s="105"/>
      <c r="C2482" s="105"/>
      <c r="D2482" s="105"/>
      <c r="E2482" s="105"/>
      <c r="F2482" s="630" t="s">
        <v>464</v>
      </c>
      <c r="G2482" s="630"/>
      <c r="H2482" s="102">
        <v>19.43</v>
      </c>
    </row>
    <row r="2483" spans="1:8" s="318" customFormat="1">
      <c r="A2483" s="106"/>
      <c r="B2483" s="105"/>
      <c r="C2483" s="105"/>
      <c r="D2483" s="105"/>
      <c r="E2483" s="105"/>
      <c r="F2483" s="634"/>
      <c r="G2483" s="634"/>
      <c r="H2483" s="634"/>
    </row>
    <row r="2484" spans="1:8" s="220" customFormat="1" ht="27" customHeight="1">
      <c r="A2484" s="178" t="str">
        <f>'3 - PLAN. ORÇAMENTÁRIA'!A443</f>
        <v>5.3.1.5</v>
      </c>
      <c r="B2484" s="178">
        <f>VLOOKUP(A2484,'3 - PLAN. ORÇAMENTÁRIA'!$A$16:$B$721,2,FALSE)</f>
        <v>89413</v>
      </c>
      <c r="C2484" s="631" t="str">
        <f>VLOOKUP(A2484,'3 - PLAN. ORÇAMENTÁRIA'!$A$16:$C$721,3,FALSE)</f>
        <v>JOELHO 90 GRAUS, PVC, SOLDÁVEL, DN 32MM - FORNECIMENTO E INSTALAÇÃO. AF_06/2022</v>
      </c>
      <c r="D2484" s="632"/>
      <c r="E2484" s="632"/>
      <c r="F2484" s="632"/>
      <c r="G2484" s="633"/>
      <c r="H2484" s="493" t="str">
        <f>VLOOKUP(A2484,'3 - PLAN. ORÇAMENTÁRIA'!$A$17:$E$721,5,FALSE)</f>
        <v>UN</v>
      </c>
    </row>
    <row r="2485" spans="1:8" s="318" customFormat="1">
      <c r="A2485" s="106"/>
      <c r="B2485" s="628" t="s">
        <v>593</v>
      </c>
      <c r="C2485" s="628"/>
      <c r="D2485" s="103" t="s">
        <v>579</v>
      </c>
      <c r="E2485" s="103" t="s">
        <v>580</v>
      </c>
      <c r="F2485" s="103" t="s">
        <v>581</v>
      </c>
      <c r="G2485" s="103" t="s">
        <v>582</v>
      </c>
      <c r="H2485" s="103" t="s">
        <v>583</v>
      </c>
    </row>
    <row r="2486" spans="1:8" s="318" customFormat="1">
      <c r="A2486" s="106"/>
      <c r="B2486" s="130" t="s">
        <v>1540</v>
      </c>
      <c r="C2486" s="229" t="s">
        <v>1541</v>
      </c>
      <c r="D2486" s="130" t="s">
        <v>119</v>
      </c>
      <c r="E2486" s="130" t="s">
        <v>144</v>
      </c>
      <c r="F2486" s="230">
        <v>9.4000000000000004E-3</v>
      </c>
      <c r="G2486" s="494">
        <v>72.86</v>
      </c>
      <c r="H2486" s="494">
        <v>0.68</v>
      </c>
    </row>
    <row r="2487" spans="1:8" s="318" customFormat="1">
      <c r="A2487" s="106"/>
      <c r="B2487" s="130" t="s">
        <v>1661</v>
      </c>
      <c r="C2487" s="229" t="s">
        <v>1662</v>
      </c>
      <c r="D2487" s="130" t="s">
        <v>119</v>
      </c>
      <c r="E2487" s="130" t="s">
        <v>144</v>
      </c>
      <c r="F2487" s="230">
        <v>1</v>
      </c>
      <c r="G2487" s="494">
        <v>2.6</v>
      </c>
      <c r="H2487" s="494">
        <v>2.6</v>
      </c>
    </row>
    <row r="2488" spans="1:8" s="318" customFormat="1">
      <c r="A2488" s="106"/>
      <c r="B2488" s="130" t="s">
        <v>673</v>
      </c>
      <c r="C2488" s="229" t="s">
        <v>3789</v>
      </c>
      <c r="D2488" s="130" t="s">
        <v>119</v>
      </c>
      <c r="E2488" s="130" t="s">
        <v>144</v>
      </c>
      <c r="F2488" s="230">
        <v>3.5999999999999997E-2</v>
      </c>
      <c r="G2488" s="494">
        <v>2.57</v>
      </c>
      <c r="H2488" s="494">
        <v>0.09</v>
      </c>
    </row>
    <row r="2489" spans="1:8" s="318" customFormat="1">
      <c r="A2489" s="106"/>
      <c r="B2489" s="130" t="s">
        <v>1542</v>
      </c>
      <c r="C2489" s="229" t="s">
        <v>1543</v>
      </c>
      <c r="D2489" s="130" t="s">
        <v>119</v>
      </c>
      <c r="E2489" s="130" t="s">
        <v>144</v>
      </c>
      <c r="F2489" s="230">
        <v>1.0999999999999999E-2</v>
      </c>
      <c r="G2489" s="494">
        <v>82.55</v>
      </c>
      <c r="H2489" s="494">
        <v>0.91</v>
      </c>
    </row>
    <row r="2490" spans="1:8" s="318" customFormat="1">
      <c r="A2490" s="106"/>
      <c r="B2490" s="105"/>
      <c r="C2490" s="105"/>
      <c r="D2490" s="105"/>
      <c r="E2490" s="105"/>
      <c r="F2490" s="629" t="s">
        <v>604</v>
      </c>
      <c r="G2490" s="629"/>
      <c r="H2490" s="495">
        <v>4.28</v>
      </c>
    </row>
    <row r="2491" spans="1:8" s="318" customFormat="1" ht="12.75" customHeight="1">
      <c r="A2491" s="106"/>
      <c r="B2491" s="628" t="s">
        <v>607</v>
      </c>
      <c r="C2491" s="628"/>
      <c r="D2491" s="103" t="s">
        <v>579</v>
      </c>
      <c r="E2491" s="103" t="s">
        <v>580</v>
      </c>
      <c r="F2491" s="103" t="s">
        <v>581</v>
      </c>
      <c r="G2491" s="103" t="s">
        <v>582</v>
      </c>
      <c r="H2491" s="103" t="s">
        <v>583</v>
      </c>
    </row>
    <row r="2492" spans="1:8" s="318" customFormat="1">
      <c r="A2492" s="106"/>
      <c r="B2492" s="130" t="s">
        <v>1296</v>
      </c>
      <c r="C2492" s="229" t="s">
        <v>611</v>
      </c>
      <c r="D2492" s="130" t="s">
        <v>119</v>
      </c>
      <c r="E2492" s="130" t="s">
        <v>121</v>
      </c>
      <c r="F2492" s="230">
        <v>0.16209999999999999</v>
      </c>
      <c r="G2492" s="494">
        <v>24.02</v>
      </c>
      <c r="H2492" s="494">
        <v>3.89</v>
      </c>
    </row>
    <row r="2493" spans="1:8" s="318" customFormat="1">
      <c r="A2493" s="106"/>
      <c r="B2493" s="130" t="s">
        <v>1297</v>
      </c>
      <c r="C2493" s="229" t="s">
        <v>612</v>
      </c>
      <c r="D2493" s="130" t="s">
        <v>119</v>
      </c>
      <c r="E2493" s="130" t="s">
        <v>121</v>
      </c>
      <c r="F2493" s="230">
        <v>0.16209999999999999</v>
      </c>
      <c r="G2493" s="494">
        <v>30.62</v>
      </c>
      <c r="H2493" s="494">
        <v>4.96</v>
      </c>
    </row>
    <row r="2494" spans="1:8" s="318" customFormat="1" ht="12.75" customHeight="1">
      <c r="A2494" s="106"/>
      <c r="B2494" s="105"/>
      <c r="C2494" s="105"/>
      <c r="D2494" s="105"/>
      <c r="E2494" s="105"/>
      <c r="F2494" s="629" t="s">
        <v>610</v>
      </c>
      <c r="G2494" s="629"/>
      <c r="H2494" s="495">
        <v>8.85</v>
      </c>
    </row>
    <row r="2495" spans="1:8" s="318" customFormat="1" ht="12.75" customHeight="1">
      <c r="A2495" s="106"/>
      <c r="B2495" s="105"/>
      <c r="C2495" s="105"/>
      <c r="D2495" s="105"/>
      <c r="E2495" s="105"/>
      <c r="F2495" s="630" t="s">
        <v>464</v>
      </c>
      <c r="G2495" s="630"/>
      <c r="H2495" s="102">
        <v>13.12</v>
      </c>
    </row>
    <row r="2496" spans="1:8" s="318" customFormat="1">
      <c r="A2496" s="106"/>
      <c r="B2496" s="105"/>
      <c r="C2496" s="105"/>
      <c r="D2496" s="105"/>
      <c r="E2496" s="105"/>
      <c r="F2496" s="634"/>
      <c r="G2496" s="634"/>
      <c r="H2496" s="634"/>
    </row>
    <row r="2497" spans="1:8" s="220" customFormat="1" ht="27" customHeight="1">
      <c r="A2497" s="178" t="str">
        <f>'3 - PLAN. ORÇAMENTÁRIA'!A444</f>
        <v>5.3.1.6</v>
      </c>
      <c r="B2497" s="178">
        <f>VLOOKUP(A2497,'3 - PLAN. ORÇAMENTÁRIA'!$A$16:$B$721,2,FALSE)</f>
        <v>89481</v>
      </c>
      <c r="C2497" s="631" t="str">
        <f>VLOOKUP(A2497,'3 - PLAN. ORÇAMENTÁRIA'!$A$16:$C$721,3,FALSE)</f>
        <v>JOELHO 90 GRAUS, PVC, SOLDÁVEL, DN 25MM - FORNECIMENTO E INSTALAÇÃO. AF_06/2022</v>
      </c>
      <c r="D2497" s="632"/>
      <c r="E2497" s="632"/>
      <c r="F2497" s="632"/>
      <c r="G2497" s="633"/>
      <c r="H2497" s="493" t="str">
        <f>VLOOKUP(A2497,'3 - PLAN. ORÇAMENTÁRIA'!$A$17:$E$721,5,FALSE)</f>
        <v>UN</v>
      </c>
    </row>
    <row r="2498" spans="1:8" s="318" customFormat="1">
      <c r="A2498" s="106"/>
      <c r="B2498" s="628" t="s">
        <v>593</v>
      </c>
      <c r="C2498" s="628"/>
      <c r="D2498" s="103" t="s">
        <v>579</v>
      </c>
      <c r="E2498" s="103" t="s">
        <v>580</v>
      </c>
      <c r="F2498" s="103" t="s">
        <v>581</v>
      </c>
      <c r="G2498" s="103" t="s">
        <v>582</v>
      </c>
      <c r="H2498" s="103" t="s">
        <v>583</v>
      </c>
    </row>
    <row r="2499" spans="1:8" s="318" customFormat="1">
      <c r="A2499" s="106"/>
      <c r="B2499" s="130" t="s">
        <v>1540</v>
      </c>
      <c r="C2499" s="229" t="s">
        <v>1541</v>
      </c>
      <c r="D2499" s="130" t="s">
        <v>119</v>
      </c>
      <c r="E2499" s="130" t="s">
        <v>144</v>
      </c>
      <c r="F2499" s="230">
        <v>7.1000000000000004E-3</v>
      </c>
      <c r="G2499" s="494">
        <v>72.86</v>
      </c>
      <c r="H2499" s="494">
        <v>0.52</v>
      </c>
    </row>
    <row r="2500" spans="1:8" s="318" customFormat="1">
      <c r="A2500" s="106"/>
      <c r="B2500" s="130" t="s">
        <v>1617</v>
      </c>
      <c r="C2500" s="229" t="s">
        <v>1618</v>
      </c>
      <c r="D2500" s="130" t="s">
        <v>119</v>
      </c>
      <c r="E2500" s="130" t="s">
        <v>144</v>
      </c>
      <c r="F2500" s="230">
        <v>1</v>
      </c>
      <c r="G2500" s="494">
        <v>0.78</v>
      </c>
      <c r="H2500" s="494">
        <v>0.78</v>
      </c>
    </row>
    <row r="2501" spans="1:8" s="318" customFormat="1">
      <c r="A2501" s="106"/>
      <c r="B2501" s="130" t="s">
        <v>673</v>
      </c>
      <c r="C2501" s="229" t="s">
        <v>3789</v>
      </c>
      <c r="D2501" s="130" t="s">
        <v>119</v>
      </c>
      <c r="E2501" s="130" t="s">
        <v>144</v>
      </c>
      <c r="F2501" s="230">
        <v>1.0800000000000001E-2</v>
      </c>
      <c r="G2501" s="494">
        <v>2.57</v>
      </c>
      <c r="H2501" s="494">
        <v>0.03</v>
      </c>
    </row>
    <row r="2502" spans="1:8" s="318" customFormat="1">
      <c r="A2502" s="106"/>
      <c r="B2502" s="130" t="s">
        <v>1542</v>
      </c>
      <c r="C2502" s="229" t="s">
        <v>1543</v>
      </c>
      <c r="D2502" s="130" t="s">
        <v>119</v>
      </c>
      <c r="E2502" s="130" t="s">
        <v>144</v>
      </c>
      <c r="F2502" s="230">
        <v>8.0000000000000002E-3</v>
      </c>
      <c r="G2502" s="494">
        <v>82.55</v>
      </c>
      <c r="H2502" s="494">
        <v>0.66</v>
      </c>
    </row>
    <row r="2503" spans="1:8" s="318" customFormat="1">
      <c r="A2503" s="106"/>
      <c r="B2503" s="105"/>
      <c r="C2503" s="105"/>
      <c r="D2503" s="105"/>
      <c r="E2503" s="105"/>
      <c r="F2503" s="629" t="s">
        <v>604</v>
      </c>
      <c r="G2503" s="629"/>
      <c r="H2503" s="495">
        <v>1.99</v>
      </c>
    </row>
    <row r="2504" spans="1:8" s="318" customFormat="1" ht="12.75" customHeight="1">
      <c r="A2504" s="106"/>
      <c r="B2504" s="628" t="s">
        <v>607</v>
      </c>
      <c r="C2504" s="628"/>
      <c r="D2504" s="103" t="s">
        <v>579</v>
      </c>
      <c r="E2504" s="103" t="s">
        <v>580</v>
      </c>
      <c r="F2504" s="103" t="s">
        <v>581</v>
      </c>
      <c r="G2504" s="103" t="s">
        <v>582</v>
      </c>
      <c r="H2504" s="103" t="s">
        <v>583</v>
      </c>
    </row>
    <row r="2505" spans="1:8" s="318" customFormat="1">
      <c r="A2505" s="106"/>
      <c r="B2505" s="130" t="s">
        <v>1296</v>
      </c>
      <c r="C2505" s="229" t="s">
        <v>611</v>
      </c>
      <c r="D2505" s="130" t="s">
        <v>119</v>
      </c>
      <c r="E2505" s="130" t="s">
        <v>121</v>
      </c>
      <c r="F2505" s="230">
        <v>7.0599999999999996E-2</v>
      </c>
      <c r="G2505" s="494">
        <v>24.02</v>
      </c>
      <c r="H2505" s="494">
        <v>1.7</v>
      </c>
    </row>
    <row r="2506" spans="1:8" s="318" customFormat="1">
      <c r="A2506" s="106"/>
      <c r="B2506" s="130" t="s">
        <v>1297</v>
      </c>
      <c r="C2506" s="229" t="s">
        <v>612</v>
      </c>
      <c r="D2506" s="130" t="s">
        <v>119</v>
      </c>
      <c r="E2506" s="130" t="s">
        <v>121</v>
      </c>
      <c r="F2506" s="230">
        <v>7.0599999999999996E-2</v>
      </c>
      <c r="G2506" s="494">
        <v>30.62</v>
      </c>
      <c r="H2506" s="494">
        <v>2.16</v>
      </c>
    </row>
    <row r="2507" spans="1:8" s="318" customFormat="1" ht="12.75" customHeight="1">
      <c r="A2507" s="106"/>
      <c r="B2507" s="105"/>
      <c r="C2507" s="105"/>
      <c r="D2507" s="105"/>
      <c r="E2507" s="105"/>
      <c r="F2507" s="629" t="s">
        <v>610</v>
      </c>
      <c r="G2507" s="629"/>
      <c r="H2507" s="495">
        <v>3.86</v>
      </c>
    </row>
    <row r="2508" spans="1:8" s="318" customFormat="1" ht="12.75" customHeight="1">
      <c r="A2508" s="106"/>
      <c r="B2508" s="105"/>
      <c r="C2508" s="105"/>
      <c r="D2508" s="105"/>
      <c r="E2508" s="105"/>
      <c r="F2508" s="630" t="s">
        <v>464</v>
      </c>
      <c r="G2508" s="630"/>
      <c r="H2508" s="102">
        <v>5.82</v>
      </c>
    </row>
    <row r="2509" spans="1:8" s="318" customFormat="1">
      <c r="A2509" s="106"/>
      <c r="B2509" s="105"/>
      <c r="C2509" s="105"/>
      <c r="D2509" s="105"/>
      <c r="E2509" s="105"/>
      <c r="F2509" s="634"/>
      <c r="G2509" s="634"/>
      <c r="H2509" s="634"/>
    </row>
    <row r="2510" spans="1:8" s="220" customFormat="1" ht="27" customHeight="1">
      <c r="A2510" s="178" t="str">
        <f>'3 - PLAN. ORÇAMENTÁRIA'!A445</f>
        <v>5.3.1.7</v>
      </c>
      <c r="B2510" s="178">
        <f>VLOOKUP(A2510,'3 - PLAN. ORÇAMENTÁRIA'!$A$16:$B$721,2,FALSE)</f>
        <v>89485</v>
      </c>
      <c r="C2510" s="631" t="str">
        <f>VLOOKUP(A2510,'3 - PLAN. ORÇAMENTÁRIA'!$A$16:$C$721,3,FALSE)</f>
        <v>JOELHO 45 GRAUS, PVC, SOLDÁVEL, DN 25MM - FORNECIMENTO E INSTALAÇÃO. AF_06/2022</v>
      </c>
      <c r="D2510" s="632"/>
      <c r="E2510" s="632"/>
      <c r="F2510" s="632"/>
      <c r="G2510" s="633"/>
      <c r="H2510" s="493" t="str">
        <f>VLOOKUP(A2510,'3 - PLAN. ORÇAMENTÁRIA'!$A$17:$E$721,5,FALSE)</f>
        <v>UN</v>
      </c>
    </row>
    <row r="2511" spans="1:8" s="318" customFormat="1">
      <c r="A2511" s="106"/>
      <c r="B2511" s="628" t="s">
        <v>593</v>
      </c>
      <c r="C2511" s="628"/>
      <c r="D2511" s="103" t="s">
        <v>579</v>
      </c>
      <c r="E2511" s="103" t="s">
        <v>580</v>
      </c>
      <c r="F2511" s="103" t="s">
        <v>581</v>
      </c>
      <c r="G2511" s="103" t="s">
        <v>582</v>
      </c>
      <c r="H2511" s="103" t="s">
        <v>583</v>
      </c>
    </row>
    <row r="2512" spans="1:8" s="318" customFormat="1">
      <c r="A2512" s="106"/>
      <c r="B2512" s="130" t="s">
        <v>1540</v>
      </c>
      <c r="C2512" s="229" t="s">
        <v>1541</v>
      </c>
      <c r="D2512" s="130" t="s">
        <v>119</v>
      </c>
      <c r="E2512" s="130" t="s">
        <v>144</v>
      </c>
      <c r="F2512" s="230">
        <v>7.1000000000000004E-3</v>
      </c>
      <c r="G2512" s="494">
        <v>72.86</v>
      </c>
      <c r="H2512" s="494">
        <v>0.52</v>
      </c>
    </row>
    <row r="2513" spans="1:8" s="318" customFormat="1">
      <c r="A2513" s="106"/>
      <c r="B2513" s="130" t="s">
        <v>1621</v>
      </c>
      <c r="C2513" s="229" t="s">
        <v>1622</v>
      </c>
      <c r="D2513" s="130" t="s">
        <v>119</v>
      </c>
      <c r="E2513" s="130" t="s">
        <v>144</v>
      </c>
      <c r="F2513" s="230">
        <v>1</v>
      </c>
      <c r="G2513" s="494">
        <v>1.61</v>
      </c>
      <c r="H2513" s="494">
        <v>1.61</v>
      </c>
    </row>
    <row r="2514" spans="1:8" s="318" customFormat="1">
      <c r="A2514" s="106"/>
      <c r="B2514" s="130" t="s">
        <v>673</v>
      </c>
      <c r="C2514" s="229" t="s">
        <v>3789</v>
      </c>
      <c r="D2514" s="130" t="s">
        <v>119</v>
      </c>
      <c r="E2514" s="130" t="s">
        <v>144</v>
      </c>
      <c r="F2514" s="230">
        <v>1.0800000000000001E-2</v>
      </c>
      <c r="G2514" s="494">
        <v>2.57</v>
      </c>
      <c r="H2514" s="494">
        <v>0.03</v>
      </c>
    </row>
    <row r="2515" spans="1:8" s="318" customFormat="1">
      <c r="A2515" s="106"/>
      <c r="B2515" s="130" t="s">
        <v>1542</v>
      </c>
      <c r="C2515" s="229" t="s">
        <v>1543</v>
      </c>
      <c r="D2515" s="130" t="s">
        <v>119</v>
      </c>
      <c r="E2515" s="130" t="s">
        <v>144</v>
      </c>
      <c r="F2515" s="230">
        <v>8.0000000000000002E-3</v>
      </c>
      <c r="G2515" s="494">
        <v>82.55</v>
      </c>
      <c r="H2515" s="494">
        <v>0.66</v>
      </c>
    </row>
    <row r="2516" spans="1:8" s="318" customFormat="1">
      <c r="A2516" s="106"/>
      <c r="B2516" s="105"/>
      <c r="C2516" s="105"/>
      <c r="D2516" s="105"/>
      <c r="E2516" s="105"/>
      <c r="F2516" s="629" t="s">
        <v>604</v>
      </c>
      <c r="G2516" s="629"/>
      <c r="H2516" s="495">
        <v>2.82</v>
      </c>
    </row>
    <row r="2517" spans="1:8" s="318" customFormat="1" ht="12.75" customHeight="1">
      <c r="A2517" s="106"/>
      <c r="B2517" s="628" t="s">
        <v>607</v>
      </c>
      <c r="C2517" s="628"/>
      <c r="D2517" s="103" t="s">
        <v>579</v>
      </c>
      <c r="E2517" s="103" t="s">
        <v>580</v>
      </c>
      <c r="F2517" s="103" t="s">
        <v>581</v>
      </c>
      <c r="G2517" s="103" t="s">
        <v>582</v>
      </c>
      <c r="H2517" s="103" t="s">
        <v>583</v>
      </c>
    </row>
    <row r="2518" spans="1:8" s="318" customFormat="1">
      <c r="A2518" s="106"/>
      <c r="B2518" s="130" t="s">
        <v>1296</v>
      </c>
      <c r="C2518" s="229" t="s">
        <v>611</v>
      </c>
      <c r="D2518" s="130" t="s">
        <v>119</v>
      </c>
      <c r="E2518" s="130" t="s">
        <v>121</v>
      </c>
      <c r="F2518" s="230">
        <v>7.0599999999999996E-2</v>
      </c>
      <c r="G2518" s="494">
        <v>24.02</v>
      </c>
      <c r="H2518" s="494">
        <v>1.7</v>
      </c>
    </row>
    <row r="2519" spans="1:8" s="318" customFormat="1">
      <c r="A2519" s="106"/>
      <c r="B2519" s="130" t="s">
        <v>1297</v>
      </c>
      <c r="C2519" s="229" t="s">
        <v>612</v>
      </c>
      <c r="D2519" s="130" t="s">
        <v>119</v>
      </c>
      <c r="E2519" s="130" t="s">
        <v>121</v>
      </c>
      <c r="F2519" s="230">
        <v>7.0599999999999996E-2</v>
      </c>
      <c r="G2519" s="494">
        <v>30.62</v>
      </c>
      <c r="H2519" s="494">
        <v>2.16</v>
      </c>
    </row>
    <row r="2520" spans="1:8" s="318" customFormat="1" ht="12.75" customHeight="1">
      <c r="A2520" s="106"/>
      <c r="B2520" s="105"/>
      <c r="C2520" s="105"/>
      <c r="D2520" s="105"/>
      <c r="E2520" s="105"/>
      <c r="F2520" s="629" t="s">
        <v>610</v>
      </c>
      <c r="G2520" s="629"/>
      <c r="H2520" s="495">
        <v>3.86</v>
      </c>
    </row>
    <row r="2521" spans="1:8" s="318" customFormat="1" ht="12.75" customHeight="1">
      <c r="A2521" s="106"/>
      <c r="B2521" s="105"/>
      <c r="C2521" s="105"/>
      <c r="D2521" s="105"/>
      <c r="E2521" s="105"/>
      <c r="F2521" s="630" t="s">
        <v>464</v>
      </c>
      <c r="G2521" s="630"/>
      <c r="H2521" s="102">
        <v>6.65</v>
      </c>
    </row>
    <row r="2522" spans="1:8" s="318" customFormat="1">
      <c r="A2522" s="106"/>
      <c r="B2522" s="105"/>
      <c r="C2522" s="105"/>
      <c r="D2522" s="105"/>
      <c r="E2522" s="105"/>
      <c r="F2522" s="634"/>
      <c r="G2522" s="634"/>
      <c r="H2522" s="634"/>
    </row>
    <row r="2523" spans="1:8" s="220" customFormat="1" ht="27" customHeight="1">
      <c r="A2523" s="178" t="str">
        <f>'3 - PLAN. ORÇAMENTÁRIA'!A446</f>
        <v>5.3.1.8</v>
      </c>
      <c r="B2523" s="178">
        <f>VLOOKUP(A2523,'3 - PLAN. ORÇAMENTÁRIA'!$A$16:$B$721,2,FALSE)</f>
        <v>89821</v>
      </c>
      <c r="C2523" s="631" t="str">
        <f>VLOOKUP(A2523,'3 - PLAN. ORÇAMENTÁRIA'!$A$16:$C$721,3,FALSE)</f>
        <v>LUVA SIMPLES, PVC, SERIE NORMAL, ESGOTO PREDIAL, DN 100 MM, JUNTA ELÁSTICA, FORNECIDO E INSTALADO</v>
      </c>
      <c r="D2523" s="632"/>
      <c r="E2523" s="632"/>
      <c r="F2523" s="632"/>
      <c r="G2523" s="633"/>
      <c r="H2523" s="493" t="str">
        <f>VLOOKUP(A2523,'3 - PLAN. ORÇAMENTÁRIA'!$A$17:$E$721,5,FALSE)</f>
        <v>UN</v>
      </c>
    </row>
    <row r="2524" spans="1:8" s="318" customFormat="1">
      <c r="A2524" s="106"/>
      <c r="B2524" s="628" t="s">
        <v>593</v>
      </c>
      <c r="C2524" s="628"/>
      <c r="D2524" s="103" t="s">
        <v>579</v>
      </c>
      <c r="E2524" s="103" t="s">
        <v>580</v>
      </c>
      <c r="F2524" s="103" t="s">
        <v>581</v>
      </c>
      <c r="G2524" s="103" t="s">
        <v>582</v>
      </c>
      <c r="H2524" s="103" t="s">
        <v>583</v>
      </c>
    </row>
    <row r="2525" spans="1:8" s="318" customFormat="1">
      <c r="A2525" s="106"/>
      <c r="B2525" s="130" t="s">
        <v>1540</v>
      </c>
      <c r="C2525" s="229" t="s">
        <v>1541</v>
      </c>
      <c r="D2525" s="130" t="s">
        <v>119</v>
      </c>
      <c r="E2525" s="130" t="s">
        <v>144</v>
      </c>
      <c r="F2525" s="230">
        <v>2.4500000000000001E-2</v>
      </c>
      <c r="G2525" s="494">
        <v>72.86</v>
      </c>
      <c r="H2525" s="494">
        <v>1.79</v>
      </c>
    </row>
    <row r="2526" spans="1:8" s="318" customFormat="1">
      <c r="A2526" s="106"/>
      <c r="B2526" s="130" t="s">
        <v>673</v>
      </c>
      <c r="C2526" s="229" t="s">
        <v>3789</v>
      </c>
      <c r="D2526" s="130" t="s">
        <v>119</v>
      </c>
      <c r="E2526" s="130" t="s">
        <v>144</v>
      </c>
      <c r="F2526" s="230">
        <v>5.4000000000000003E-3</v>
      </c>
      <c r="G2526" s="494">
        <v>2.57</v>
      </c>
      <c r="H2526" s="494">
        <v>0.01</v>
      </c>
    </row>
    <row r="2527" spans="1:8" s="318" customFormat="1">
      <c r="A2527" s="106"/>
      <c r="B2527" s="130" t="s">
        <v>1637</v>
      </c>
      <c r="C2527" s="229" t="s">
        <v>1638</v>
      </c>
      <c r="D2527" s="130" t="s">
        <v>119</v>
      </c>
      <c r="E2527" s="130" t="s">
        <v>144</v>
      </c>
      <c r="F2527" s="230">
        <v>1</v>
      </c>
      <c r="G2527" s="494">
        <v>6.97</v>
      </c>
      <c r="H2527" s="494">
        <v>6.97</v>
      </c>
    </row>
    <row r="2528" spans="1:8" s="318" customFormat="1">
      <c r="A2528" s="106"/>
      <c r="B2528" s="130" t="s">
        <v>1542</v>
      </c>
      <c r="C2528" s="229" t="s">
        <v>1543</v>
      </c>
      <c r="D2528" s="130" t="s">
        <v>119</v>
      </c>
      <c r="E2528" s="130" t="s">
        <v>144</v>
      </c>
      <c r="F2528" s="230">
        <v>0.04</v>
      </c>
      <c r="G2528" s="494">
        <v>82.55</v>
      </c>
      <c r="H2528" s="494">
        <v>3.3</v>
      </c>
    </row>
    <row r="2529" spans="1:8" s="318" customFormat="1">
      <c r="A2529" s="106"/>
      <c r="B2529" s="105"/>
      <c r="C2529" s="105"/>
      <c r="D2529" s="105"/>
      <c r="E2529" s="105"/>
      <c r="F2529" s="629" t="s">
        <v>604</v>
      </c>
      <c r="G2529" s="629"/>
      <c r="H2529" s="495">
        <v>12.07</v>
      </c>
    </row>
    <row r="2530" spans="1:8" s="318" customFormat="1" ht="12.75" customHeight="1">
      <c r="A2530" s="106"/>
      <c r="B2530" s="628" t="s">
        <v>607</v>
      </c>
      <c r="C2530" s="628"/>
      <c r="D2530" s="103" t="s">
        <v>579</v>
      </c>
      <c r="E2530" s="103" t="s">
        <v>580</v>
      </c>
      <c r="F2530" s="103" t="s">
        <v>581</v>
      </c>
      <c r="G2530" s="103" t="s">
        <v>582</v>
      </c>
      <c r="H2530" s="103" t="s">
        <v>583</v>
      </c>
    </row>
    <row r="2531" spans="1:8" s="318" customFormat="1">
      <c r="A2531" s="106"/>
      <c r="B2531" s="130" t="s">
        <v>1296</v>
      </c>
      <c r="C2531" s="229" t="s">
        <v>611</v>
      </c>
      <c r="D2531" s="130" t="s">
        <v>119</v>
      </c>
      <c r="E2531" s="130" t="s">
        <v>121</v>
      </c>
      <c r="F2531" s="230">
        <v>0.14480000000000001</v>
      </c>
      <c r="G2531" s="494">
        <v>24.02</v>
      </c>
      <c r="H2531" s="494">
        <v>3.48</v>
      </c>
    </row>
    <row r="2532" spans="1:8" s="318" customFormat="1">
      <c r="A2532" s="106"/>
      <c r="B2532" s="130" t="s">
        <v>1297</v>
      </c>
      <c r="C2532" s="229" t="s">
        <v>612</v>
      </c>
      <c r="D2532" s="130" t="s">
        <v>119</v>
      </c>
      <c r="E2532" s="130" t="s">
        <v>121</v>
      </c>
      <c r="F2532" s="230">
        <v>0.14480000000000001</v>
      </c>
      <c r="G2532" s="494">
        <v>30.62</v>
      </c>
      <c r="H2532" s="494">
        <v>4.43</v>
      </c>
    </row>
    <row r="2533" spans="1:8" s="318" customFormat="1" ht="12.75" customHeight="1">
      <c r="A2533" s="106"/>
      <c r="B2533" s="105"/>
      <c r="C2533" s="105"/>
      <c r="D2533" s="105"/>
      <c r="E2533" s="105"/>
      <c r="F2533" s="629" t="s">
        <v>610</v>
      </c>
      <c r="G2533" s="629"/>
      <c r="H2533" s="495">
        <v>7.91</v>
      </c>
    </row>
    <row r="2534" spans="1:8" s="318" customFormat="1" ht="12.75" customHeight="1">
      <c r="A2534" s="106"/>
      <c r="B2534" s="105"/>
      <c r="C2534" s="105"/>
      <c r="D2534" s="105"/>
      <c r="E2534" s="105"/>
      <c r="F2534" s="630" t="s">
        <v>464</v>
      </c>
      <c r="G2534" s="630"/>
      <c r="H2534" s="102">
        <v>19.96</v>
      </c>
    </row>
    <row r="2535" spans="1:8" s="318" customFormat="1">
      <c r="A2535" s="106"/>
      <c r="B2535" s="105"/>
      <c r="C2535" s="105"/>
      <c r="D2535" s="105"/>
      <c r="E2535" s="105"/>
      <c r="F2535" s="634"/>
      <c r="G2535" s="634"/>
      <c r="H2535" s="634"/>
    </row>
    <row r="2536" spans="1:8" s="220" customFormat="1" ht="27" customHeight="1">
      <c r="A2536" s="178" t="str">
        <f>'3 - PLAN. ORÇAMENTÁRIA'!A447</f>
        <v>5.3.1.9</v>
      </c>
      <c r="B2536" s="178">
        <f>VLOOKUP(A2536,'3 - PLAN. ORÇAMENTÁRIA'!$A$16:$B$721,2,FALSE)</f>
        <v>89554</v>
      </c>
      <c r="C2536" s="631" t="str">
        <f>VLOOKUP(A2536,'3 - PLAN. ORÇAMENTÁRIA'!$A$16:$C$721,3,FALSE)</f>
        <v>LUVA SIMPLES, PVC, SERIE R, ÁGUA PLUVIAL, DN 100 MM, JUNTA ELÁSTICA, FORNECIDO E INSTALADO</v>
      </c>
      <c r="D2536" s="632"/>
      <c r="E2536" s="632"/>
      <c r="F2536" s="632"/>
      <c r="G2536" s="633"/>
      <c r="H2536" s="493" t="str">
        <f>VLOOKUP(A2536,'3 - PLAN. ORÇAMENTÁRIA'!$A$17:$E$721,5,FALSE)</f>
        <v>UN</v>
      </c>
    </row>
    <row r="2537" spans="1:8" s="318" customFormat="1">
      <c r="A2537" s="106"/>
      <c r="B2537" s="628" t="s">
        <v>593</v>
      </c>
      <c r="C2537" s="628"/>
      <c r="D2537" s="103" t="s">
        <v>579</v>
      </c>
      <c r="E2537" s="103" t="s">
        <v>580</v>
      </c>
      <c r="F2537" s="103" t="s">
        <v>581</v>
      </c>
      <c r="G2537" s="103" t="s">
        <v>582</v>
      </c>
      <c r="H2537" s="103" t="s">
        <v>583</v>
      </c>
    </row>
    <row r="2538" spans="1:8" s="318" customFormat="1">
      <c r="A2538" s="106"/>
      <c r="B2538" s="130" t="s">
        <v>1540</v>
      </c>
      <c r="C2538" s="229" t="s">
        <v>1541</v>
      </c>
      <c r="D2538" s="130" t="s">
        <v>119</v>
      </c>
      <c r="E2538" s="130" t="s">
        <v>144</v>
      </c>
      <c r="F2538" s="230">
        <v>2.4500000000000001E-2</v>
      </c>
      <c r="G2538" s="494">
        <v>72.86</v>
      </c>
      <c r="H2538" s="494">
        <v>1.79</v>
      </c>
    </row>
    <row r="2539" spans="1:8" s="318" customFormat="1">
      <c r="A2539" s="106"/>
      <c r="B2539" s="130" t="s">
        <v>3311</v>
      </c>
      <c r="C2539" s="229" t="s">
        <v>3312</v>
      </c>
      <c r="D2539" s="130" t="s">
        <v>119</v>
      </c>
      <c r="E2539" s="130" t="s">
        <v>144</v>
      </c>
      <c r="F2539" s="230">
        <v>1</v>
      </c>
      <c r="G2539" s="494">
        <v>3.48</v>
      </c>
      <c r="H2539" s="494">
        <v>3.48</v>
      </c>
    </row>
    <row r="2540" spans="1:8" s="318" customFormat="1">
      <c r="A2540" s="106"/>
      <c r="B2540" s="130" t="s">
        <v>673</v>
      </c>
      <c r="C2540" s="229" t="s">
        <v>3789</v>
      </c>
      <c r="D2540" s="130" t="s">
        <v>119</v>
      </c>
      <c r="E2540" s="130" t="s">
        <v>144</v>
      </c>
      <c r="F2540" s="230">
        <v>3.5999999999999997E-2</v>
      </c>
      <c r="G2540" s="494">
        <v>2.57</v>
      </c>
      <c r="H2540" s="494">
        <v>0.09</v>
      </c>
    </row>
    <row r="2541" spans="1:8" s="318" customFormat="1">
      <c r="A2541" s="106"/>
      <c r="B2541" s="130" t="s">
        <v>3313</v>
      </c>
      <c r="C2541" s="229" t="s">
        <v>3314</v>
      </c>
      <c r="D2541" s="130" t="s">
        <v>119</v>
      </c>
      <c r="E2541" s="130" t="s">
        <v>144</v>
      </c>
      <c r="F2541" s="230">
        <v>1</v>
      </c>
      <c r="G2541" s="494">
        <v>14.43</v>
      </c>
      <c r="H2541" s="494">
        <v>14.43</v>
      </c>
    </row>
    <row r="2542" spans="1:8" s="318" customFormat="1" ht="25.5">
      <c r="A2542" s="106"/>
      <c r="B2542" s="130" t="s">
        <v>1629</v>
      </c>
      <c r="C2542" s="229" t="s">
        <v>1630</v>
      </c>
      <c r="D2542" s="130" t="s">
        <v>119</v>
      </c>
      <c r="E2542" s="130" t="s">
        <v>144</v>
      </c>
      <c r="F2542" s="230">
        <v>5.7500000000000002E-2</v>
      </c>
      <c r="G2542" s="494">
        <v>30.07</v>
      </c>
      <c r="H2542" s="494">
        <v>1.73</v>
      </c>
    </row>
    <row r="2543" spans="1:8" s="318" customFormat="1">
      <c r="A2543" s="106"/>
      <c r="B2543" s="130" t="s">
        <v>1542</v>
      </c>
      <c r="C2543" s="229" t="s">
        <v>1543</v>
      </c>
      <c r="D2543" s="130" t="s">
        <v>119</v>
      </c>
      <c r="E2543" s="130" t="s">
        <v>144</v>
      </c>
      <c r="F2543" s="230">
        <v>0.04</v>
      </c>
      <c r="G2543" s="494">
        <v>82.55</v>
      </c>
      <c r="H2543" s="494">
        <v>3.3</v>
      </c>
    </row>
    <row r="2544" spans="1:8" s="318" customFormat="1">
      <c r="A2544" s="106"/>
      <c r="B2544" s="105"/>
      <c r="C2544" s="105"/>
      <c r="D2544" s="105"/>
      <c r="E2544" s="105"/>
      <c r="F2544" s="629" t="s">
        <v>604</v>
      </c>
      <c r="G2544" s="629"/>
      <c r="H2544" s="495">
        <v>24.82</v>
      </c>
    </row>
    <row r="2545" spans="1:8" s="318" customFormat="1" ht="12.75" customHeight="1">
      <c r="A2545" s="106"/>
      <c r="B2545" s="628" t="s">
        <v>607</v>
      </c>
      <c r="C2545" s="628"/>
      <c r="D2545" s="103" t="s">
        <v>579</v>
      </c>
      <c r="E2545" s="103" t="s">
        <v>580</v>
      </c>
      <c r="F2545" s="103" t="s">
        <v>581</v>
      </c>
      <c r="G2545" s="103" t="s">
        <v>582</v>
      </c>
      <c r="H2545" s="103" t="s">
        <v>583</v>
      </c>
    </row>
    <row r="2546" spans="1:8" s="318" customFormat="1">
      <c r="A2546" s="106"/>
      <c r="B2546" s="130" t="s">
        <v>1296</v>
      </c>
      <c r="C2546" s="229" t="s">
        <v>611</v>
      </c>
      <c r="D2546" s="130" t="s">
        <v>119</v>
      </c>
      <c r="E2546" s="130" t="s">
        <v>121</v>
      </c>
      <c r="F2546" s="230">
        <v>8.5800000000000001E-2</v>
      </c>
      <c r="G2546" s="494">
        <v>24.02</v>
      </c>
      <c r="H2546" s="494">
        <v>2.06</v>
      </c>
    </row>
    <row r="2547" spans="1:8" s="318" customFormat="1">
      <c r="A2547" s="106"/>
      <c r="B2547" s="130" t="s">
        <v>1297</v>
      </c>
      <c r="C2547" s="229" t="s">
        <v>612</v>
      </c>
      <c r="D2547" s="130" t="s">
        <v>119</v>
      </c>
      <c r="E2547" s="130" t="s">
        <v>121</v>
      </c>
      <c r="F2547" s="230">
        <v>8.5800000000000001E-2</v>
      </c>
      <c r="G2547" s="494">
        <v>30.62</v>
      </c>
      <c r="H2547" s="494">
        <v>2.63</v>
      </c>
    </row>
    <row r="2548" spans="1:8" s="318" customFormat="1" ht="12.75" customHeight="1">
      <c r="A2548" s="106"/>
      <c r="B2548" s="105"/>
      <c r="C2548" s="105"/>
      <c r="D2548" s="105"/>
      <c r="E2548" s="105"/>
      <c r="F2548" s="629" t="s">
        <v>610</v>
      </c>
      <c r="G2548" s="629"/>
      <c r="H2548" s="495">
        <v>4.6900000000000004</v>
      </c>
    </row>
    <row r="2549" spans="1:8" s="318" customFormat="1" ht="12.75" customHeight="1">
      <c r="A2549" s="106"/>
      <c r="B2549" s="105"/>
      <c r="C2549" s="105"/>
      <c r="D2549" s="105"/>
      <c r="E2549" s="105"/>
      <c r="F2549" s="630" t="s">
        <v>464</v>
      </c>
      <c r="G2549" s="630"/>
      <c r="H2549" s="102">
        <v>29.48</v>
      </c>
    </row>
    <row r="2550" spans="1:8" s="318" customFormat="1">
      <c r="A2550" s="106"/>
      <c r="B2550" s="105"/>
      <c r="C2550" s="105"/>
      <c r="D2550" s="105"/>
      <c r="E2550" s="105"/>
      <c r="F2550" s="634"/>
      <c r="G2550" s="634"/>
      <c r="H2550" s="634"/>
    </row>
    <row r="2551" spans="1:8" s="220" customFormat="1" ht="27" customHeight="1">
      <c r="A2551" s="178" t="str">
        <f>'3 - PLAN. ORÇAMENTÁRIA'!A448</f>
        <v>5.3.1.10</v>
      </c>
      <c r="B2551" s="178">
        <f>VLOOKUP(A2551,'3 - PLAN. ORÇAMENTÁRIA'!$A$16:$B$721,2,FALSE)</f>
        <v>89547</v>
      </c>
      <c r="C2551" s="631" t="str">
        <f>VLOOKUP(A2551,'3 - PLAN. ORÇAMENTÁRIA'!$A$16:$C$721,3,FALSE)</f>
        <v>LUVA SIMPLES, PVC, SERIE R, ÁGUA PLUVIAL, DN 75 MM, JUNTA ELÁSTICA, FORNECIDO E INSTALADO</v>
      </c>
      <c r="D2551" s="632"/>
      <c r="E2551" s="632"/>
      <c r="F2551" s="632"/>
      <c r="G2551" s="633"/>
      <c r="H2551" s="493" t="str">
        <f>VLOOKUP(A2551,'3 - PLAN. ORÇAMENTÁRIA'!$A$17:$E$721,5,FALSE)</f>
        <v>UN</v>
      </c>
    </row>
    <row r="2552" spans="1:8" s="318" customFormat="1">
      <c r="A2552" s="106"/>
      <c r="B2552" s="628" t="s">
        <v>593</v>
      </c>
      <c r="C2552" s="628"/>
      <c r="D2552" s="103" t="s">
        <v>579</v>
      </c>
      <c r="E2552" s="103" t="s">
        <v>580</v>
      </c>
      <c r="F2552" s="103" t="s">
        <v>581</v>
      </c>
      <c r="G2552" s="103" t="s">
        <v>582</v>
      </c>
      <c r="H2552" s="103" t="s">
        <v>583</v>
      </c>
    </row>
    <row r="2553" spans="1:8" s="318" customFormat="1">
      <c r="A2553" s="106"/>
      <c r="B2553" s="130" t="s">
        <v>1540</v>
      </c>
      <c r="C2553" s="229" t="s">
        <v>1541</v>
      </c>
      <c r="D2553" s="130" t="s">
        <v>119</v>
      </c>
      <c r="E2553" s="130" t="s">
        <v>144</v>
      </c>
      <c r="F2553" s="230">
        <v>1.67E-2</v>
      </c>
      <c r="G2553" s="494">
        <v>72.86</v>
      </c>
      <c r="H2553" s="494">
        <v>1.22</v>
      </c>
    </row>
    <row r="2554" spans="1:8" s="318" customFormat="1">
      <c r="A2554" s="106"/>
      <c r="B2554" s="130" t="s">
        <v>3315</v>
      </c>
      <c r="C2554" s="229" t="s">
        <v>3317</v>
      </c>
      <c r="D2554" s="130" t="s">
        <v>119</v>
      </c>
      <c r="E2554" s="130" t="s">
        <v>144</v>
      </c>
      <c r="F2554" s="230">
        <v>1</v>
      </c>
      <c r="G2554" s="494">
        <v>2.68</v>
      </c>
      <c r="H2554" s="494">
        <v>2.68</v>
      </c>
    </row>
    <row r="2555" spans="1:8" s="318" customFormat="1">
      <c r="A2555" s="106"/>
      <c r="B2555" s="130" t="s">
        <v>673</v>
      </c>
      <c r="C2555" s="229" t="s">
        <v>3789</v>
      </c>
      <c r="D2555" s="130" t="s">
        <v>119</v>
      </c>
      <c r="E2555" s="130" t="s">
        <v>144</v>
      </c>
      <c r="F2555" s="230">
        <v>2.5999999999999999E-2</v>
      </c>
      <c r="G2555" s="494">
        <v>2.57</v>
      </c>
      <c r="H2555" s="494">
        <v>7.0000000000000007E-2</v>
      </c>
    </row>
    <row r="2556" spans="1:8" s="318" customFormat="1">
      <c r="A2556" s="106"/>
      <c r="B2556" s="130" t="s">
        <v>3316</v>
      </c>
      <c r="C2556" s="229" t="s">
        <v>3318</v>
      </c>
      <c r="D2556" s="130" t="s">
        <v>119</v>
      </c>
      <c r="E2556" s="130" t="s">
        <v>144</v>
      </c>
      <c r="F2556" s="230">
        <v>1</v>
      </c>
      <c r="G2556" s="494">
        <v>12.56</v>
      </c>
      <c r="H2556" s="494">
        <v>12.56</v>
      </c>
    </row>
    <row r="2557" spans="1:8" s="318" customFormat="1" ht="25.5">
      <c r="A2557" s="106"/>
      <c r="B2557" s="130" t="s">
        <v>1629</v>
      </c>
      <c r="C2557" s="229" t="s">
        <v>1630</v>
      </c>
      <c r="D2557" s="130" t="s">
        <v>119</v>
      </c>
      <c r="E2557" s="130" t="s">
        <v>144</v>
      </c>
      <c r="F2557" s="230">
        <v>3.7499999999999999E-2</v>
      </c>
      <c r="G2557" s="494">
        <v>30.07</v>
      </c>
      <c r="H2557" s="494">
        <v>1.1299999999999999</v>
      </c>
    </row>
    <row r="2558" spans="1:8" s="318" customFormat="1">
      <c r="A2558" s="106"/>
      <c r="B2558" s="130" t="s">
        <v>1542</v>
      </c>
      <c r="C2558" s="229" t="s">
        <v>1543</v>
      </c>
      <c r="D2558" s="130" t="s">
        <v>119</v>
      </c>
      <c r="E2558" s="130" t="s">
        <v>144</v>
      </c>
      <c r="F2558" s="230">
        <v>2.5999999999999999E-2</v>
      </c>
      <c r="G2558" s="494">
        <v>82.55</v>
      </c>
      <c r="H2558" s="494">
        <v>2.15</v>
      </c>
    </row>
    <row r="2559" spans="1:8" s="318" customFormat="1">
      <c r="A2559" s="106"/>
      <c r="B2559" s="105"/>
      <c r="C2559" s="105"/>
      <c r="D2559" s="105"/>
      <c r="E2559" s="105"/>
      <c r="F2559" s="629" t="s">
        <v>604</v>
      </c>
      <c r="G2559" s="629"/>
      <c r="H2559" s="495">
        <v>19.809999999999999</v>
      </c>
    </row>
    <row r="2560" spans="1:8" s="318" customFormat="1" ht="12.75" customHeight="1">
      <c r="A2560" s="106"/>
      <c r="B2560" s="628" t="s">
        <v>607</v>
      </c>
      <c r="C2560" s="628"/>
      <c r="D2560" s="103" t="s">
        <v>579</v>
      </c>
      <c r="E2560" s="103" t="s">
        <v>580</v>
      </c>
      <c r="F2560" s="103" t="s">
        <v>581</v>
      </c>
      <c r="G2560" s="103" t="s">
        <v>582</v>
      </c>
      <c r="H2560" s="103" t="s">
        <v>583</v>
      </c>
    </row>
    <row r="2561" spans="1:8" s="318" customFormat="1">
      <c r="A2561" s="106"/>
      <c r="B2561" s="130" t="s">
        <v>1296</v>
      </c>
      <c r="C2561" s="229" t="s">
        <v>611</v>
      </c>
      <c r="D2561" s="130" t="s">
        <v>119</v>
      </c>
      <c r="E2561" s="130" t="s">
        <v>121</v>
      </c>
      <c r="F2561" s="230">
        <v>6.2700000000000006E-2</v>
      </c>
      <c r="G2561" s="494">
        <v>24.02</v>
      </c>
      <c r="H2561" s="494">
        <v>1.51</v>
      </c>
    </row>
    <row r="2562" spans="1:8" s="318" customFormat="1">
      <c r="A2562" s="106"/>
      <c r="B2562" s="130" t="s">
        <v>1297</v>
      </c>
      <c r="C2562" s="229" t="s">
        <v>612</v>
      </c>
      <c r="D2562" s="130" t="s">
        <v>119</v>
      </c>
      <c r="E2562" s="130" t="s">
        <v>121</v>
      </c>
      <c r="F2562" s="230">
        <v>6.2700000000000006E-2</v>
      </c>
      <c r="G2562" s="494">
        <v>30.62</v>
      </c>
      <c r="H2562" s="494">
        <v>1.92</v>
      </c>
    </row>
    <row r="2563" spans="1:8" s="318" customFormat="1" ht="12.75" customHeight="1">
      <c r="A2563" s="106"/>
      <c r="B2563" s="105"/>
      <c r="C2563" s="105"/>
      <c r="D2563" s="105"/>
      <c r="E2563" s="105"/>
      <c r="F2563" s="629" t="s">
        <v>610</v>
      </c>
      <c r="G2563" s="629"/>
      <c r="H2563" s="495">
        <v>3.43</v>
      </c>
    </row>
    <row r="2564" spans="1:8" s="318" customFormat="1" ht="12.75" customHeight="1">
      <c r="A2564" s="106"/>
      <c r="B2564" s="105"/>
      <c r="C2564" s="105"/>
      <c r="D2564" s="105"/>
      <c r="E2564" s="105"/>
      <c r="F2564" s="630" t="s">
        <v>464</v>
      </c>
      <c r="G2564" s="630"/>
      <c r="H2564" s="102">
        <v>23.18</v>
      </c>
    </row>
    <row r="2565" spans="1:8" s="318" customFormat="1">
      <c r="A2565" s="106"/>
      <c r="B2565" s="105"/>
      <c r="C2565" s="105"/>
      <c r="D2565" s="105"/>
      <c r="E2565" s="105"/>
      <c r="F2565" s="634"/>
      <c r="G2565" s="634"/>
      <c r="H2565" s="634"/>
    </row>
    <row r="2566" spans="1:8" s="220" customFormat="1" ht="27" customHeight="1">
      <c r="A2566" s="178" t="str">
        <f>'3 - PLAN. ORÇAMENTÁRIA'!A449</f>
        <v>5.3.1.11</v>
      </c>
      <c r="B2566" s="178">
        <f>VLOOKUP(A2566,'3 - PLAN. ORÇAMENTÁRIA'!$A$16:$B$721,2,FALSE)</f>
        <v>89813</v>
      </c>
      <c r="C2566" s="631" t="str">
        <f>VLOOKUP(A2566,'3 - PLAN. ORÇAMENTÁRIA'!$A$16:$C$721,3,FALSE)</f>
        <v>LUVA SIMPLES, PVC, SERIE NORMAL, ESGOTO PREDIAL, DN 50 MM, JUNTA ELÁSTICA, FORNECIDO E INSTALADO</v>
      </c>
      <c r="D2566" s="632"/>
      <c r="E2566" s="632"/>
      <c r="F2566" s="632"/>
      <c r="G2566" s="633"/>
      <c r="H2566" s="493" t="str">
        <f>VLOOKUP(A2566,'3 - PLAN. ORÇAMENTÁRIA'!$A$17:$E$721,5,FALSE)</f>
        <v>UN</v>
      </c>
    </row>
    <row r="2567" spans="1:8" s="318" customFormat="1">
      <c r="A2567" s="106"/>
      <c r="B2567" s="628" t="s">
        <v>593</v>
      </c>
      <c r="C2567" s="628"/>
      <c r="D2567" s="103" t="s">
        <v>579</v>
      </c>
      <c r="E2567" s="103" t="s">
        <v>580</v>
      </c>
      <c r="F2567" s="103" t="s">
        <v>581</v>
      </c>
      <c r="G2567" s="103" t="s">
        <v>582</v>
      </c>
      <c r="H2567" s="103" t="s">
        <v>583</v>
      </c>
    </row>
    <row r="2568" spans="1:8" s="318" customFormat="1">
      <c r="A2568" s="106"/>
      <c r="B2568" s="130" t="s">
        <v>1540</v>
      </c>
      <c r="C2568" s="229" t="s">
        <v>1541</v>
      </c>
      <c r="D2568" s="130" t="s">
        <v>119</v>
      </c>
      <c r="E2568" s="130" t="s">
        <v>144</v>
      </c>
      <c r="F2568" s="230">
        <v>7.3000000000000001E-3</v>
      </c>
      <c r="G2568" s="494">
        <v>72.86</v>
      </c>
      <c r="H2568" s="494">
        <v>0.53</v>
      </c>
    </row>
    <row r="2569" spans="1:8" s="318" customFormat="1">
      <c r="A2569" s="106"/>
      <c r="B2569" s="130" t="s">
        <v>673</v>
      </c>
      <c r="C2569" s="229" t="s">
        <v>3789</v>
      </c>
      <c r="D2569" s="130" t="s">
        <v>119</v>
      </c>
      <c r="E2569" s="130" t="s">
        <v>144</v>
      </c>
      <c r="F2569" s="230">
        <v>8.0000000000000002E-3</v>
      </c>
      <c r="G2569" s="494">
        <v>2.57</v>
      </c>
      <c r="H2569" s="494">
        <v>0.02</v>
      </c>
    </row>
    <row r="2570" spans="1:8" s="318" customFormat="1">
      <c r="A2570" s="106"/>
      <c r="B2570" s="130" t="s">
        <v>1639</v>
      </c>
      <c r="C2570" s="229" t="s">
        <v>1640</v>
      </c>
      <c r="D2570" s="130" t="s">
        <v>119</v>
      </c>
      <c r="E2570" s="130" t="s">
        <v>144</v>
      </c>
      <c r="F2570" s="230">
        <v>1</v>
      </c>
      <c r="G2570" s="494">
        <v>3.51</v>
      </c>
      <c r="H2570" s="494">
        <v>3.51</v>
      </c>
    </row>
    <row r="2571" spans="1:8" s="318" customFormat="1">
      <c r="A2571" s="106"/>
      <c r="B2571" s="130" t="s">
        <v>1542</v>
      </c>
      <c r="C2571" s="229" t="s">
        <v>1543</v>
      </c>
      <c r="D2571" s="130" t="s">
        <v>119</v>
      </c>
      <c r="E2571" s="130" t="s">
        <v>144</v>
      </c>
      <c r="F2571" s="230">
        <v>1.0999999999999999E-2</v>
      </c>
      <c r="G2571" s="494">
        <v>82.55</v>
      </c>
      <c r="H2571" s="494">
        <v>0.91</v>
      </c>
    </row>
    <row r="2572" spans="1:8" s="318" customFormat="1">
      <c r="A2572" s="106"/>
      <c r="B2572" s="105"/>
      <c r="C2572" s="105"/>
      <c r="D2572" s="105"/>
      <c r="E2572" s="105"/>
      <c r="F2572" s="629" t="s">
        <v>604</v>
      </c>
      <c r="G2572" s="629"/>
      <c r="H2572" s="495">
        <v>4.97</v>
      </c>
    </row>
    <row r="2573" spans="1:8" s="318" customFormat="1" ht="12.75" customHeight="1">
      <c r="A2573" s="106"/>
      <c r="B2573" s="628" t="s">
        <v>607</v>
      </c>
      <c r="C2573" s="628"/>
      <c r="D2573" s="103" t="s">
        <v>579</v>
      </c>
      <c r="E2573" s="103" t="s">
        <v>580</v>
      </c>
      <c r="F2573" s="103" t="s">
        <v>581</v>
      </c>
      <c r="G2573" s="103" t="s">
        <v>582</v>
      </c>
      <c r="H2573" s="103" t="s">
        <v>583</v>
      </c>
    </row>
    <row r="2574" spans="1:8" s="318" customFormat="1">
      <c r="A2574" s="106"/>
      <c r="B2574" s="130" t="s">
        <v>1296</v>
      </c>
      <c r="C2574" s="229" t="s">
        <v>611</v>
      </c>
      <c r="D2574" s="130" t="s">
        <v>119</v>
      </c>
      <c r="E2574" s="130" t="s">
        <v>121</v>
      </c>
      <c r="F2574" s="230">
        <v>2.2800000000000001E-2</v>
      </c>
      <c r="G2574" s="494">
        <v>24.02</v>
      </c>
      <c r="H2574" s="494">
        <v>0.55000000000000004</v>
      </c>
    </row>
    <row r="2575" spans="1:8" s="318" customFormat="1">
      <c r="A2575" s="106"/>
      <c r="B2575" s="130" t="s">
        <v>1297</v>
      </c>
      <c r="C2575" s="229" t="s">
        <v>612</v>
      </c>
      <c r="D2575" s="130" t="s">
        <v>119</v>
      </c>
      <c r="E2575" s="130" t="s">
        <v>121</v>
      </c>
      <c r="F2575" s="230">
        <v>2.2800000000000001E-2</v>
      </c>
      <c r="G2575" s="494">
        <v>30.62</v>
      </c>
      <c r="H2575" s="494">
        <v>0.7</v>
      </c>
    </row>
    <row r="2576" spans="1:8" s="318" customFormat="1" ht="12.75" customHeight="1">
      <c r="A2576" s="106"/>
      <c r="B2576" s="105"/>
      <c r="C2576" s="105"/>
      <c r="D2576" s="105"/>
      <c r="E2576" s="105"/>
      <c r="F2576" s="629" t="s">
        <v>610</v>
      </c>
      <c r="G2576" s="629"/>
      <c r="H2576" s="495">
        <v>1.25</v>
      </c>
    </row>
    <row r="2577" spans="1:8" s="318" customFormat="1" ht="12.75" customHeight="1">
      <c r="A2577" s="106"/>
      <c r="B2577" s="105"/>
      <c r="C2577" s="105"/>
      <c r="D2577" s="105"/>
      <c r="E2577" s="105"/>
      <c r="F2577" s="630" t="s">
        <v>464</v>
      </c>
      <c r="G2577" s="630"/>
      <c r="H2577" s="102">
        <v>6.19</v>
      </c>
    </row>
    <row r="2578" spans="1:8" s="318" customFormat="1">
      <c r="A2578" s="106"/>
      <c r="B2578" s="105"/>
      <c r="C2578" s="105"/>
      <c r="D2578" s="105"/>
      <c r="E2578" s="105"/>
      <c r="F2578" s="634"/>
      <c r="G2578" s="634"/>
      <c r="H2578" s="634"/>
    </row>
    <row r="2579" spans="1:8" s="220" customFormat="1" ht="27" customHeight="1">
      <c r="A2579" s="178" t="str">
        <f>'3 - PLAN. ORÇAMENTÁRIA'!A450</f>
        <v>5.3.1.12</v>
      </c>
      <c r="B2579" s="178">
        <f>VLOOKUP(A2579,'3 - PLAN. ORÇAMENTÁRIA'!$A$16:$B$721,2,FALSE)</f>
        <v>89565</v>
      </c>
      <c r="C2579" s="631" t="str">
        <f>VLOOKUP(A2579,'3 - PLAN. ORÇAMENTÁRIA'!$A$16:$C$721,3,FALSE)</f>
        <v>JUNÇÃO SIMPLES, PVC, SERIE R, ÁGUA PLUVIAL, DN 75 X 75 MM, JUNTA ELÁSTICA, FORNECIDO E INSTALADO</v>
      </c>
      <c r="D2579" s="632"/>
      <c r="E2579" s="632"/>
      <c r="F2579" s="632"/>
      <c r="G2579" s="633"/>
      <c r="H2579" s="493" t="str">
        <f>VLOOKUP(A2579,'3 - PLAN. ORÇAMENTÁRIA'!$A$17:$E$721,5,FALSE)</f>
        <v>UN</v>
      </c>
    </row>
    <row r="2580" spans="1:8" s="318" customFormat="1">
      <c r="A2580" s="106"/>
      <c r="B2580" s="628" t="s">
        <v>593</v>
      </c>
      <c r="C2580" s="628"/>
      <c r="D2580" s="103" t="s">
        <v>579</v>
      </c>
      <c r="E2580" s="103" t="s">
        <v>580</v>
      </c>
      <c r="F2580" s="103" t="s">
        <v>581</v>
      </c>
      <c r="G2580" s="103" t="s">
        <v>582</v>
      </c>
      <c r="H2580" s="103" t="s">
        <v>583</v>
      </c>
    </row>
    <row r="2581" spans="1:8" s="318" customFormat="1">
      <c r="A2581" s="106"/>
      <c r="B2581" s="130" t="s">
        <v>3315</v>
      </c>
      <c r="C2581" s="229" t="s">
        <v>3317</v>
      </c>
      <c r="D2581" s="130" t="s">
        <v>119</v>
      </c>
      <c r="E2581" s="130" t="s">
        <v>144</v>
      </c>
      <c r="F2581" s="230">
        <v>3</v>
      </c>
      <c r="G2581" s="494">
        <v>2.68</v>
      </c>
      <c r="H2581" s="494">
        <v>8.0399999999999991</v>
      </c>
    </row>
    <row r="2582" spans="1:8" s="318" customFormat="1">
      <c r="A2582" s="106"/>
      <c r="B2582" s="130" t="s">
        <v>3319</v>
      </c>
      <c r="C2582" s="229" t="s">
        <v>3320</v>
      </c>
      <c r="D2582" s="130" t="s">
        <v>119</v>
      </c>
      <c r="E2582" s="130" t="s">
        <v>144</v>
      </c>
      <c r="F2582" s="230">
        <v>1</v>
      </c>
      <c r="G2582" s="494">
        <v>39.26</v>
      </c>
      <c r="H2582" s="494">
        <v>39.26</v>
      </c>
    </row>
    <row r="2583" spans="1:8" s="318" customFormat="1" ht="25.5">
      <c r="A2583" s="106"/>
      <c r="B2583" s="130" t="s">
        <v>1629</v>
      </c>
      <c r="C2583" s="229" t="s">
        <v>1630</v>
      </c>
      <c r="D2583" s="130" t="s">
        <v>119</v>
      </c>
      <c r="E2583" s="130" t="s">
        <v>144</v>
      </c>
      <c r="F2583" s="230">
        <v>0.1125</v>
      </c>
      <c r="G2583" s="494">
        <v>30.07</v>
      </c>
      <c r="H2583" s="494">
        <v>3.38</v>
      </c>
    </row>
    <row r="2584" spans="1:8" s="318" customFormat="1">
      <c r="A2584" s="106"/>
      <c r="B2584" s="105"/>
      <c r="C2584" s="105"/>
      <c r="D2584" s="105"/>
      <c r="E2584" s="105"/>
      <c r="F2584" s="629" t="s">
        <v>604</v>
      </c>
      <c r="G2584" s="629"/>
      <c r="H2584" s="495">
        <v>50.68</v>
      </c>
    </row>
    <row r="2585" spans="1:8" s="318" customFormat="1" ht="12.75" customHeight="1">
      <c r="A2585" s="106"/>
      <c r="B2585" s="628" t="s">
        <v>607</v>
      </c>
      <c r="C2585" s="628"/>
      <c r="D2585" s="103" t="s">
        <v>579</v>
      </c>
      <c r="E2585" s="103" t="s">
        <v>580</v>
      </c>
      <c r="F2585" s="103" t="s">
        <v>581</v>
      </c>
      <c r="G2585" s="103" t="s">
        <v>582</v>
      </c>
      <c r="H2585" s="103" t="s">
        <v>583</v>
      </c>
    </row>
    <row r="2586" spans="1:8" s="318" customFormat="1">
      <c r="A2586" s="106"/>
      <c r="B2586" s="130" t="s">
        <v>1296</v>
      </c>
      <c r="C2586" s="229" t="s">
        <v>611</v>
      </c>
      <c r="D2586" s="130" t="s">
        <v>119</v>
      </c>
      <c r="E2586" s="130" t="s">
        <v>121</v>
      </c>
      <c r="F2586" s="230">
        <v>0.12540000000000001</v>
      </c>
      <c r="G2586" s="494">
        <v>24.02</v>
      </c>
      <c r="H2586" s="494">
        <v>3.01</v>
      </c>
    </row>
    <row r="2587" spans="1:8" s="318" customFormat="1">
      <c r="A2587" s="106"/>
      <c r="B2587" s="130" t="s">
        <v>1297</v>
      </c>
      <c r="C2587" s="229" t="s">
        <v>612</v>
      </c>
      <c r="D2587" s="130" t="s">
        <v>119</v>
      </c>
      <c r="E2587" s="130" t="s">
        <v>121</v>
      </c>
      <c r="F2587" s="230">
        <v>0.12540000000000001</v>
      </c>
      <c r="G2587" s="494">
        <v>30.62</v>
      </c>
      <c r="H2587" s="494">
        <v>3.84</v>
      </c>
    </row>
    <row r="2588" spans="1:8" s="318" customFormat="1" ht="12.75" customHeight="1">
      <c r="A2588" s="106"/>
      <c r="B2588" s="105"/>
      <c r="C2588" s="105"/>
      <c r="D2588" s="105"/>
      <c r="E2588" s="105"/>
      <c r="F2588" s="629" t="s">
        <v>610</v>
      </c>
      <c r="G2588" s="629"/>
      <c r="H2588" s="495">
        <v>6.85</v>
      </c>
    </row>
    <row r="2589" spans="1:8" s="318" customFormat="1" ht="12.75" customHeight="1">
      <c r="A2589" s="106"/>
      <c r="B2589" s="105"/>
      <c r="C2589" s="105"/>
      <c r="D2589" s="105"/>
      <c r="E2589" s="105"/>
      <c r="F2589" s="630" t="s">
        <v>464</v>
      </c>
      <c r="G2589" s="630"/>
      <c r="H2589" s="102">
        <v>57.52</v>
      </c>
    </row>
    <row r="2590" spans="1:8" s="318" customFormat="1">
      <c r="A2590" s="106"/>
      <c r="B2590" s="105"/>
      <c r="C2590" s="105"/>
      <c r="D2590" s="105"/>
      <c r="E2590" s="105"/>
      <c r="F2590" s="634"/>
      <c r="G2590" s="634"/>
      <c r="H2590" s="634"/>
    </row>
    <row r="2591" spans="1:8" s="220" customFormat="1" ht="27" customHeight="1">
      <c r="A2591" s="178" t="str">
        <f>'3 - PLAN. ORÇAMENTÁRIA'!A451</f>
        <v>5.3.1.13</v>
      </c>
      <c r="B2591" s="178">
        <f>VLOOKUP(A2591,'3 - PLAN. ORÇAMENTÁRIA'!$A$16:$B$721,2,FALSE)</f>
        <v>89850</v>
      </c>
      <c r="C2591" s="631" t="str">
        <f>VLOOKUP(A2591,'3 - PLAN. ORÇAMENTÁRIA'!$A$16:$C$721,3,FALSE)</f>
        <v>JOELHO 90 GRAUS, PVC, SERIE NORMAL, ESGOTO PREDIAL, DN 100 MM, JUNTA ELÁSTICA, FORNECIDO E INSTALADO</v>
      </c>
      <c r="D2591" s="632"/>
      <c r="E2591" s="632"/>
      <c r="F2591" s="632"/>
      <c r="G2591" s="633"/>
      <c r="H2591" s="493" t="str">
        <f>VLOOKUP(A2591,'3 - PLAN. ORÇAMENTÁRIA'!$A$17:$E$721,5,FALSE)</f>
        <v>UN</v>
      </c>
    </row>
    <row r="2592" spans="1:8" s="318" customFormat="1">
      <c r="A2592" s="106"/>
      <c r="B2592" s="628" t="s">
        <v>593</v>
      </c>
      <c r="C2592" s="628"/>
      <c r="D2592" s="103" t="s">
        <v>579</v>
      </c>
      <c r="E2592" s="103" t="s">
        <v>580</v>
      </c>
      <c r="F2592" s="103" t="s">
        <v>581</v>
      </c>
      <c r="G2592" s="103" t="s">
        <v>582</v>
      </c>
      <c r="H2592" s="103" t="s">
        <v>583</v>
      </c>
    </row>
    <row r="2593" spans="1:8" s="318" customFormat="1">
      <c r="A2593" s="106"/>
      <c r="B2593" s="130" t="s">
        <v>1627</v>
      </c>
      <c r="C2593" s="229" t="s">
        <v>1628</v>
      </c>
      <c r="D2593" s="130" t="s">
        <v>119</v>
      </c>
      <c r="E2593" s="130" t="s">
        <v>144</v>
      </c>
      <c r="F2593" s="230">
        <v>2</v>
      </c>
      <c r="G2593" s="494">
        <v>2.97</v>
      </c>
      <c r="H2593" s="494">
        <v>5.94</v>
      </c>
    </row>
    <row r="2594" spans="1:8" s="318" customFormat="1">
      <c r="A2594" s="106"/>
      <c r="B2594" s="130" t="s">
        <v>1645</v>
      </c>
      <c r="C2594" s="229" t="s">
        <v>1646</v>
      </c>
      <c r="D2594" s="130" t="s">
        <v>119</v>
      </c>
      <c r="E2594" s="130" t="s">
        <v>144</v>
      </c>
      <c r="F2594" s="230">
        <v>1</v>
      </c>
      <c r="G2594" s="494">
        <v>8.83</v>
      </c>
      <c r="H2594" s="494">
        <v>8.83</v>
      </c>
    </row>
    <row r="2595" spans="1:8" s="318" customFormat="1" ht="25.5">
      <c r="A2595" s="106"/>
      <c r="B2595" s="130" t="s">
        <v>1629</v>
      </c>
      <c r="C2595" s="229" t="s">
        <v>1630</v>
      </c>
      <c r="D2595" s="130" t="s">
        <v>119</v>
      </c>
      <c r="E2595" s="130" t="s">
        <v>144</v>
      </c>
      <c r="F2595" s="230">
        <v>0.115</v>
      </c>
      <c r="G2595" s="494">
        <v>30.07</v>
      </c>
      <c r="H2595" s="494">
        <v>3.46</v>
      </c>
    </row>
    <row r="2596" spans="1:8" s="318" customFormat="1">
      <c r="A2596" s="106"/>
      <c r="B2596" s="105"/>
      <c r="C2596" s="105"/>
      <c r="D2596" s="105"/>
      <c r="E2596" s="105"/>
      <c r="F2596" s="629" t="s">
        <v>604</v>
      </c>
      <c r="G2596" s="629"/>
      <c r="H2596" s="495">
        <v>18.23</v>
      </c>
    </row>
    <row r="2597" spans="1:8" s="318" customFormat="1" ht="12.75" customHeight="1">
      <c r="A2597" s="106"/>
      <c r="B2597" s="628" t="s">
        <v>607</v>
      </c>
      <c r="C2597" s="628"/>
      <c r="D2597" s="103" t="s">
        <v>579</v>
      </c>
      <c r="E2597" s="103" t="s">
        <v>580</v>
      </c>
      <c r="F2597" s="103" t="s">
        <v>581</v>
      </c>
      <c r="G2597" s="103" t="s">
        <v>582</v>
      </c>
      <c r="H2597" s="103" t="s">
        <v>583</v>
      </c>
    </row>
    <row r="2598" spans="1:8" s="318" customFormat="1">
      <c r="A2598" s="106"/>
      <c r="B2598" s="130" t="s">
        <v>1296</v>
      </c>
      <c r="C2598" s="229" t="s">
        <v>611</v>
      </c>
      <c r="D2598" s="130" t="s">
        <v>119</v>
      </c>
      <c r="E2598" s="130" t="s">
        <v>121</v>
      </c>
      <c r="F2598" s="230">
        <v>0.27739999999999998</v>
      </c>
      <c r="G2598" s="494">
        <v>24.02</v>
      </c>
      <c r="H2598" s="494">
        <v>6.66</v>
      </c>
    </row>
    <row r="2599" spans="1:8" s="318" customFormat="1">
      <c r="A2599" s="106"/>
      <c r="B2599" s="130" t="s">
        <v>1297</v>
      </c>
      <c r="C2599" s="229" t="s">
        <v>612</v>
      </c>
      <c r="D2599" s="130" t="s">
        <v>119</v>
      </c>
      <c r="E2599" s="130" t="s">
        <v>121</v>
      </c>
      <c r="F2599" s="230">
        <v>0.27739999999999998</v>
      </c>
      <c r="G2599" s="494">
        <v>30.62</v>
      </c>
      <c r="H2599" s="494">
        <v>8.49</v>
      </c>
    </row>
    <row r="2600" spans="1:8" s="318" customFormat="1" ht="12.75" customHeight="1">
      <c r="A2600" s="106"/>
      <c r="B2600" s="105"/>
      <c r="C2600" s="105"/>
      <c r="D2600" s="105"/>
      <c r="E2600" s="105"/>
      <c r="F2600" s="629" t="s">
        <v>610</v>
      </c>
      <c r="G2600" s="629"/>
      <c r="H2600" s="495">
        <v>15.15</v>
      </c>
    </row>
    <row r="2601" spans="1:8" s="318" customFormat="1" ht="12.75" customHeight="1">
      <c r="A2601" s="106"/>
      <c r="B2601" s="105"/>
      <c r="C2601" s="105"/>
      <c r="D2601" s="105"/>
      <c r="E2601" s="105"/>
      <c r="F2601" s="630" t="s">
        <v>464</v>
      </c>
      <c r="G2601" s="630"/>
      <c r="H2601" s="102">
        <v>33.369999999999997</v>
      </c>
    </row>
    <row r="2602" spans="1:8" s="318" customFormat="1">
      <c r="A2602" s="106"/>
      <c r="B2602" s="105"/>
      <c r="C2602" s="105"/>
      <c r="D2602" s="105"/>
      <c r="E2602" s="105"/>
      <c r="F2602" s="634"/>
      <c r="G2602" s="634"/>
      <c r="H2602" s="634"/>
    </row>
    <row r="2603" spans="1:8" s="220" customFormat="1" ht="27" customHeight="1">
      <c r="A2603" s="178" t="str">
        <f>'3 - PLAN. ORÇAMENTÁRIA'!A452</f>
        <v>5.3.1.14</v>
      </c>
      <c r="B2603" s="178">
        <f>VLOOKUP(A2603,'3 - PLAN. ORÇAMENTÁRIA'!$A$16:$B$721,2,FALSE)</f>
        <v>89529</v>
      </c>
      <c r="C2603" s="631" t="str">
        <f>VLOOKUP(A2603,'3 - PLAN. ORÇAMENTÁRIA'!$A$16:$C$721,3,FALSE)</f>
        <v>JOELHO 90 GRAUS, PVC, SERIE R, ÁGUA PLUVIAL, DN 100 MM, JUNTA ELÁSTICA, FORNECIDO E INSTALADO</v>
      </c>
      <c r="D2603" s="632"/>
      <c r="E2603" s="632"/>
      <c r="F2603" s="632"/>
      <c r="G2603" s="633"/>
      <c r="H2603" s="493" t="str">
        <f>VLOOKUP(A2603,'3 - PLAN. ORÇAMENTÁRIA'!$A$17:$E$721,5,FALSE)</f>
        <v>UN</v>
      </c>
    </row>
    <row r="2604" spans="1:8" s="318" customFormat="1">
      <c r="A2604" s="106"/>
      <c r="B2604" s="628" t="s">
        <v>593</v>
      </c>
      <c r="C2604" s="628"/>
      <c r="D2604" s="103" t="s">
        <v>579</v>
      </c>
      <c r="E2604" s="103" t="s">
        <v>580</v>
      </c>
      <c r="F2604" s="103" t="s">
        <v>581</v>
      </c>
      <c r="G2604" s="103" t="s">
        <v>582</v>
      </c>
      <c r="H2604" s="103" t="s">
        <v>583</v>
      </c>
    </row>
    <row r="2605" spans="1:8" s="318" customFormat="1">
      <c r="A2605" s="106"/>
      <c r="B2605" s="130" t="s">
        <v>3311</v>
      </c>
      <c r="C2605" s="229" t="s">
        <v>3312</v>
      </c>
      <c r="D2605" s="130" t="s">
        <v>119</v>
      </c>
      <c r="E2605" s="130" t="s">
        <v>144</v>
      </c>
      <c r="F2605" s="230">
        <v>2</v>
      </c>
      <c r="G2605" s="494">
        <v>3.48</v>
      </c>
      <c r="H2605" s="494">
        <v>6.96</v>
      </c>
    </row>
    <row r="2606" spans="1:8" s="318" customFormat="1">
      <c r="A2606" s="106"/>
      <c r="B2606" s="130" t="s">
        <v>3321</v>
      </c>
      <c r="C2606" s="229" t="s">
        <v>3322</v>
      </c>
      <c r="D2606" s="130" t="s">
        <v>119</v>
      </c>
      <c r="E2606" s="130" t="s">
        <v>144</v>
      </c>
      <c r="F2606" s="230">
        <v>1</v>
      </c>
      <c r="G2606" s="494">
        <v>20.63</v>
      </c>
      <c r="H2606" s="494">
        <v>20.63</v>
      </c>
    </row>
    <row r="2607" spans="1:8" s="318" customFormat="1" ht="25.5">
      <c r="A2607" s="106"/>
      <c r="B2607" s="130" t="s">
        <v>1629</v>
      </c>
      <c r="C2607" s="229" t="s">
        <v>1630</v>
      </c>
      <c r="D2607" s="130" t="s">
        <v>119</v>
      </c>
      <c r="E2607" s="130" t="s">
        <v>144</v>
      </c>
      <c r="F2607" s="230">
        <v>0.115</v>
      </c>
      <c r="G2607" s="494">
        <v>30.07</v>
      </c>
      <c r="H2607" s="494">
        <v>3.46</v>
      </c>
    </row>
    <row r="2608" spans="1:8" s="318" customFormat="1">
      <c r="A2608" s="106"/>
      <c r="B2608" s="105"/>
      <c r="C2608" s="105"/>
      <c r="D2608" s="105"/>
      <c r="E2608" s="105"/>
      <c r="F2608" s="629" t="s">
        <v>604</v>
      </c>
      <c r="G2608" s="629"/>
      <c r="H2608" s="495">
        <v>31.05</v>
      </c>
    </row>
    <row r="2609" spans="1:8" s="318" customFormat="1" ht="12.75" customHeight="1">
      <c r="A2609" s="106"/>
      <c r="B2609" s="628" t="s">
        <v>607</v>
      </c>
      <c r="C2609" s="628"/>
      <c r="D2609" s="103" t="s">
        <v>579</v>
      </c>
      <c r="E2609" s="103" t="s">
        <v>580</v>
      </c>
      <c r="F2609" s="103" t="s">
        <v>581</v>
      </c>
      <c r="G2609" s="103" t="s">
        <v>582</v>
      </c>
      <c r="H2609" s="103" t="s">
        <v>583</v>
      </c>
    </row>
    <row r="2610" spans="1:8" s="318" customFormat="1">
      <c r="A2610" s="106"/>
      <c r="B2610" s="130" t="s">
        <v>1296</v>
      </c>
      <c r="C2610" s="229" t="s">
        <v>611</v>
      </c>
      <c r="D2610" s="130" t="s">
        <v>119</v>
      </c>
      <c r="E2610" s="130" t="s">
        <v>121</v>
      </c>
      <c r="F2610" s="230">
        <v>0.1288</v>
      </c>
      <c r="G2610" s="494">
        <v>24.02</v>
      </c>
      <c r="H2610" s="494">
        <v>3.09</v>
      </c>
    </row>
    <row r="2611" spans="1:8" s="318" customFormat="1">
      <c r="A2611" s="106"/>
      <c r="B2611" s="130" t="s">
        <v>1297</v>
      </c>
      <c r="C2611" s="229" t="s">
        <v>612</v>
      </c>
      <c r="D2611" s="130" t="s">
        <v>119</v>
      </c>
      <c r="E2611" s="130" t="s">
        <v>121</v>
      </c>
      <c r="F2611" s="230">
        <v>0.1288</v>
      </c>
      <c r="G2611" s="494">
        <v>30.62</v>
      </c>
      <c r="H2611" s="494">
        <v>3.94</v>
      </c>
    </row>
    <row r="2612" spans="1:8" s="318" customFormat="1" ht="12.75" customHeight="1">
      <c r="A2612" s="106"/>
      <c r="B2612" s="105"/>
      <c r="C2612" s="105"/>
      <c r="D2612" s="105"/>
      <c r="E2612" s="105"/>
      <c r="F2612" s="629" t="s">
        <v>610</v>
      </c>
      <c r="G2612" s="629"/>
      <c r="H2612" s="495">
        <v>7.03</v>
      </c>
    </row>
    <row r="2613" spans="1:8" s="318" customFormat="1" ht="12.75" customHeight="1">
      <c r="A2613" s="106"/>
      <c r="B2613" s="105"/>
      <c r="C2613" s="105"/>
      <c r="D2613" s="105"/>
      <c r="E2613" s="105"/>
      <c r="F2613" s="630" t="s">
        <v>464</v>
      </c>
      <c r="G2613" s="630"/>
      <c r="H2613" s="102">
        <v>38.07</v>
      </c>
    </row>
    <row r="2614" spans="1:8" s="318" customFormat="1">
      <c r="A2614" s="106"/>
      <c r="B2614" s="105"/>
      <c r="C2614" s="105"/>
      <c r="D2614" s="105"/>
      <c r="E2614" s="105"/>
      <c r="F2614" s="634"/>
      <c r="G2614" s="634"/>
      <c r="H2614" s="634"/>
    </row>
    <row r="2615" spans="1:8" s="220" customFormat="1" ht="27" customHeight="1">
      <c r="A2615" s="178" t="str">
        <f>'3 - PLAN. ORÇAMENTÁRIA'!A453</f>
        <v>5.3.1.15</v>
      </c>
      <c r="B2615" s="178">
        <f>VLOOKUP(A2615,'3 - PLAN. ORÇAMENTÁRIA'!$A$16:$B$721,2,FALSE)</f>
        <v>89522</v>
      </c>
      <c r="C2615" s="631" t="str">
        <f>VLOOKUP(A2615,'3 - PLAN. ORÇAMENTÁRIA'!$A$16:$C$721,3,FALSE)</f>
        <v>JOELHO 90 GRAUS, PVC, SERIE R, ÁGUA PLUVIAL, DN 75 MM, JUNTA ELÁSTICA, FORNECIDO E INSTALADO</v>
      </c>
      <c r="D2615" s="632"/>
      <c r="E2615" s="632"/>
      <c r="F2615" s="632"/>
      <c r="G2615" s="633"/>
      <c r="H2615" s="493" t="str">
        <f>VLOOKUP(A2615,'3 - PLAN. ORÇAMENTÁRIA'!$A$17:$E$721,5,FALSE)</f>
        <v>UN</v>
      </c>
    </row>
    <row r="2616" spans="1:8" s="318" customFormat="1">
      <c r="A2616" s="106"/>
      <c r="B2616" s="628" t="s">
        <v>593</v>
      </c>
      <c r="C2616" s="628"/>
      <c r="D2616" s="103" t="s">
        <v>579</v>
      </c>
      <c r="E2616" s="103" t="s">
        <v>580</v>
      </c>
      <c r="F2616" s="103" t="s">
        <v>581</v>
      </c>
      <c r="G2616" s="103" t="s">
        <v>582</v>
      </c>
      <c r="H2616" s="103" t="s">
        <v>583</v>
      </c>
    </row>
    <row r="2617" spans="1:8" s="318" customFormat="1">
      <c r="A2617" s="106"/>
      <c r="B2617" s="130" t="s">
        <v>3315</v>
      </c>
      <c r="C2617" s="229" t="s">
        <v>3317</v>
      </c>
      <c r="D2617" s="130" t="s">
        <v>119</v>
      </c>
      <c r="E2617" s="130" t="s">
        <v>144</v>
      </c>
      <c r="F2617" s="230">
        <v>2</v>
      </c>
      <c r="G2617" s="494">
        <v>2.68</v>
      </c>
      <c r="H2617" s="494">
        <v>5.36</v>
      </c>
    </row>
    <row r="2618" spans="1:8" s="318" customFormat="1">
      <c r="A2618" s="106"/>
      <c r="B2618" s="130" t="s">
        <v>3323</v>
      </c>
      <c r="C2618" s="229" t="s">
        <v>3399</v>
      </c>
      <c r="D2618" s="130" t="s">
        <v>119</v>
      </c>
      <c r="E2618" s="130" t="s">
        <v>144</v>
      </c>
      <c r="F2618" s="230">
        <v>1</v>
      </c>
      <c r="G2618" s="494">
        <v>17.89</v>
      </c>
      <c r="H2618" s="494">
        <v>17.89</v>
      </c>
    </row>
    <row r="2619" spans="1:8" s="318" customFormat="1" ht="25.5">
      <c r="A2619" s="106"/>
      <c r="B2619" s="130" t="s">
        <v>1629</v>
      </c>
      <c r="C2619" s="229" t="s">
        <v>1630</v>
      </c>
      <c r="D2619" s="130" t="s">
        <v>119</v>
      </c>
      <c r="E2619" s="130" t="s">
        <v>144</v>
      </c>
      <c r="F2619" s="230">
        <v>7.4999999999999997E-2</v>
      </c>
      <c r="G2619" s="494">
        <v>30.07</v>
      </c>
      <c r="H2619" s="494">
        <v>2.2599999999999998</v>
      </c>
    </row>
    <row r="2620" spans="1:8" s="318" customFormat="1">
      <c r="A2620" s="106"/>
      <c r="B2620" s="105"/>
      <c r="C2620" s="105"/>
      <c r="D2620" s="105"/>
      <c r="E2620" s="105"/>
      <c r="F2620" s="629" t="s">
        <v>604</v>
      </c>
      <c r="G2620" s="629"/>
      <c r="H2620" s="495">
        <v>25.51</v>
      </c>
    </row>
    <row r="2621" spans="1:8" s="318" customFormat="1" ht="12.75" customHeight="1">
      <c r="A2621" s="106"/>
      <c r="B2621" s="628" t="s">
        <v>607</v>
      </c>
      <c r="C2621" s="628"/>
      <c r="D2621" s="103" t="s">
        <v>579</v>
      </c>
      <c r="E2621" s="103" t="s">
        <v>580</v>
      </c>
      <c r="F2621" s="103" t="s">
        <v>581</v>
      </c>
      <c r="G2621" s="103" t="s">
        <v>582</v>
      </c>
      <c r="H2621" s="103" t="s">
        <v>583</v>
      </c>
    </row>
    <row r="2622" spans="1:8" s="318" customFormat="1">
      <c r="A2622" s="106"/>
      <c r="B2622" s="130" t="s">
        <v>1296</v>
      </c>
      <c r="C2622" s="229" t="s">
        <v>611</v>
      </c>
      <c r="D2622" s="130" t="s">
        <v>119</v>
      </c>
      <c r="E2622" s="130" t="s">
        <v>121</v>
      </c>
      <c r="F2622" s="230">
        <v>9.4100000000000003E-2</v>
      </c>
      <c r="G2622" s="494">
        <v>24.02</v>
      </c>
      <c r="H2622" s="494">
        <v>2.2599999999999998</v>
      </c>
    </row>
    <row r="2623" spans="1:8" s="318" customFormat="1">
      <c r="A2623" s="106"/>
      <c r="B2623" s="130" t="s">
        <v>1297</v>
      </c>
      <c r="C2623" s="229" t="s">
        <v>612</v>
      </c>
      <c r="D2623" s="130" t="s">
        <v>119</v>
      </c>
      <c r="E2623" s="130" t="s">
        <v>121</v>
      </c>
      <c r="F2623" s="230">
        <v>9.4100000000000003E-2</v>
      </c>
      <c r="G2623" s="494">
        <v>30.62</v>
      </c>
      <c r="H2623" s="494">
        <v>2.88</v>
      </c>
    </row>
    <row r="2624" spans="1:8" s="318" customFormat="1" ht="12.75" customHeight="1">
      <c r="A2624" s="106"/>
      <c r="B2624" s="105"/>
      <c r="C2624" s="105"/>
      <c r="D2624" s="105"/>
      <c r="E2624" s="105"/>
      <c r="F2624" s="629" t="s">
        <v>610</v>
      </c>
      <c r="G2624" s="629"/>
      <c r="H2624" s="495">
        <v>5.14</v>
      </c>
    </row>
    <row r="2625" spans="1:8" s="318" customFormat="1" ht="12.75" customHeight="1">
      <c r="A2625" s="106"/>
      <c r="B2625" s="105"/>
      <c r="C2625" s="105"/>
      <c r="D2625" s="105"/>
      <c r="E2625" s="105"/>
      <c r="F2625" s="630" t="s">
        <v>464</v>
      </c>
      <c r="G2625" s="630"/>
      <c r="H2625" s="102">
        <v>30.64</v>
      </c>
    </row>
    <row r="2626" spans="1:8" s="318" customFormat="1">
      <c r="A2626" s="106"/>
      <c r="B2626" s="105"/>
      <c r="C2626" s="105"/>
      <c r="D2626" s="105"/>
      <c r="E2626" s="105"/>
      <c r="F2626" s="634"/>
      <c r="G2626" s="634"/>
      <c r="H2626" s="634"/>
    </row>
    <row r="2627" spans="1:8" s="220" customFormat="1" ht="27" customHeight="1">
      <c r="A2627" s="178" t="str">
        <f>'3 - PLAN. ORÇAMENTÁRIA'!A454</f>
        <v>5.3.1.16</v>
      </c>
      <c r="B2627" s="178">
        <f>VLOOKUP(A2627,'3 - PLAN. ORÇAMENTÁRIA'!$A$16:$B$721,2,FALSE)</f>
        <v>89801</v>
      </c>
      <c r="C2627" s="631" t="str">
        <f>VLOOKUP(A2627,'3 - PLAN. ORÇAMENTÁRIA'!$A$16:$C$721,3,FALSE)</f>
        <v>JOELHO 90 GRAUS, PVC, SERIE NORMAL, ESGOTO PREDIAL, DN 50 MM, JUNTA ELÁSTICA, FORNECIDO E INSTALADO</v>
      </c>
      <c r="D2627" s="632"/>
      <c r="E2627" s="632"/>
      <c r="F2627" s="632"/>
      <c r="G2627" s="633"/>
      <c r="H2627" s="493" t="str">
        <f>VLOOKUP(A2627,'3 - PLAN. ORÇAMENTÁRIA'!$A$17:$E$721,5,FALSE)</f>
        <v>UN</v>
      </c>
    </row>
    <row r="2628" spans="1:8" s="318" customFormat="1">
      <c r="A2628" s="106"/>
      <c r="B2628" s="628" t="s">
        <v>593</v>
      </c>
      <c r="C2628" s="628"/>
      <c r="D2628" s="103" t="s">
        <v>579</v>
      </c>
      <c r="E2628" s="103" t="s">
        <v>580</v>
      </c>
      <c r="F2628" s="103" t="s">
        <v>581</v>
      </c>
      <c r="G2628" s="103" t="s">
        <v>582</v>
      </c>
      <c r="H2628" s="103" t="s">
        <v>583</v>
      </c>
    </row>
    <row r="2629" spans="1:8" s="318" customFormat="1">
      <c r="A2629" s="106"/>
      <c r="B2629" s="130" t="s">
        <v>1631</v>
      </c>
      <c r="C2629" s="229" t="s">
        <v>1632</v>
      </c>
      <c r="D2629" s="130" t="s">
        <v>119</v>
      </c>
      <c r="E2629" s="130" t="s">
        <v>144</v>
      </c>
      <c r="F2629" s="230">
        <v>2</v>
      </c>
      <c r="G2629" s="494">
        <v>1.68</v>
      </c>
      <c r="H2629" s="494">
        <v>3.36</v>
      </c>
    </row>
    <row r="2630" spans="1:8" s="318" customFormat="1">
      <c r="A2630" s="106"/>
      <c r="B2630" s="130" t="s">
        <v>1647</v>
      </c>
      <c r="C2630" s="229" t="s">
        <v>1648</v>
      </c>
      <c r="D2630" s="130" t="s">
        <v>119</v>
      </c>
      <c r="E2630" s="130" t="s">
        <v>144</v>
      </c>
      <c r="F2630" s="230">
        <v>1</v>
      </c>
      <c r="G2630" s="494">
        <v>3.25</v>
      </c>
      <c r="H2630" s="494">
        <v>3.25</v>
      </c>
    </row>
    <row r="2631" spans="1:8" s="318" customFormat="1" ht="25.5">
      <c r="A2631" s="106"/>
      <c r="B2631" s="130" t="s">
        <v>1629</v>
      </c>
      <c r="C2631" s="229" t="s">
        <v>1630</v>
      </c>
      <c r="D2631" s="130" t="s">
        <v>119</v>
      </c>
      <c r="E2631" s="130" t="s">
        <v>144</v>
      </c>
      <c r="F2631" s="230">
        <v>0.05</v>
      </c>
      <c r="G2631" s="494">
        <v>30.07</v>
      </c>
      <c r="H2631" s="494">
        <v>1.5</v>
      </c>
    </row>
    <row r="2632" spans="1:8" s="318" customFormat="1">
      <c r="A2632" s="106"/>
      <c r="B2632" s="105"/>
      <c r="C2632" s="105"/>
      <c r="D2632" s="105"/>
      <c r="E2632" s="105"/>
      <c r="F2632" s="629" t="s">
        <v>604</v>
      </c>
      <c r="G2632" s="629"/>
      <c r="H2632" s="495">
        <v>8.11</v>
      </c>
    </row>
    <row r="2633" spans="1:8" s="318" customFormat="1" ht="12.75" customHeight="1">
      <c r="A2633" s="106"/>
      <c r="B2633" s="628" t="s">
        <v>607</v>
      </c>
      <c r="C2633" s="628"/>
      <c r="D2633" s="103" t="s">
        <v>579</v>
      </c>
      <c r="E2633" s="103" t="s">
        <v>580</v>
      </c>
      <c r="F2633" s="103" t="s">
        <v>581</v>
      </c>
      <c r="G2633" s="103" t="s">
        <v>582</v>
      </c>
      <c r="H2633" s="103" t="s">
        <v>583</v>
      </c>
    </row>
    <row r="2634" spans="1:8" s="318" customFormat="1">
      <c r="A2634" s="106"/>
      <c r="B2634" s="130" t="s">
        <v>1296</v>
      </c>
      <c r="C2634" s="229" t="s">
        <v>611</v>
      </c>
      <c r="D2634" s="130" t="s">
        <v>119</v>
      </c>
      <c r="E2634" s="130" t="s">
        <v>121</v>
      </c>
      <c r="F2634" s="230">
        <v>3.4299999999999997E-2</v>
      </c>
      <c r="G2634" s="494">
        <v>24.02</v>
      </c>
      <c r="H2634" s="494">
        <v>0.82</v>
      </c>
    </row>
    <row r="2635" spans="1:8" s="318" customFormat="1">
      <c r="A2635" s="106"/>
      <c r="B2635" s="130" t="s">
        <v>1297</v>
      </c>
      <c r="C2635" s="229" t="s">
        <v>612</v>
      </c>
      <c r="D2635" s="130" t="s">
        <v>119</v>
      </c>
      <c r="E2635" s="130" t="s">
        <v>121</v>
      </c>
      <c r="F2635" s="230">
        <v>3.4299999999999997E-2</v>
      </c>
      <c r="G2635" s="494">
        <v>30.62</v>
      </c>
      <c r="H2635" s="494">
        <v>1.05</v>
      </c>
    </row>
    <row r="2636" spans="1:8" s="318" customFormat="1" ht="12.75" customHeight="1">
      <c r="A2636" s="106"/>
      <c r="B2636" s="105"/>
      <c r="C2636" s="105"/>
      <c r="D2636" s="105"/>
      <c r="E2636" s="105"/>
      <c r="F2636" s="629" t="s">
        <v>610</v>
      </c>
      <c r="G2636" s="629"/>
      <c r="H2636" s="495">
        <v>1.87</v>
      </c>
    </row>
    <row r="2637" spans="1:8" s="318" customFormat="1" ht="12.75" customHeight="1">
      <c r="A2637" s="106"/>
      <c r="B2637" s="105"/>
      <c r="C2637" s="105"/>
      <c r="D2637" s="105"/>
      <c r="E2637" s="105"/>
      <c r="F2637" s="630" t="s">
        <v>464</v>
      </c>
      <c r="G2637" s="630"/>
      <c r="H2637" s="102">
        <v>9.98</v>
      </c>
    </row>
    <row r="2638" spans="1:8" s="318" customFormat="1">
      <c r="A2638" s="106"/>
      <c r="B2638" s="105"/>
      <c r="C2638" s="105"/>
      <c r="D2638" s="105"/>
      <c r="E2638" s="105"/>
      <c r="F2638" s="634"/>
      <c r="G2638" s="634"/>
      <c r="H2638" s="634"/>
    </row>
    <row r="2639" spans="1:8" s="220" customFormat="1" ht="27" customHeight="1">
      <c r="A2639" s="178" t="str">
        <f>'3 - PLAN. ORÇAMENTÁRIA'!A455</f>
        <v>5.3.1.17</v>
      </c>
      <c r="B2639" s="178">
        <f>VLOOKUP(A2639,'3 - PLAN. ORÇAMENTÁRIA'!$A$16:$B$721,2,FALSE)</f>
        <v>89810</v>
      </c>
      <c r="C2639" s="631" t="str">
        <f>VLOOKUP(A2639,'3 - PLAN. ORÇAMENTÁRIA'!$A$16:$C$721,3,FALSE)</f>
        <v>JOELHO 45 GRAUS, PVC, SERIE NORMAL, ESGOTO PREDIAL, DN 100 MM, JUNTA ELÁSTICA, FORNECIDO E INSTALADO</v>
      </c>
      <c r="D2639" s="632"/>
      <c r="E2639" s="632"/>
      <c r="F2639" s="632"/>
      <c r="G2639" s="633"/>
      <c r="H2639" s="493" t="str">
        <f>VLOOKUP(A2639,'3 - PLAN. ORÇAMENTÁRIA'!$A$17:$E$721,5,FALSE)</f>
        <v>UN</v>
      </c>
    </row>
    <row r="2640" spans="1:8" s="318" customFormat="1">
      <c r="A2640" s="106"/>
      <c r="B2640" s="628" t="s">
        <v>593</v>
      </c>
      <c r="C2640" s="628"/>
      <c r="D2640" s="103" t="s">
        <v>579</v>
      </c>
      <c r="E2640" s="103" t="s">
        <v>580</v>
      </c>
      <c r="F2640" s="103" t="s">
        <v>581</v>
      </c>
      <c r="G2640" s="103" t="s">
        <v>582</v>
      </c>
      <c r="H2640" s="103" t="s">
        <v>583</v>
      </c>
    </row>
    <row r="2641" spans="1:8" s="318" customFormat="1">
      <c r="A2641" s="106"/>
      <c r="B2641" s="130" t="s">
        <v>1627</v>
      </c>
      <c r="C2641" s="229" t="s">
        <v>1628</v>
      </c>
      <c r="D2641" s="130" t="s">
        <v>119</v>
      </c>
      <c r="E2641" s="130" t="s">
        <v>144</v>
      </c>
      <c r="F2641" s="230">
        <v>2</v>
      </c>
      <c r="G2641" s="494">
        <v>2.97</v>
      </c>
      <c r="H2641" s="494">
        <v>5.94</v>
      </c>
    </row>
    <row r="2642" spans="1:8" s="318" customFormat="1">
      <c r="A2642" s="106"/>
      <c r="B2642" s="130" t="s">
        <v>1651</v>
      </c>
      <c r="C2642" s="229" t="s">
        <v>1652</v>
      </c>
      <c r="D2642" s="130" t="s">
        <v>119</v>
      </c>
      <c r="E2642" s="130" t="s">
        <v>144</v>
      </c>
      <c r="F2642" s="230">
        <v>1</v>
      </c>
      <c r="G2642" s="494">
        <v>9.7200000000000006</v>
      </c>
      <c r="H2642" s="494">
        <v>9.7200000000000006</v>
      </c>
    </row>
    <row r="2643" spans="1:8" s="318" customFormat="1" ht="25.5">
      <c r="A2643" s="106"/>
      <c r="B2643" s="130" t="s">
        <v>1629</v>
      </c>
      <c r="C2643" s="229" t="s">
        <v>1630</v>
      </c>
      <c r="D2643" s="130" t="s">
        <v>119</v>
      </c>
      <c r="E2643" s="130" t="s">
        <v>144</v>
      </c>
      <c r="F2643" s="230">
        <v>0.115</v>
      </c>
      <c r="G2643" s="494">
        <v>30.07</v>
      </c>
      <c r="H2643" s="494">
        <v>3.46</v>
      </c>
    </row>
    <row r="2644" spans="1:8" s="318" customFormat="1">
      <c r="A2644" s="106"/>
      <c r="B2644" s="105"/>
      <c r="C2644" s="105"/>
      <c r="D2644" s="105"/>
      <c r="E2644" s="105"/>
      <c r="F2644" s="629" t="s">
        <v>604</v>
      </c>
      <c r="G2644" s="629"/>
      <c r="H2644" s="495">
        <v>19.12</v>
      </c>
    </row>
    <row r="2645" spans="1:8" s="318" customFormat="1" ht="12.75" customHeight="1">
      <c r="A2645" s="106"/>
      <c r="B2645" s="628" t="s">
        <v>607</v>
      </c>
      <c r="C2645" s="628"/>
      <c r="D2645" s="103" t="s">
        <v>579</v>
      </c>
      <c r="E2645" s="103" t="s">
        <v>580</v>
      </c>
      <c r="F2645" s="103" t="s">
        <v>581</v>
      </c>
      <c r="G2645" s="103" t="s">
        <v>582</v>
      </c>
      <c r="H2645" s="103" t="s">
        <v>583</v>
      </c>
    </row>
    <row r="2646" spans="1:8" s="318" customFormat="1">
      <c r="A2646" s="106"/>
      <c r="B2646" s="130" t="s">
        <v>1296</v>
      </c>
      <c r="C2646" s="229" t="s">
        <v>611</v>
      </c>
      <c r="D2646" s="130" t="s">
        <v>119</v>
      </c>
      <c r="E2646" s="130" t="s">
        <v>121</v>
      </c>
      <c r="F2646" s="230">
        <v>0.2172</v>
      </c>
      <c r="G2646" s="494">
        <v>24.02</v>
      </c>
      <c r="H2646" s="494">
        <v>5.22</v>
      </c>
    </row>
    <row r="2647" spans="1:8" s="318" customFormat="1">
      <c r="A2647" s="106"/>
      <c r="B2647" s="130" t="s">
        <v>1297</v>
      </c>
      <c r="C2647" s="229" t="s">
        <v>612</v>
      </c>
      <c r="D2647" s="130" t="s">
        <v>119</v>
      </c>
      <c r="E2647" s="130" t="s">
        <v>121</v>
      </c>
      <c r="F2647" s="230">
        <v>0.2172</v>
      </c>
      <c r="G2647" s="494">
        <v>30.62</v>
      </c>
      <c r="H2647" s="494">
        <v>6.65</v>
      </c>
    </row>
    <row r="2648" spans="1:8" s="318" customFormat="1" ht="12.75" customHeight="1">
      <c r="A2648" s="106"/>
      <c r="B2648" s="105"/>
      <c r="C2648" s="105"/>
      <c r="D2648" s="105"/>
      <c r="E2648" s="105"/>
      <c r="F2648" s="629" t="s">
        <v>610</v>
      </c>
      <c r="G2648" s="629"/>
      <c r="H2648" s="495">
        <v>11.87</v>
      </c>
    </row>
    <row r="2649" spans="1:8" s="318" customFormat="1" ht="12.75" customHeight="1">
      <c r="A2649" s="106"/>
      <c r="B2649" s="105"/>
      <c r="C2649" s="105"/>
      <c r="D2649" s="105"/>
      <c r="E2649" s="105"/>
      <c r="F2649" s="630" t="s">
        <v>464</v>
      </c>
      <c r="G2649" s="630"/>
      <c r="H2649" s="102">
        <v>30.97</v>
      </c>
    </row>
    <row r="2650" spans="1:8" s="318" customFormat="1">
      <c r="A2650" s="106"/>
      <c r="B2650" s="105"/>
      <c r="C2650" s="105"/>
      <c r="D2650" s="105"/>
      <c r="E2650" s="105"/>
      <c r="F2650" s="634"/>
      <c r="G2650" s="634"/>
      <c r="H2650" s="634"/>
    </row>
    <row r="2651" spans="1:8" s="220" customFormat="1" ht="27" customHeight="1">
      <c r="A2651" s="178" t="str">
        <f>'3 - PLAN. ORÇAMENTÁRIA'!A456</f>
        <v>5.3.1.18</v>
      </c>
      <c r="B2651" s="178">
        <f>VLOOKUP(A2651,'3 - PLAN. ORÇAMENTÁRIA'!$A$16:$B$721,2,FALSE)</f>
        <v>89531</v>
      </c>
      <c r="C2651" s="631" t="str">
        <f>VLOOKUP(A2651,'3 - PLAN. ORÇAMENTÁRIA'!$A$16:$C$721,3,FALSE)</f>
        <v>JOELHO 45 GRAUS, PVC, SERIE R, ÁGUA PLUVIAL, DN 100 MM, JUNTA ELÁSTICA, FORNECIDO E INSTALADO</v>
      </c>
      <c r="D2651" s="632"/>
      <c r="E2651" s="632"/>
      <c r="F2651" s="632"/>
      <c r="G2651" s="633"/>
      <c r="H2651" s="493" t="str">
        <f>VLOOKUP(A2651,'3 - PLAN. ORÇAMENTÁRIA'!$A$17:$E$721,5,FALSE)</f>
        <v>UN</v>
      </c>
    </row>
    <row r="2652" spans="1:8" s="318" customFormat="1">
      <c r="A2652" s="106"/>
      <c r="B2652" s="628" t="s">
        <v>593</v>
      </c>
      <c r="C2652" s="628"/>
      <c r="D2652" s="103" t="s">
        <v>579</v>
      </c>
      <c r="E2652" s="103" t="s">
        <v>580</v>
      </c>
      <c r="F2652" s="103" t="s">
        <v>581</v>
      </c>
      <c r="G2652" s="103" t="s">
        <v>582</v>
      </c>
      <c r="H2652" s="103" t="s">
        <v>583</v>
      </c>
    </row>
    <row r="2653" spans="1:8" s="318" customFormat="1">
      <c r="A2653" s="106"/>
      <c r="B2653" s="130" t="s">
        <v>3311</v>
      </c>
      <c r="C2653" s="229" t="s">
        <v>3312</v>
      </c>
      <c r="D2653" s="130" t="s">
        <v>119</v>
      </c>
      <c r="E2653" s="130" t="s">
        <v>144</v>
      </c>
      <c r="F2653" s="230">
        <v>2</v>
      </c>
      <c r="G2653" s="494">
        <v>3.48</v>
      </c>
      <c r="H2653" s="494">
        <v>6.96</v>
      </c>
    </row>
    <row r="2654" spans="1:8" s="318" customFormat="1">
      <c r="A2654" s="106"/>
      <c r="B2654" s="130" t="s">
        <v>3324</v>
      </c>
      <c r="C2654" s="229" t="s">
        <v>3325</v>
      </c>
      <c r="D2654" s="130" t="s">
        <v>119</v>
      </c>
      <c r="E2654" s="130" t="s">
        <v>144</v>
      </c>
      <c r="F2654" s="230">
        <v>1</v>
      </c>
      <c r="G2654" s="494">
        <v>21.71</v>
      </c>
      <c r="H2654" s="494">
        <v>21.71</v>
      </c>
    </row>
    <row r="2655" spans="1:8" s="318" customFormat="1" ht="25.5">
      <c r="A2655" s="106"/>
      <c r="B2655" s="130" t="s">
        <v>1629</v>
      </c>
      <c r="C2655" s="229" t="s">
        <v>1630</v>
      </c>
      <c r="D2655" s="130" t="s">
        <v>119</v>
      </c>
      <c r="E2655" s="130" t="s">
        <v>144</v>
      </c>
      <c r="F2655" s="230">
        <v>0.115</v>
      </c>
      <c r="G2655" s="494">
        <v>30.07</v>
      </c>
      <c r="H2655" s="494">
        <v>3.46</v>
      </c>
    </row>
    <row r="2656" spans="1:8" s="318" customFormat="1">
      <c r="A2656" s="106"/>
      <c r="B2656" s="105"/>
      <c r="C2656" s="105"/>
      <c r="D2656" s="105"/>
      <c r="E2656" s="105"/>
      <c r="F2656" s="629" t="s">
        <v>604</v>
      </c>
      <c r="G2656" s="629"/>
      <c r="H2656" s="495">
        <v>32.130000000000003</v>
      </c>
    </row>
    <row r="2657" spans="1:8" s="318" customFormat="1" ht="12.75" customHeight="1">
      <c r="A2657" s="106"/>
      <c r="B2657" s="628" t="s">
        <v>607</v>
      </c>
      <c r="C2657" s="628"/>
      <c r="D2657" s="103" t="s">
        <v>579</v>
      </c>
      <c r="E2657" s="103" t="s">
        <v>580</v>
      </c>
      <c r="F2657" s="103" t="s">
        <v>581</v>
      </c>
      <c r="G2657" s="103" t="s">
        <v>582</v>
      </c>
      <c r="H2657" s="103" t="s">
        <v>583</v>
      </c>
    </row>
    <row r="2658" spans="1:8" s="318" customFormat="1">
      <c r="A2658" s="106"/>
      <c r="B2658" s="130" t="s">
        <v>1296</v>
      </c>
      <c r="C2658" s="229" t="s">
        <v>611</v>
      </c>
      <c r="D2658" s="130" t="s">
        <v>119</v>
      </c>
      <c r="E2658" s="130" t="s">
        <v>121</v>
      </c>
      <c r="F2658" s="230">
        <v>0.1288</v>
      </c>
      <c r="G2658" s="494">
        <v>24.02</v>
      </c>
      <c r="H2658" s="494">
        <v>3.09</v>
      </c>
    </row>
    <row r="2659" spans="1:8" s="318" customFormat="1">
      <c r="A2659" s="106"/>
      <c r="B2659" s="130" t="s">
        <v>1297</v>
      </c>
      <c r="C2659" s="229" t="s">
        <v>612</v>
      </c>
      <c r="D2659" s="130" t="s">
        <v>119</v>
      </c>
      <c r="E2659" s="130" t="s">
        <v>121</v>
      </c>
      <c r="F2659" s="230">
        <v>0.1288</v>
      </c>
      <c r="G2659" s="494">
        <v>30.62</v>
      </c>
      <c r="H2659" s="494">
        <v>3.94</v>
      </c>
    </row>
    <row r="2660" spans="1:8" s="318" customFormat="1" ht="12.75" customHeight="1">
      <c r="A2660" s="106"/>
      <c r="B2660" s="105"/>
      <c r="C2660" s="105"/>
      <c r="D2660" s="105"/>
      <c r="E2660" s="105"/>
      <c r="F2660" s="629" t="s">
        <v>610</v>
      </c>
      <c r="G2660" s="629"/>
      <c r="H2660" s="495">
        <v>7.03</v>
      </c>
    </row>
    <row r="2661" spans="1:8" s="318" customFormat="1" ht="12.75" customHeight="1">
      <c r="A2661" s="106"/>
      <c r="B2661" s="105"/>
      <c r="C2661" s="105"/>
      <c r="D2661" s="105"/>
      <c r="E2661" s="105"/>
      <c r="F2661" s="630" t="s">
        <v>464</v>
      </c>
      <c r="G2661" s="630"/>
      <c r="H2661" s="102">
        <v>39.15</v>
      </c>
    </row>
    <row r="2662" spans="1:8" s="318" customFormat="1">
      <c r="A2662" s="106"/>
      <c r="B2662" s="105"/>
      <c r="C2662" s="105"/>
      <c r="D2662" s="105"/>
      <c r="E2662" s="105"/>
      <c r="F2662" s="634"/>
      <c r="G2662" s="634"/>
      <c r="H2662" s="634"/>
    </row>
    <row r="2663" spans="1:8" s="220" customFormat="1" ht="27" customHeight="1">
      <c r="A2663" s="178" t="str">
        <f>'3 - PLAN. ORÇAMENTÁRIA'!A457</f>
        <v>5.3.1.19</v>
      </c>
      <c r="B2663" s="178">
        <f>VLOOKUP(A2663,'3 - PLAN. ORÇAMENTÁRIA'!$A$16:$B$721,2,FALSE)</f>
        <v>89524</v>
      </c>
      <c r="C2663" s="631" t="str">
        <f>VLOOKUP(A2663,'3 - PLAN. ORÇAMENTÁRIA'!$A$16:$C$721,3,FALSE)</f>
        <v>JOELHO 45 GRAUS, PVC, SERIE R, ÁGUA PLUVIAL, DN 75 MM, JUNTA ELÁSTICA, FORNECIDO E INSTALADO</v>
      </c>
      <c r="D2663" s="632"/>
      <c r="E2663" s="632"/>
      <c r="F2663" s="632"/>
      <c r="G2663" s="633"/>
      <c r="H2663" s="493" t="str">
        <f>VLOOKUP(A2663,'3 - PLAN. ORÇAMENTÁRIA'!$A$17:$E$721,5,FALSE)</f>
        <v>UN</v>
      </c>
    </row>
    <row r="2664" spans="1:8" s="318" customFormat="1">
      <c r="A2664" s="106"/>
      <c r="B2664" s="628" t="s">
        <v>593</v>
      </c>
      <c r="C2664" s="628"/>
      <c r="D2664" s="103" t="s">
        <v>579</v>
      </c>
      <c r="E2664" s="103" t="s">
        <v>580</v>
      </c>
      <c r="F2664" s="103" t="s">
        <v>581</v>
      </c>
      <c r="G2664" s="103" t="s">
        <v>582</v>
      </c>
      <c r="H2664" s="103" t="s">
        <v>583</v>
      </c>
    </row>
    <row r="2665" spans="1:8" s="318" customFormat="1">
      <c r="A2665" s="106"/>
      <c r="B2665" s="130" t="s">
        <v>3315</v>
      </c>
      <c r="C2665" s="229" t="s">
        <v>3317</v>
      </c>
      <c r="D2665" s="130" t="s">
        <v>119</v>
      </c>
      <c r="E2665" s="130" t="s">
        <v>144</v>
      </c>
      <c r="F2665" s="230">
        <v>2</v>
      </c>
      <c r="G2665" s="494">
        <v>2.68</v>
      </c>
      <c r="H2665" s="494">
        <v>5.36</v>
      </c>
    </row>
    <row r="2666" spans="1:8" s="318" customFormat="1">
      <c r="A2666" s="106"/>
      <c r="B2666" s="130" t="s">
        <v>3326</v>
      </c>
      <c r="C2666" s="229" t="s">
        <v>3327</v>
      </c>
      <c r="D2666" s="130" t="s">
        <v>119</v>
      </c>
      <c r="E2666" s="130" t="s">
        <v>144</v>
      </c>
      <c r="F2666" s="230">
        <v>1</v>
      </c>
      <c r="G2666" s="494">
        <v>18.38</v>
      </c>
      <c r="H2666" s="494">
        <v>18.38</v>
      </c>
    </row>
    <row r="2667" spans="1:8" s="318" customFormat="1" ht="25.5">
      <c r="A2667" s="106"/>
      <c r="B2667" s="130" t="s">
        <v>1629</v>
      </c>
      <c r="C2667" s="229" t="s">
        <v>1630</v>
      </c>
      <c r="D2667" s="130" t="s">
        <v>119</v>
      </c>
      <c r="E2667" s="130" t="s">
        <v>144</v>
      </c>
      <c r="F2667" s="230">
        <v>7.4999999999999997E-2</v>
      </c>
      <c r="G2667" s="494">
        <v>30.07</v>
      </c>
      <c r="H2667" s="494">
        <v>2.2599999999999998</v>
      </c>
    </row>
    <row r="2668" spans="1:8" s="318" customFormat="1">
      <c r="A2668" s="106"/>
      <c r="B2668" s="105"/>
      <c r="C2668" s="105"/>
      <c r="D2668" s="105"/>
      <c r="E2668" s="105"/>
      <c r="F2668" s="629" t="s">
        <v>604</v>
      </c>
      <c r="G2668" s="629"/>
      <c r="H2668" s="495">
        <v>26</v>
      </c>
    </row>
    <row r="2669" spans="1:8" s="318" customFormat="1" ht="12.75" customHeight="1">
      <c r="A2669" s="106"/>
      <c r="B2669" s="628" t="s">
        <v>607</v>
      </c>
      <c r="C2669" s="628"/>
      <c r="D2669" s="103" t="s">
        <v>579</v>
      </c>
      <c r="E2669" s="103" t="s">
        <v>580</v>
      </c>
      <c r="F2669" s="103" t="s">
        <v>581</v>
      </c>
      <c r="G2669" s="103" t="s">
        <v>582</v>
      </c>
      <c r="H2669" s="103" t="s">
        <v>583</v>
      </c>
    </row>
    <row r="2670" spans="1:8" s="318" customFormat="1">
      <c r="A2670" s="106"/>
      <c r="B2670" s="130" t="s">
        <v>1296</v>
      </c>
      <c r="C2670" s="229" t="s">
        <v>611</v>
      </c>
      <c r="D2670" s="130" t="s">
        <v>119</v>
      </c>
      <c r="E2670" s="130" t="s">
        <v>121</v>
      </c>
      <c r="F2670" s="230">
        <v>9.4100000000000003E-2</v>
      </c>
      <c r="G2670" s="494">
        <v>24.02</v>
      </c>
      <c r="H2670" s="494">
        <v>2.2599999999999998</v>
      </c>
    </row>
    <row r="2671" spans="1:8" s="318" customFormat="1">
      <c r="A2671" s="106"/>
      <c r="B2671" s="130" t="s">
        <v>1297</v>
      </c>
      <c r="C2671" s="229" t="s">
        <v>612</v>
      </c>
      <c r="D2671" s="130" t="s">
        <v>119</v>
      </c>
      <c r="E2671" s="130" t="s">
        <v>121</v>
      </c>
      <c r="F2671" s="230">
        <v>9.4100000000000003E-2</v>
      </c>
      <c r="G2671" s="494">
        <v>30.62</v>
      </c>
      <c r="H2671" s="494">
        <v>2.88</v>
      </c>
    </row>
    <row r="2672" spans="1:8" s="318" customFormat="1" ht="12.75" customHeight="1">
      <c r="A2672" s="106"/>
      <c r="B2672" s="105"/>
      <c r="C2672" s="105"/>
      <c r="D2672" s="105"/>
      <c r="E2672" s="105"/>
      <c r="F2672" s="629" t="s">
        <v>610</v>
      </c>
      <c r="G2672" s="629"/>
      <c r="H2672" s="495">
        <v>5.14</v>
      </c>
    </row>
    <row r="2673" spans="1:8" s="318" customFormat="1" ht="12.75" customHeight="1">
      <c r="A2673" s="106"/>
      <c r="B2673" s="105"/>
      <c r="C2673" s="105"/>
      <c r="D2673" s="105"/>
      <c r="E2673" s="105"/>
      <c r="F2673" s="630" t="s">
        <v>464</v>
      </c>
      <c r="G2673" s="630"/>
      <c r="H2673" s="102">
        <v>31.13</v>
      </c>
    </row>
    <row r="2674" spans="1:8" s="318" customFormat="1">
      <c r="A2674" s="106"/>
      <c r="B2674" s="105"/>
      <c r="C2674" s="105"/>
      <c r="D2674" s="105"/>
      <c r="E2674" s="105"/>
      <c r="F2674" s="634"/>
      <c r="G2674" s="634"/>
      <c r="H2674" s="634"/>
    </row>
    <row r="2675" spans="1:8" s="220" customFormat="1" ht="27" customHeight="1">
      <c r="A2675" s="178" t="str">
        <f>'3 - PLAN. ORÇAMENTÁRIA'!A458</f>
        <v>5.3.1.20</v>
      </c>
      <c r="B2675" s="178">
        <f>VLOOKUP(A2675,'3 - PLAN. ORÇAMENTÁRIA'!$A$16:$B$721,2,FALSE)</f>
        <v>89802</v>
      </c>
      <c r="C2675" s="631" t="str">
        <f>VLOOKUP(A2675,'3 - PLAN. ORÇAMENTÁRIA'!$A$16:$C$721,3,FALSE)</f>
        <v>JOELHO 45 GRAUS, PVC, SERIE NORMAL, ESGOTO PREDIAL, DN 50 MM, JUNTA ELÁSTICA, FORNECIDO E INSTALADO</v>
      </c>
      <c r="D2675" s="632"/>
      <c r="E2675" s="632"/>
      <c r="F2675" s="632"/>
      <c r="G2675" s="633"/>
      <c r="H2675" s="493" t="str">
        <f>VLOOKUP(A2675,'3 - PLAN. ORÇAMENTÁRIA'!$A$17:$E$721,5,FALSE)</f>
        <v>UN</v>
      </c>
    </row>
    <row r="2676" spans="1:8" s="318" customFormat="1">
      <c r="A2676" s="106"/>
      <c r="B2676" s="628" t="s">
        <v>593</v>
      </c>
      <c r="C2676" s="628"/>
      <c r="D2676" s="103" t="s">
        <v>579</v>
      </c>
      <c r="E2676" s="103" t="s">
        <v>580</v>
      </c>
      <c r="F2676" s="103" t="s">
        <v>581</v>
      </c>
      <c r="G2676" s="103" t="s">
        <v>582</v>
      </c>
      <c r="H2676" s="103" t="s">
        <v>583</v>
      </c>
    </row>
    <row r="2677" spans="1:8" s="318" customFormat="1">
      <c r="A2677" s="106"/>
      <c r="B2677" s="130" t="s">
        <v>1631</v>
      </c>
      <c r="C2677" s="229" t="s">
        <v>1632</v>
      </c>
      <c r="D2677" s="130" t="s">
        <v>119</v>
      </c>
      <c r="E2677" s="130" t="s">
        <v>144</v>
      </c>
      <c r="F2677" s="230">
        <v>2</v>
      </c>
      <c r="G2677" s="494">
        <v>1.68</v>
      </c>
      <c r="H2677" s="494">
        <v>3.36</v>
      </c>
    </row>
    <row r="2678" spans="1:8" s="318" customFormat="1">
      <c r="A2678" s="106"/>
      <c r="B2678" s="130" t="s">
        <v>1653</v>
      </c>
      <c r="C2678" s="229" t="s">
        <v>1654</v>
      </c>
      <c r="D2678" s="130" t="s">
        <v>119</v>
      </c>
      <c r="E2678" s="130" t="s">
        <v>144</v>
      </c>
      <c r="F2678" s="230">
        <v>1</v>
      </c>
      <c r="G2678" s="494">
        <v>4.03</v>
      </c>
      <c r="H2678" s="494">
        <v>4.03</v>
      </c>
    </row>
    <row r="2679" spans="1:8" s="318" customFormat="1" ht="25.5">
      <c r="A2679" s="106"/>
      <c r="B2679" s="130" t="s">
        <v>1629</v>
      </c>
      <c r="C2679" s="229" t="s">
        <v>1630</v>
      </c>
      <c r="D2679" s="130" t="s">
        <v>119</v>
      </c>
      <c r="E2679" s="130" t="s">
        <v>144</v>
      </c>
      <c r="F2679" s="230">
        <v>0.05</v>
      </c>
      <c r="G2679" s="494">
        <v>30.07</v>
      </c>
      <c r="H2679" s="494">
        <v>1.5</v>
      </c>
    </row>
    <row r="2680" spans="1:8" s="318" customFormat="1">
      <c r="A2680" s="106"/>
      <c r="B2680" s="105"/>
      <c r="C2680" s="105"/>
      <c r="D2680" s="105"/>
      <c r="E2680" s="105"/>
      <c r="F2680" s="629" t="s">
        <v>604</v>
      </c>
      <c r="G2680" s="629"/>
      <c r="H2680" s="495">
        <v>8.89</v>
      </c>
    </row>
    <row r="2681" spans="1:8" s="318" customFormat="1" ht="12.75" customHeight="1">
      <c r="A2681" s="106"/>
      <c r="B2681" s="628" t="s">
        <v>607</v>
      </c>
      <c r="C2681" s="628"/>
      <c r="D2681" s="103" t="s">
        <v>579</v>
      </c>
      <c r="E2681" s="103" t="s">
        <v>580</v>
      </c>
      <c r="F2681" s="103" t="s">
        <v>581</v>
      </c>
      <c r="G2681" s="103" t="s">
        <v>582</v>
      </c>
      <c r="H2681" s="103" t="s">
        <v>583</v>
      </c>
    </row>
    <row r="2682" spans="1:8" s="318" customFormat="1">
      <c r="A2682" s="106"/>
      <c r="B2682" s="130" t="s">
        <v>1296</v>
      </c>
      <c r="C2682" s="229" t="s">
        <v>611</v>
      </c>
      <c r="D2682" s="130" t="s">
        <v>119</v>
      </c>
      <c r="E2682" s="130" t="s">
        <v>121</v>
      </c>
      <c r="F2682" s="230">
        <v>3.4299999999999997E-2</v>
      </c>
      <c r="G2682" s="494">
        <v>24.02</v>
      </c>
      <c r="H2682" s="494">
        <v>0.82</v>
      </c>
    </row>
    <row r="2683" spans="1:8" s="318" customFormat="1">
      <c r="A2683" s="106"/>
      <c r="B2683" s="130" t="s">
        <v>1297</v>
      </c>
      <c r="C2683" s="229" t="s">
        <v>612</v>
      </c>
      <c r="D2683" s="130" t="s">
        <v>119</v>
      </c>
      <c r="E2683" s="130" t="s">
        <v>121</v>
      </c>
      <c r="F2683" s="230">
        <v>3.4299999999999997E-2</v>
      </c>
      <c r="G2683" s="494">
        <v>30.62</v>
      </c>
      <c r="H2683" s="494">
        <v>1.05</v>
      </c>
    </row>
    <row r="2684" spans="1:8" s="318" customFormat="1" ht="12.75" customHeight="1">
      <c r="A2684" s="106"/>
      <c r="B2684" s="105"/>
      <c r="C2684" s="105"/>
      <c r="D2684" s="105"/>
      <c r="E2684" s="105"/>
      <c r="F2684" s="629" t="s">
        <v>610</v>
      </c>
      <c r="G2684" s="629"/>
      <c r="H2684" s="495">
        <v>1.87</v>
      </c>
    </row>
    <row r="2685" spans="1:8" s="318" customFormat="1" ht="12.75" customHeight="1">
      <c r="A2685" s="106"/>
      <c r="B2685" s="105"/>
      <c r="C2685" s="105"/>
      <c r="D2685" s="105"/>
      <c r="E2685" s="105"/>
      <c r="F2685" s="630" t="s">
        <v>464</v>
      </c>
      <c r="G2685" s="630"/>
      <c r="H2685" s="102">
        <v>10.76</v>
      </c>
    </row>
    <row r="2686" spans="1:8" s="318" customFormat="1">
      <c r="A2686" s="106"/>
      <c r="B2686" s="105"/>
      <c r="C2686" s="105"/>
      <c r="D2686" s="105"/>
      <c r="E2686" s="105"/>
      <c r="F2686" s="634"/>
      <c r="G2686" s="634"/>
      <c r="H2686" s="634"/>
    </row>
    <row r="2687" spans="1:8" s="220" customFormat="1" ht="27" customHeight="1">
      <c r="A2687" s="178" t="str">
        <f>'3 - PLAN. ORÇAMENTÁRIA'!A459</f>
        <v>5.3.1.21</v>
      </c>
      <c r="B2687" s="178">
        <f>VLOOKUP(A2687,'3 - PLAN. ORÇAMENTÁRIA'!$A$16:$B$721,2,FALSE)</f>
        <v>89750</v>
      </c>
      <c r="C2687" s="631" t="str">
        <f>VLOOKUP(A2687,'3 - PLAN. ORÇAMENTÁRIA'!$A$16:$C$721,3,FALSE)</f>
        <v>CURVA LONGA 90 GRAUS, PVC, SERIE NORMAL, ESGOTO PREDIAL, DN 100 MM, JUNTA ELÁSTICA, FORNECIDO E INSTALADO</v>
      </c>
      <c r="D2687" s="632"/>
      <c r="E2687" s="632"/>
      <c r="F2687" s="632"/>
      <c r="G2687" s="633"/>
      <c r="H2687" s="493" t="str">
        <f>VLOOKUP(A2687,'3 - PLAN. ORÇAMENTÁRIA'!$A$17:$E$721,5,FALSE)</f>
        <v>UN</v>
      </c>
    </row>
    <row r="2688" spans="1:8" s="318" customFormat="1">
      <c r="A2688" s="106"/>
      <c r="B2688" s="628" t="s">
        <v>593</v>
      </c>
      <c r="C2688" s="628"/>
      <c r="D2688" s="103" t="s">
        <v>579</v>
      </c>
      <c r="E2688" s="103" t="s">
        <v>580</v>
      </c>
      <c r="F2688" s="103" t="s">
        <v>581</v>
      </c>
      <c r="G2688" s="103" t="s">
        <v>582</v>
      </c>
      <c r="H2688" s="103" t="s">
        <v>583</v>
      </c>
    </row>
    <row r="2689" spans="1:8" s="318" customFormat="1">
      <c r="A2689" s="106"/>
      <c r="B2689" s="130" t="s">
        <v>1627</v>
      </c>
      <c r="C2689" s="229" t="s">
        <v>1628</v>
      </c>
      <c r="D2689" s="130" t="s">
        <v>119</v>
      </c>
      <c r="E2689" s="130" t="s">
        <v>144</v>
      </c>
      <c r="F2689" s="230">
        <v>2</v>
      </c>
      <c r="G2689" s="494">
        <v>2.97</v>
      </c>
      <c r="H2689" s="494">
        <v>5.94</v>
      </c>
    </row>
    <row r="2690" spans="1:8" s="318" customFormat="1">
      <c r="A2690" s="106"/>
      <c r="B2690" s="130" t="s">
        <v>2446</v>
      </c>
      <c r="C2690" s="229" t="s">
        <v>2447</v>
      </c>
      <c r="D2690" s="130" t="s">
        <v>119</v>
      </c>
      <c r="E2690" s="130" t="s">
        <v>144</v>
      </c>
      <c r="F2690" s="230">
        <v>1</v>
      </c>
      <c r="G2690" s="494">
        <v>61.95</v>
      </c>
      <c r="H2690" s="494">
        <v>61.95</v>
      </c>
    </row>
    <row r="2691" spans="1:8" s="318" customFormat="1" ht="25.5">
      <c r="A2691" s="106"/>
      <c r="B2691" s="130" t="s">
        <v>1629</v>
      </c>
      <c r="C2691" s="229" t="s">
        <v>1630</v>
      </c>
      <c r="D2691" s="130" t="s">
        <v>119</v>
      </c>
      <c r="E2691" s="130" t="s">
        <v>144</v>
      </c>
      <c r="F2691" s="230">
        <v>0.115</v>
      </c>
      <c r="G2691" s="494">
        <v>30.07</v>
      </c>
      <c r="H2691" s="494">
        <v>3.46</v>
      </c>
    </row>
    <row r="2692" spans="1:8" s="318" customFormat="1">
      <c r="A2692" s="106"/>
      <c r="B2692" s="105"/>
      <c r="C2692" s="105"/>
      <c r="D2692" s="105"/>
      <c r="E2692" s="105"/>
      <c r="F2692" s="629" t="s">
        <v>604</v>
      </c>
      <c r="G2692" s="629"/>
      <c r="H2692" s="495">
        <v>71.349999999999994</v>
      </c>
    </row>
    <row r="2693" spans="1:8" s="318" customFormat="1" ht="12.75" customHeight="1">
      <c r="A2693" s="106"/>
      <c r="B2693" s="628" t="s">
        <v>607</v>
      </c>
      <c r="C2693" s="628"/>
      <c r="D2693" s="103" t="s">
        <v>579</v>
      </c>
      <c r="E2693" s="103" t="s">
        <v>580</v>
      </c>
      <c r="F2693" s="103" t="s">
        <v>581</v>
      </c>
      <c r="G2693" s="103" t="s">
        <v>582</v>
      </c>
      <c r="H2693" s="103" t="s">
        <v>583</v>
      </c>
    </row>
    <row r="2694" spans="1:8" s="318" customFormat="1">
      <c r="A2694" s="106"/>
      <c r="B2694" s="130" t="s">
        <v>1296</v>
      </c>
      <c r="C2694" s="229" t="s">
        <v>611</v>
      </c>
      <c r="D2694" s="130" t="s">
        <v>119</v>
      </c>
      <c r="E2694" s="130" t="s">
        <v>121</v>
      </c>
      <c r="F2694" s="230">
        <v>0.19259999999999999</v>
      </c>
      <c r="G2694" s="494">
        <v>24.02</v>
      </c>
      <c r="H2694" s="494">
        <v>4.63</v>
      </c>
    </row>
    <row r="2695" spans="1:8" s="318" customFormat="1">
      <c r="A2695" s="106"/>
      <c r="B2695" s="130" t="s">
        <v>1297</v>
      </c>
      <c r="C2695" s="229" t="s">
        <v>612</v>
      </c>
      <c r="D2695" s="130" t="s">
        <v>119</v>
      </c>
      <c r="E2695" s="130" t="s">
        <v>121</v>
      </c>
      <c r="F2695" s="230">
        <v>0.19259999999999999</v>
      </c>
      <c r="G2695" s="494">
        <v>30.62</v>
      </c>
      <c r="H2695" s="494">
        <v>5.9</v>
      </c>
    </row>
    <row r="2696" spans="1:8" s="318" customFormat="1" ht="12.75" customHeight="1">
      <c r="A2696" s="106"/>
      <c r="B2696" s="105"/>
      <c r="C2696" s="105"/>
      <c r="D2696" s="105"/>
      <c r="E2696" s="105"/>
      <c r="F2696" s="629" t="s">
        <v>610</v>
      </c>
      <c r="G2696" s="629"/>
      <c r="H2696" s="495">
        <v>10.53</v>
      </c>
    </row>
    <row r="2697" spans="1:8" s="318" customFormat="1" ht="12.75" customHeight="1">
      <c r="A2697" s="106"/>
      <c r="B2697" s="105"/>
      <c r="C2697" s="105"/>
      <c r="D2697" s="105"/>
      <c r="E2697" s="105"/>
      <c r="F2697" s="630" t="s">
        <v>464</v>
      </c>
      <c r="G2697" s="630"/>
      <c r="H2697" s="102">
        <v>81.849999999999994</v>
      </c>
    </row>
    <row r="2698" spans="1:8" s="318" customFormat="1">
      <c r="A2698" s="106"/>
      <c r="B2698" s="105"/>
      <c r="C2698" s="105"/>
      <c r="D2698" s="105"/>
      <c r="E2698" s="105"/>
      <c r="F2698" s="366"/>
      <c r="G2698" s="366"/>
      <c r="H2698" s="366"/>
    </row>
    <row r="2699" spans="1:8" s="220" customFormat="1" ht="27" customHeight="1">
      <c r="A2699" s="178" t="str">
        <f>'3 - PLAN. ORÇAMENTÁRIA'!A462</f>
        <v>5.3.2.1</v>
      </c>
      <c r="B2699" s="178">
        <f>VLOOKUP(A2699,'3 - PLAN. ORÇAMENTÁRIA'!$A$16:$B$721,2,FALSE)</f>
        <v>89402</v>
      </c>
      <c r="C2699" s="631" t="str">
        <f>VLOOKUP(A2699,'3 - PLAN. ORÇAMENTÁRIA'!$A$16:$C$721,3,FALSE)</f>
        <v>TUBO, PVC, SOLDÁVEL, DN 25MM - FORNECIMENTO E INSTALAÇÃO. AF_06/2022</v>
      </c>
      <c r="D2699" s="632"/>
      <c r="E2699" s="632"/>
      <c r="F2699" s="632"/>
      <c r="G2699" s="633"/>
      <c r="H2699" s="433" t="str">
        <f>VLOOKUP(A2699,'3 - PLAN. ORÇAMENTÁRIA'!$A$17:$E$721,5,FALSE)</f>
        <v>M</v>
      </c>
    </row>
    <row r="2700" spans="1:8" s="318" customFormat="1">
      <c r="A2700" s="106"/>
      <c r="B2700" s="628" t="s">
        <v>593</v>
      </c>
      <c r="C2700" s="628"/>
      <c r="D2700" s="103" t="s">
        <v>579</v>
      </c>
      <c r="E2700" s="103" t="s">
        <v>580</v>
      </c>
      <c r="F2700" s="103" t="s">
        <v>581</v>
      </c>
      <c r="G2700" s="103" t="s">
        <v>582</v>
      </c>
      <c r="H2700" s="103" t="s">
        <v>583</v>
      </c>
    </row>
    <row r="2701" spans="1:8" s="318" customFormat="1">
      <c r="A2701" s="106"/>
      <c r="B2701" s="130" t="s">
        <v>673</v>
      </c>
      <c r="C2701" s="229" t="s">
        <v>3789</v>
      </c>
      <c r="D2701" s="130" t="s">
        <v>119</v>
      </c>
      <c r="E2701" s="130" t="s">
        <v>144</v>
      </c>
      <c r="F2701" s="230">
        <v>3.6999999999999998E-2</v>
      </c>
      <c r="G2701" s="494">
        <v>2.57</v>
      </c>
      <c r="H2701" s="494">
        <v>0.1</v>
      </c>
    </row>
    <row r="2702" spans="1:8" s="318" customFormat="1">
      <c r="A2702" s="106"/>
      <c r="B2702" s="130" t="s">
        <v>1663</v>
      </c>
      <c r="C2702" s="229" t="s">
        <v>1664</v>
      </c>
      <c r="D2702" s="130" t="s">
        <v>119</v>
      </c>
      <c r="E2702" s="130" t="s">
        <v>173</v>
      </c>
      <c r="F2702" s="230">
        <v>1.0492999999999999</v>
      </c>
      <c r="G2702" s="494">
        <v>4.46</v>
      </c>
      <c r="H2702" s="494">
        <v>4.68</v>
      </c>
    </row>
    <row r="2703" spans="1:8" s="318" customFormat="1">
      <c r="A2703" s="106"/>
      <c r="B2703" s="105"/>
      <c r="C2703" s="105"/>
      <c r="D2703" s="105"/>
      <c r="E2703" s="105"/>
      <c r="F2703" s="629" t="s">
        <v>604</v>
      </c>
      <c r="G2703" s="629"/>
      <c r="H2703" s="495">
        <v>4.78</v>
      </c>
    </row>
    <row r="2704" spans="1:8" s="318" customFormat="1" ht="12.75" customHeight="1">
      <c r="A2704" s="106"/>
      <c r="B2704" s="628" t="s">
        <v>607</v>
      </c>
      <c r="C2704" s="628"/>
      <c r="D2704" s="103" t="s">
        <v>579</v>
      </c>
      <c r="E2704" s="103" t="s">
        <v>580</v>
      </c>
      <c r="F2704" s="103" t="s">
        <v>581</v>
      </c>
      <c r="G2704" s="103" t="s">
        <v>582</v>
      </c>
      <c r="H2704" s="103" t="s">
        <v>583</v>
      </c>
    </row>
    <row r="2705" spans="1:8" s="318" customFormat="1">
      <c r="A2705" s="106"/>
      <c r="B2705" s="130" t="s">
        <v>1296</v>
      </c>
      <c r="C2705" s="229" t="s">
        <v>611</v>
      </c>
      <c r="D2705" s="130" t="s">
        <v>119</v>
      </c>
      <c r="E2705" s="130" t="s">
        <v>121</v>
      </c>
      <c r="F2705" s="230">
        <v>0.15859999999999999</v>
      </c>
      <c r="G2705" s="494">
        <v>24.02</v>
      </c>
      <c r="H2705" s="494">
        <v>3.81</v>
      </c>
    </row>
    <row r="2706" spans="1:8" s="318" customFormat="1">
      <c r="A2706" s="106"/>
      <c r="B2706" s="130" t="s">
        <v>1297</v>
      </c>
      <c r="C2706" s="229" t="s">
        <v>612</v>
      </c>
      <c r="D2706" s="130" t="s">
        <v>119</v>
      </c>
      <c r="E2706" s="130" t="s">
        <v>121</v>
      </c>
      <c r="F2706" s="230">
        <v>0.15859999999999999</v>
      </c>
      <c r="G2706" s="494">
        <v>30.62</v>
      </c>
      <c r="H2706" s="494">
        <v>4.8600000000000003</v>
      </c>
    </row>
    <row r="2707" spans="1:8" s="318" customFormat="1" ht="12.75" customHeight="1">
      <c r="A2707" s="106"/>
      <c r="B2707" s="105"/>
      <c r="C2707" s="105"/>
      <c r="D2707" s="105"/>
      <c r="E2707" s="105"/>
      <c r="F2707" s="629" t="s">
        <v>610</v>
      </c>
      <c r="G2707" s="629"/>
      <c r="H2707" s="495">
        <v>8.67</v>
      </c>
    </row>
    <row r="2708" spans="1:8" s="318" customFormat="1" ht="12.75" customHeight="1">
      <c r="A2708" s="106"/>
      <c r="B2708" s="105"/>
      <c r="C2708" s="105"/>
      <c r="D2708" s="105"/>
      <c r="E2708" s="105"/>
      <c r="F2708" s="630" t="s">
        <v>464</v>
      </c>
      <c r="G2708" s="630"/>
      <c r="H2708" s="102">
        <v>13.41</v>
      </c>
    </row>
    <row r="2709" spans="1:8" s="318" customFormat="1">
      <c r="A2709" s="106"/>
      <c r="B2709" s="105"/>
      <c r="C2709" s="105"/>
      <c r="D2709" s="105"/>
      <c r="E2709" s="105"/>
      <c r="F2709" s="634"/>
      <c r="G2709" s="634"/>
      <c r="H2709" s="634"/>
    </row>
    <row r="2710" spans="1:8" s="220" customFormat="1" ht="27" customHeight="1">
      <c r="A2710" s="178" t="str">
        <f>'3 - PLAN. ORÇAMENTÁRIA'!A463</f>
        <v>5.3.2.2</v>
      </c>
      <c r="B2710" s="178">
        <f>VLOOKUP(A2710,'3 - PLAN. ORÇAMENTÁRIA'!$A$16:$B$721,2,FALSE)</f>
        <v>89403</v>
      </c>
      <c r="C2710" s="631" t="str">
        <f>VLOOKUP(A2710,'3 - PLAN. ORÇAMENTÁRIA'!$A$16:$C$721,3,FALSE)</f>
        <v>TUBO, PVC, SOLDÁVEL, DN 32MM - FORNECIMENTO E INSTALAÇÃO. AF_06/2022</v>
      </c>
      <c r="D2710" s="632"/>
      <c r="E2710" s="632"/>
      <c r="F2710" s="632"/>
      <c r="G2710" s="633"/>
      <c r="H2710" s="493" t="str">
        <f>VLOOKUP(A2710,'3 - PLAN. ORÇAMENTÁRIA'!$A$17:$E$721,5,FALSE)</f>
        <v>M</v>
      </c>
    </row>
    <row r="2711" spans="1:8" s="318" customFormat="1">
      <c r="A2711" s="106"/>
      <c r="B2711" s="628" t="s">
        <v>593</v>
      </c>
      <c r="C2711" s="628"/>
      <c r="D2711" s="103" t="s">
        <v>579</v>
      </c>
      <c r="E2711" s="103" t="s">
        <v>580</v>
      </c>
      <c r="F2711" s="103" t="s">
        <v>581</v>
      </c>
      <c r="G2711" s="103" t="s">
        <v>582</v>
      </c>
      <c r="H2711" s="103" t="s">
        <v>583</v>
      </c>
    </row>
    <row r="2712" spans="1:8" s="318" customFormat="1">
      <c r="A2712" s="106"/>
      <c r="B2712" s="130" t="s">
        <v>673</v>
      </c>
      <c r="C2712" s="229" t="s">
        <v>3789</v>
      </c>
      <c r="D2712" s="130" t="s">
        <v>119</v>
      </c>
      <c r="E2712" s="130" t="s">
        <v>144</v>
      </c>
      <c r="F2712" s="230">
        <v>4.41E-2</v>
      </c>
      <c r="G2712" s="494">
        <v>2.57</v>
      </c>
      <c r="H2712" s="494">
        <v>0.11</v>
      </c>
    </row>
    <row r="2713" spans="1:8" s="318" customFormat="1">
      <c r="A2713" s="106"/>
      <c r="B2713" s="130" t="s">
        <v>1665</v>
      </c>
      <c r="C2713" s="229" t="s">
        <v>1666</v>
      </c>
      <c r="D2713" s="130" t="s">
        <v>119</v>
      </c>
      <c r="E2713" s="130" t="s">
        <v>173</v>
      </c>
      <c r="F2713" s="230">
        <v>1.0492999999999999</v>
      </c>
      <c r="G2713" s="494">
        <v>9.6199999999999992</v>
      </c>
      <c r="H2713" s="494">
        <v>10.09</v>
      </c>
    </row>
    <row r="2714" spans="1:8" s="318" customFormat="1">
      <c r="A2714" s="106"/>
      <c r="B2714" s="105"/>
      <c r="C2714" s="105"/>
      <c r="D2714" s="105"/>
      <c r="E2714" s="105"/>
      <c r="F2714" s="629" t="s">
        <v>604</v>
      </c>
      <c r="G2714" s="629"/>
      <c r="H2714" s="495">
        <v>10.199999999999999</v>
      </c>
    </row>
    <row r="2715" spans="1:8" s="318" customFormat="1" ht="12.75" customHeight="1">
      <c r="A2715" s="106"/>
      <c r="B2715" s="628" t="s">
        <v>607</v>
      </c>
      <c r="C2715" s="628"/>
      <c r="D2715" s="103" t="s">
        <v>579</v>
      </c>
      <c r="E2715" s="103" t="s">
        <v>580</v>
      </c>
      <c r="F2715" s="103" t="s">
        <v>581</v>
      </c>
      <c r="G2715" s="103" t="s">
        <v>582</v>
      </c>
      <c r="H2715" s="103" t="s">
        <v>583</v>
      </c>
    </row>
    <row r="2716" spans="1:8" s="318" customFormat="1">
      <c r="A2716" s="106"/>
      <c r="B2716" s="130" t="s">
        <v>1296</v>
      </c>
      <c r="C2716" s="229" t="s">
        <v>611</v>
      </c>
      <c r="D2716" s="130" t="s">
        <v>119</v>
      </c>
      <c r="E2716" s="130" t="s">
        <v>121</v>
      </c>
      <c r="F2716" s="230">
        <v>0.18909999999999999</v>
      </c>
      <c r="G2716" s="494">
        <v>24.02</v>
      </c>
      <c r="H2716" s="494">
        <v>4.54</v>
      </c>
    </row>
    <row r="2717" spans="1:8" s="318" customFormat="1">
      <c r="A2717" s="106"/>
      <c r="B2717" s="130" t="s">
        <v>1297</v>
      </c>
      <c r="C2717" s="229" t="s">
        <v>612</v>
      </c>
      <c r="D2717" s="130" t="s">
        <v>119</v>
      </c>
      <c r="E2717" s="130" t="s">
        <v>121</v>
      </c>
      <c r="F2717" s="230">
        <v>0.18909999999999999</v>
      </c>
      <c r="G2717" s="494">
        <v>30.62</v>
      </c>
      <c r="H2717" s="494">
        <v>5.79</v>
      </c>
    </row>
    <row r="2718" spans="1:8" s="318" customFormat="1" ht="12.75" customHeight="1">
      <c r="A2718" s="106"/>
      <c r="B2718" s="105"/>
      <c r="C2718" s="105"/>
      <c r="D2718" s="105"/>
      <c r="E2718" s="105"/>
      <c r="F2718" s="629" t="s">
        <v>610</v>
      </c>
      <c r="G2718" s="629"/>
      <c r="H2718" s="495">
        <v>10.33</v>
      </c>
    </row>
    <row r="2719" spans="1:8" s="318" customFormat="1" ht="12.75" customHeight="1">
      <c r="A2719" s="106"/>
      <c r="B2719" s="105"/>
      <c r="C2719" s="105"/>
      <c r="D2719" s="105"/>
      <c r="E2719" s="105"/>
      <c r="F2719" s="630" t="s">
        <v>464</v>
      </c>
      <c r="G2719" s="630"/>
      <c r="H2719" s="102">
        <v>20.53</v>
      </c>
    </row>
    <row r="2720" spans="1:8" s="318" customFormat="1">
      <c r="A2720" s="106"/>
      <c r="B2720" s="105"/>
      <c r="C2720" s="105"/>
      <c r="D2720" s="105"/>
      <c r="E2720" s="105"/>
      <c r="F2720" s="634"/>
      <c r="G2720" s="634"/>
      <c r="H2720" s="634"/>
    </row>
    <row r="2721" spans="1:8" s="220" customFormat="1" ht="27" customHeight="1">
      <c r="A2721" s="178" t="str">
        <f>'3 - PLAN. ORÇAMENTÁRIA'!A464</f>
        <v>5.3.2.3</v>
      </c>
      <c r="B2721" s="178">
        <f>VLOOKUP(A2721,'3 - PLAN. ORÇAMENTÁRIA'!$A$16:$B$721,2,FALSE)</f>
        <v>89712</v>
      </c>
      <c r="C2721" s="631" t="str">
        <f>VLOOKUP(A2721,'3 - PLAN. ORÇAMENTÁRIA'!$A$16:$C$721,3,FALSE)</f>
        <v>TUBO PVC, SERIE NORMAL, ESGOTO PREDIAL, DN 50 MM, FORNECIDO E INSTALADO</v>
      </c>
      <c r="D2721" s="632"/>
      <c r="E2721" s="632"/>
      <c r="F2721" s="632"/>
      <c r="G2721" s="633"/>
      <c r="H2721" s="493" t="str">
        <f>VLOOKUP(A2721,'3 - PLAN. ORÇAMENTÁRIA'!$A$17:$E$721,5,FALSE)</f>
        <v>M</v>
      </c>
    </row>
    <row r="2722" spans="1:8" s="318" customFormat="1">
      <c r="A2722" s="106"/>
      <c r="B2722" s="628" t="s">
        <v>593</v>
      </c>
      <c r="C2722" s="628"/>
      <c r="D2722" s="103" t="s">
        <v>579</v>
      </c>
      <c r="E2722" s="103" t="s">
        <v>580</v>
      </c>
      <c r="F2722" s="103" t="s">
        <v>581</v>
      </c>
      <c r="G2722" s="103" t="s">
        <v>582</v>
      </c>
      <c r="H2722" s="103" t="s">
        <v>583</v>
      </c>
    </row>
    <row r="2723" spans="1:8" s="318" customFormat="1">
      <c r="A2723" s="106"/>
      <c r="B2723" s="130" t="s">
        <v>673</v>
      </c>
      <c r="C2723" s="229" t="s">
        <v>3789</v>
      </c>
      <c r="D2723" s="130" t="s">
        <v>119</v>
      </c>
      <c r="E2723" s="130" t="s">
        <v>144</v>
      </c>
      <c r="F2723" s="230">
        <v>1.77E-2</v>
      </c>
      <c r="G2723" s="494">
        <v>2.57</v>
      </c>
      <c r="H2723" s="494">
        <v>0.05</v>
      </c>
    </row>
    <row r="2724" spans="1:8" s="318" customFormat="1">
      <c r="A2724" s="106"/>
      <c r="B2724" s="130" t="s">
        <v>1669</v>
      </c>
      <c r="C2724" s="229" t="s">
        <v>1670</v>
      </c>
      <c r="D2724" s="130" t="s">
        <v>119</v>
      </c>
      <c r="E2724" s="130" t="s">
        <v>173</v>
      </c>
      <c r="F2724" s="230">
        <v>1.0548999999999999</v>
      </c>
      <c r="G2724" s="494">
        <v>11.43</v>
      </c>
      <c r="H2724" s="494">
        <v>12.06</v>
      </c>
    </row>
    <row r="2725" spans="1:8" s="318" customFormat="1">
      <c r="A2725" s="106"/>
      <c r="B2725" s="105"/>
      <c r="C2725" s="105"/>
      <c r="D2725" s="105"/>
      <c r="E2725" s="105"/>
      <c r="F2725" s="629" t="s">
        <v>604</v>
      </c>
      <c r="G2725" s="629"/>
      <c r="H2725" s="495">
        <v>12.11</v>
      </c>
    </row>
    <row r="2726" spans="1:8" s="318" customFormat="1" ht="12.75" customHeight="1">
      <c r="A2726" s="106"/>
      <c r="B2726" s="628" t="s">
        <v>607</v>
      </c>
      <c r="C2726" s="628"/>
      <c r="D2726" s="103" t="s">
        <v>579</v>
      </c>
      <c r="E2726" s="103" t="s">
        <v>580</v>
      </c>
      <c r="F2726" s="103" t="s">
        <v>581</v>
      </c>
      <c r="G2726" s="103" t="s">
        <v>582</v>
      </c>
      <c r="H2726" s="103" t="s">
        <v>583</v>
      </c>
    </row>
    <row r="2727" spans="1:8" s="318" customFormat="1">
      <c r="A2727" s="106"/>
      <c r="B2727" s="130" t="s">
        <v>1296</v>
      </c>
      <c r="C2727" s="229" t="s">
        <v>611</v>
      </c>
      <c r="D2727" s="130" t="s">
        <v>119</v>
      </c>
      <c r="E2727" s="130" t="s">
        <v>121</v>
      </c>
      <c r="F2727" s="230">
        <v>0.31819999999999998</v>
      </c>
      <c r="G2727" s="494">
        <v>24.02</v>
      </c>
      <c r="H2727" s="494">
        <v>7.64</v>
      </c>
    </row>
    <row r="2728" spans="1:8" s="318" customFormat="1">
      <c r="A2728" s="106"/>
      <c r="B2728" s="130" t="s">
        <v>1297</v>
      </c>
      <c r="C2728" s="229" t="s">
        <v>612</v>
      </c>
      <c r="D2728" s="130" t="s">
        <v>119</v>
      </c>
      <c r="E2728" s="130" t="s">
        <v>121</v>
      </c>
      <c r="F2728" s="230">
        <v>0.31819999999999998</v>
      </c>
      <c r="G2728" s="494">
        <v>30.62</v>
      </c>
      <c r="H2728" s="494">
        <v>9.74</v>
      </c>
    </row>
    <row r="2729" spans="1:8" s="318" customFormat="1" ht="12.75" customHeight="1">
      <c r="A2729" s="106"/>
      <c r="B2729" s="105"/>
      <c r="C2729" s="105"/>
      <c r="D2729" s="105"/>
      <c r="E2729" s="105"/>
      <c r="F2729" s="629" t="s">
        <v>610</v>
      </c>
      <c r="G2729" s="629"/>
      <c r="H2729" s="495">
        <v>17.38</v>
      </c>
    </row>
    <row r="2730" spans="1:8" s="318" customFormat="1" ht="12.75" customHeight="1">
      <c r="A2730" s="106"/>
      <c r="B2730" s="105"/>
      <c r="C2730" s="105"/>
      <c r="D2730" s="105"/>
      <c r="E2730" s="105"/>
      <c r="F2730" s="630" t="s">
        <v>464</v>
      </c>
      <c r="G2730" s="630"/>
      <c r="H2730" s="102">
        <v>29.47</v>
      </c>
    </row>
    <row r="2731" spans="1:8" s="318" customFormat="1">
      <c r="A2731" s="106"/>
      <c r="B2731" s="105"/>
      <c r="C2731" s="105"/>
      <c r="D2731" s="105"/>
      <c r="E2731" s="105"/>
      <c r="F2731" s="634"/>
      <c r="G2731" s="634"/>
      <c r="H2731" s="634"/>
    </row>
    <row r="2732" spans="1:8" s="220" customFormat="1" ht="27" customHeight="1">
      <c r="A2732" s="178" t="str">
        <f>'3 - PLAN. ORÇAMENTÁRIA'!A465</f>
        <v>5.3.2.4</v>
      </c>
      <c r="B2732" s="178">
        <f>VLOOKUP(A2732,'3 - PLAN. ORÇAMENTÁRIA'!$A$16:$B$721,2,FALSE)</f>
        <v>89576</v>
      </c>
      <c r="C2732" s="631" t="str">
        <f>VLOOKUP(A2732,'3 - PLAN. ORÇAMENTÁRIA'!$A$16:$C$721,3,FALSE)</f>
        <v>TUBO PVC, SÉRIE R, ÁGUA PLUVIAL, DN 75 MM, FORNECIDO E INSTALADO</v>
      </c>
      <c r="D2732" s="632"/>
      <c r="E2732" s="632"/>
      <c r="F2732" s="632"/>
      <c r="G2732" s="633"/>
      <c r="H2732" s="493" t="str">
        <f>VLOOKUP(A2732,'3 - PLAN. ORÇAMENTÁRIA'!$A$17:$E$721,5,FALSE)</f>
        <v>M</v>
      </c>
    </row>
    <row r="2733" spans="1:8" s="318" customFormat="1">
      <c r="A2733" s="106"/>
      <c r="B2733" s="628" t="s">
        <v>593</v>
      </c>
      <c r="C2733" s="628"/>
      <c r="D2733" s="103" t="s">
        <v>579</v>
      </c>
      <c r="E2733" s="103" t="s">
        <v>580</v>
      </c>
      <c r="F2733" s="103" t="s">
        <v>581</v>
      </c>
      <c r="G2733" s="103" t="s">
        <v>582</v>
      </c>
      <c r="H2733" s="103" t="s">
        <v>583</v>
      </c>
    </row>
    <row r="2734" spans="1:8" s="318" customFormat="1">
      <c r="A2734" s="106"/>
      <c r="B2734" s="130" t="s">
        <v>673</v>
      </c>
      <c r="C2734" s="229" t="s">
        <v>3789</v>
      </c>
      <c r="D2734" s="130" t="s">
        <v>119</v>
      </c>
      <c r="E2734" s="130" t="s">
        <v>144</v>
      </c>
      <c r="F2734" s="230">
        <v>2.7E-2</v>
      </c>
      <c r="G2734" s="494">
        <v>2.57</v>
      </c>
      <c r="H2734" s="494">
        <v>7.0000000000000007E-2</v>
      </c>
    </row>
    <row r="2735" spans="1:8" s="318" customFormat="1">
      <c r="A2735" s="106"/>
      <c r="B2735" s="130" t="s">
        <v>3329</v>
      </c>
      <c r="C2735" s="229" t="s">
        <v>3330</v>
      </c>
      <c r="D2735" s="130" t="s">
        <v>119</v>
      </c>
      <c r="E2735" s="130" t="s">
        <v>173</v>
      </c>
      <c r="F2735" s="230">
        <v>1.0353000000000001</v>
      </c>
      <c r="G2735" s="494">
        <v>24.71</v>
      </c>
      <c r="H2735" s="494">
        <v>25.58</v>
      </c>
    </row>
    <row r="2736" spans="1:8" s="318" customFormat="1">
      <c r="A2736" s="106"/>
      <c r="B2736" s="105"/>
      <c r="C2736" s="105"/>
      <c r="D2736" s="105"/>
      <c r="E2736" s="105"/>
      <c r="F2736" s="629" t="s">
        <v>604</v>
      </c>
      <c r="G2736" s="629"/>
      <c r="H2736" s="495">
        <v>25.65</v>
      </c>
    </row>
    <row r="2737" spans="1:8" s="318" customFormat="1" ht="12.75" customHeight="1">
      <c r="A2737" s="106"/>
      <c r="B2737" s="628" t="s">
        <v>607</v>
      </c>
      <c r="C2737" s="628"/>
      <c r="D2737" s="103" t="s">
        <v>579</v>
      </c>
      <c r="E2737" s="103" t="s">
        <v>580</v>
      </c>
      <c r="F2737" s="103" t="s">
        <v>581</v>
      </c>
      <c r="G2737" s="103" t="s">
        <v>582</v>
      </c>
      <c r="H2737" s="103" t="s">
        <v>583</v>
      </c>
    </row>
    <row r="2738" spans="1:8" s="318" customFormat="1">
      <c r="A2738" s="106"/>
      <c r="B2738" s="130" t="s">
        <v>1296</v>
      </c>
      <c r="C2738" s="229" t="s">
        <v>611</v>
      </c>
      <c r="D2738" s="130" t="s">
        <v>119</v>
      </c>
      <c r="E2738" s="130" t="s">
        <v>121</v>
      </c>
      <c r="F2738" s="230">
        <v>4.82E-2</v>
      </c>
      <c r="G2738" s="494">
        <v>24.02</v>
      </c>
      <c r="H2738" s="494">
        <v>1.1599999999999999</v>
      </c>
    </row>
    <row r="2739" spans="1:8" s="318" customFormat="1">
      <c r="A2739" s="106"/>
      <c r="B2739" s="130" t="s">
        <v>1297</v>
      </c>
      <c r="C2739" s="229" t="s">
        <v>612</v>
      </c>
      <c r="D2739" s="130" t="s">
        <v>119</v>
      </c>
      <c r="E2739" s="130" t="s">
        <v>121</v>
      </c>
      <c r="F2739" s="230">
        <v>4.82E-2</v>
      </c>
      <c r="G2739" s="494">
        <v>30.62</v>
      </c>
      <c r="H2739" s="494">
        <v>1.48</v>
      </c>
    </row>
    <row r="2740" spans="1:8" s="318" customFormat="1" ht="12.75" customHeight="1">
      <c r="A2740" s="106"/>
      <c r="B2740" s="105"/>
      <c r="C2740" s="105"/>
      <c r="D2740" s="105"/>
      <c r="E2740" s="105"/>
      <c r="F2740" s="629" t="s">
        <v>610</v>
      </c>
      <c r="G2740" s="629"/>
      <c r="H2740" s="495">
        <v>2.64</v>
      </c>
    </row>
    <row r="2741" spans="1:8" s="318" customFormat="1" ht="12.75" customHeight="1">
      <c r="A2741" s="106"/>
      <c r="B2741" s="105"/>
      <c r="C2741" s="105"/>
      <c r="D2741" s="105"/>
      <c r="E2741" s="105"/>
      <c r="F2741" s="630" t="s">
        <v>464</v>
      </c>
      <c r="G2741" s="630"/>
      <c r="H2741" s="102">
        <v>28.26</v>
      </c>
    </row>
    <row r="2742" spans="1:8" s="318" customFormat="1">
      <c r="A2742" s="106"/>
      <c r="B2742" s="105"/>
      <c r="C2742" s="105"/>
      <c r="D2742" s="105"/>
      <c r="E2742" s="105"/>
      <c r="F2742" s="634"/>
      <c r="G2742" s="634"/>
      <c r="H2742" s="634"/>
    </row>
    <row r="2743" spans="1:8" s="220" customFormat="1" ht="27" customHeight="1">
      <c r="A2743" s="178" t="str">
        <f>'3 - PLAN. ORÇAMENTÁRIA'!A466</f>
        <v>5.3.2.5</v>
      </c>
      <c r="B2743" s="178">
        <f>VLOOKUP(A2743,'3 - PLAN. ORÇAMENTÁRIA'!$A$16:$B$721,2,FALSE)</f>
        <v>89714</v>
      </c>
      <c r="C2743" s="631" t="str">
        <f>VLOOKUP(A2743,'3 - PLAN. ORÇAMENTÁRIA'!$A$16:$C$721,3,FALSE)</f>
        <v>TUBO PVC, SERIE NORMAL, ESGOTO PREDIAL, DN 100 MM, FORNECIDO E INSTALADO</v>
      </c>
      <c r="D2743" s="632"/>
      <c r="E2743" s="632"/>
      <c r="F2743" s="632"/>
      <c r="G2743" s="633"/>
      <c r="H2743" s="493" t="str">
        <f>VLOOKUP(A2743,'3 - PLAN. ORÇAMENTÁRIA'!$A$17:$E$721,5,FALSE)</f>
        <v>M</v>
      </c>
    </row>
    <row r="2744" spans="1:8" s="318" customFormat="1">
      <c r="A2744" s="106"/>
      <c r="B2744" s="628" t="s">
        <v>593</v>
      </c>
      <c r="C2744" s="628"/>
      <c r="D2744" s="103" t="s">
        <v>579</v>
      </c>
      <c r="E2744" s="103" t="s">
        <v>580</v>
      </c>
      <c r="F2744" s="103" t="s">
        <v>581</v>
      </c>
      <c r="G2744" s="103" t="s">
        <v>582</v>
      </c>
      <c r="H2744" s="103" t="s">
        <v>583</v>
      </c>
    </row>
    <row r="2745" spans="1:8" s="318" customFormat="1">
      <c r="A2745" s="106"/>
      <c r="B2745" s="130" t="s">
        <v>673</v>
      </c>
      <c r="C2745" s="229" t="s">
        <v>3789</v>
      </c>
      <c r="D2745" s="130" t="s">
        <v>119</v>
      </c>
      <c r="E2745" s="130" t="s">
        <v>144</v>
      </c>
      <c r="F2745" s="230">
        <v>2.47E-2</v>
      </c>
      <c r="G2745" s="494">
        <v>2.57</v>
      </c>
      <c r="H2745" s="494">
        <v>0.06</v>
      </c>
    </row>
    <row r="2746" spans="1:8" s="318" customFormat="1">
      <c r="A2746" s="106"/>
      <c r="B2746" s="130" t="s">
        <v>1673</v>
      </c>
      <c r="C2746" s="229" t="s">
        <v>1674</v>
      </c>
      <c r="D2746" s="130" t="s">
        <v>119</v>
      </c>
      <c r="E2746" s="130" t="s">
        <v>173</v>
      </c>
      <c r="F2746" s="230">
        <v>1.0548999999999999</v>
      </c>
      <c r="G2746" s="494">
        <v>15.84</v>
      </c>
      <c r="H2746" s="494">
        <v>16.71</v>
      </c>
    </row>
    <row r="2747" spans="1:8" s="318" customFormat="1">
      <c r="A2747" s="106"/>
      <c r="B2747" s="105"/>
      <c r="C2747" s="105"/>
      <c r="D2747" s="105"/>
      <c r="E2747" s="105"/>
      <c r="F2747" s="629" t="s">
        <v>604</v>
      </c>
      <c r="G2747" s="629"/>
      <c r="H2747" s="495">
        <v>16.77</v>
      </c>
    </row>
    <row r="2748" spans="1:8" s="318" customFormat="1" ht="12.75" customHeight="1">
      <c r="A2748" s="106"/>
      <c r="B2748" s="628" t="s">
        <v>607</v>
      </c>
      <c r="C2748" s="628"/>
      <c r="D2748" s="103" t="s">
        <v>579</v>
      </c>
      <c r="E2748" s="103" t="s">
        <v>580</v>
      </c>
      <c r="F2748" s="103" t="s">
        <v>581</v>
      </c>
      <c r="G2748" s="103" t="s">
        <v>582</v>
      </c>
      <c r="H2748" s="103" t="s">
        <v>583</v>
      </c>
    </row>
    <row r="2749" spans="1:8" s="318" customFormat="1">
      <c r="A2749" s="106"/>
      <c r="B2749" s="130" t="s">
        <v>1296</v>
      </c>
      <c r="C2749" s="229" t="s">
        <v>611</v>
      </c>
      <c r="D2749" s="130" t="s">
        <v>119</v>
      </c>
      <c r="E2749" s="130" t="s">
        <v>121</v>
      </c>
      <c r="F2749" s="230">
        <v>0.44440000000000002</v>
      </c>
      <c r="G2749" s="494">
        <v>24.02</v>
      </c>
      <c r="H2749" s="494">
        <v>10.67</v>
      </c>
    </row>
    <row r="2750" spans="1:8" s="318" customFormat="1">
      <c r="A2750" s="106"/>
      <c r="B2750" s="130" t="s">
        <v>1297</v>
      </c>
      <c r="C2750" s="229" t="s">
        <v>612</v>
      </c>
      <c r="D2750" s="130" t="s">
        <v>119</v>
      </c>
      <c r="E2750" s="130" t="s">
        <v>121</v>
      </c>
      <c r="F2750" s="230">
        <v>0.44440000000000002</v>
      </c>
      <c r="G2750" s="494">
        <v>30.62</v>
      </c>
      <c r="H2750" s="494">
        <v>13.61</v>
      </c>
    </row>
    <row r="2751" spans="1:8" s="318" customFormat="1" ht="12.75" customHeight="1">
      <c r="A2751" s="106"/>
      <c r="B2751" s="105"/>
      <c r="C2751" s="105"/>
      <c r="D2751" s="105"/>
      <c r="E2751" s="105"/>
      <c r="F2751" s="629" t="s">
        <v>610</v>
      </c>
      <c r="G2751" s="629"/>
      <c r="H2751" s="495">
        <v>24.28</v>
      </c>
    </row>
    <row r="2752" spans="1:8" s="318" customFormat="1" ht="12.75" customHeight="1">
      <c r="A2752" s="106"/>
      <c r="B2752" s="105"/>
      <c r="C2752" s="105"/>
      <c r="D2752" s="105"/>
      <c r="E2752" s="105"/>
      <c r="F2752" s="630" t="s">
        <v>464</v>
      </c>
      <c r="G2752" s="630"/>
      <c r="H2752" s="102">
        <v>41.03</v>
      </c>
    </row>
    <row r="2753" spans="1:8" s="318" customFormat="1">
      <c r="A2753" s="106"/>
      <c r="B2753" s="105"/>
      <c r="C2753" s="105"/>
      <c r="D2753" s="105"/>
      <c r="E2753" s="105"/>
      <c r="F2753" s="634"/>
      <c r="G2753" s="634"/>
      <c r="H2753" s="634"/>
    </row>
    <row r="2754" spans="1:8" s="220" customFormat="1" ht="27" customHeight="1">
      <c r="A2754" s="178" t="str">
        <f>'3 - PLAN. ORÇAMENTÁRIA'!A467</f>
        <v>5.3.2.6</v>
      </c>
      <c r="B2754" s="178">
        <f>VLOOKUP(A2754,'3 - PLAN. ORÇAMENTÁRIA'!$A$16:$B$721,2,FALSE)</f>
        <v>89512</v>
      </c>
      <c r="C2754" s="631" t="str">
        <f>VLOOKUP(A2754,'3 - PLAN. ORÇAMENTÁRIA'!$A$16:$C$721,3,FALSE)</f>
        <v>TUBO PVC, SÉRIE R, ÁGUA PLUVIAL, DN 100 MM, FORNECIDO E INSTALADO</v>
      </c>
      <c r="D2754" s="632"/>
      <c r="E2754" s="632"/>
      <c r="F2754" s="632"/>
      <c r="G2754" s="633"/>
      <c r="H2754" s="493" t="str">
        <f>VLOOKUP(A2754,'3 - PLAN. ORÇAMENTÁRIA'!$A$17:$E$721,5,FALSE)</f>
        <v>M</v>
      </c>
    </row>
    <row r="2755" spans="1:8" s="318" customFormat="1">
      <c r="A2755" s="106"/>
      <c r="B2755" s="628" t="s">
        <v>593</v>
      </c>
      <c r="C2755" s="628"/>
      <c r="D2755" s="103" t="s">
        <v>579</v>
      </c>
      <c r="E2755" s="103" t="s">
        <v>580</v>
      </c>
      <c r="F2755" s="103" t="s">
        <v>581</v>
      </c>
      <c r="G2755" s="103" t="s">
        <v>582</v>
      </c>
      <c r="H2755" s="103" t="s">
        <v>583</v>
      </c>
    </row>
    <row r="2756" spans="1:8" s="318" customFormat="1">
      <c r="A2756" s="106"/>
      <c r="B2756" s="130" t="s">
        <v>673</v>
      </c>
      <c r="C2756" s="229" t="s">
        <v>3789</v>
      </c>
      <c r="D2756" s="130" t="s">
        <v>119</v>
      </c>
      <c r="E2756" s="130" t="s">
        <v>144</v>
      </c>
      <c r="F2756" s="230">
        <v>2.24E-2</v>
      </c>
      <c r="G2756" s="494">
        <v>2.57</v>
      </c>
      <c r="H2756" s="494">
        <v>0.06</v>
      </c>
    </row>
    <row r="2757" spans="1:8" s="318" customFormat="1">
      <c r="A2757" s="106"/>
      <c r="B2757" s="130" t="s">
        <v>2850</v>
      </c>
      <c r="C2757" s="229" t="s">
        <v>2851</v>
      </c>
      <c r="D2757" s="130" t="s">
        <v>119</v>
      </c>
      <c r="E2757" s="130" t="s">
        <v>173</v>
      </c>
      <c r="F2757" s="230">
        <v>1.0353000000000001</v>
      </c>
      <c r="G2757" s="494">
        <v>29.83</v>
      </c>
      <c r="H2757" s="494">
        <v>30.88</v>
      </c>
    </row>
    <row r="2758" spans="1:8" s="318" customFormat="1">
      <c r="A2758" s="106"/>
      <c r="B2758" s="105"/>
      <c r="C2758" s="105"/>
      <c r="D2758" s="105"/>
      <c r="E2758" s="105"/>
      <c r="F2758" s="629" t="s">
        <v>604</v>
      </c>
      <c r="G2758" s="629"/>
      <c r="H2758" s="495">
        <v>30.94</v>
      </c>
    </row>
    <row r="2759" spans="1:8" s="318" customFormat="1" ht="12.75" customHeight="1">
      <c r="A2759" s="106"/>
      <c r="B2759" s="628" t="s">
        <v>607</v>
      </c>
      <c r="C2759" s="628"/>
      <c r="D2759" s="103" t="s">
        <v>579</v>
      </c>
      <c r="E2759" s="103" t="s">
        <v>580</v>
      </c>
      <c r="F2759" s="103" t="s">
        <v>581</v>
      </c>
      <c r="G2759" s="103" t="s">
        <v>582</v>
      </c>
      <c r="H2759" s="103" t="s">
        <v>583</v>
      </c>
    </row>
    <row r="2760" spans="1:8" s="318" customFormat="1">
      <c r="A2760" s="106"/>
      <c r="B2760" s="130" t="s">
        <v>1296</v>
      </c>
      <c r="C2760" s="229" t="s">
        <v>611</v>
      </c>
      <c r="D2760" s="130" t="s">
        <v>119</v>
      </c>
      <c r="E2760" s="130" t="s">
        <v>121</v>
      </c>
      <c r="F2760" s="230">
        <v>0.40239999999999998</v>
      </c>
      <c r="G2760" s="494">
        <v>24.02</v>
      </c>
      <c r="H2760" s="494">
        <v>9.67</v>
      </c>
    </row>
    <row r="2761" spans="1:8" s="318" customFormat="1">
      <c r="A2761" s="106"/>
      <c r="B2761" s="130" t="s">
        <v>1297</v>
      </c>
      <c r="C2761" s="229" t="s">
        <v>612</v>
      </c>
      <c r="D2761" s="130" t="s">
        <v>119</v>
      </c>
      <c r="E2761" s="130" t="s">
        <v>121</v>
      </c>
      <c r="F2761" s="230">
        <v>0.40239999999999998</v>
      </c>
      <c r="G2761" s="494">
        <v>30.62</v>
      </c>
      <c r="H2761" s="494">
        <v>12.32</v>
      </c>
    </row>
    <row r="2762" spans="1:8" s="318" customFormat="1" ht="12.75" customHeight="1">
      <c r="A2762" s="106"/>
      <c r="B2762" s="105"/>
      <c r="C2762" s="105"/>
      <c r="D2762" s="105"/>
      <c r="E2762" s="105"/>
      <c r="F2762" s="629" t="s">
        <v>610</v>
      </c>
      <c r="G2762" s="629"/>
      <c r="H2762" s="495">
        <v>21.99</v>
      </c>
    </row>
    <row r="2763" spans="1:8" s="318" customFormat="1" ht="12.75" customHeight="1">
      <c r="A2763" s="106"/>
      <c r="B2763" s="105"/>
      <c r="C2763" s="105"/>
      <c r="D2763" s="105"/>
      <c r="E2763" s="105"/>
      <c r="F2763" s="630" t="s">
        <v>464</v>
      </c>
      <c r="G2763" s="630"/>
      <c r="H2763" s="102">
        <v>52.91</v>
      </c>
    </row>
    <row r="2764" spans="1:8" s="318" customFormat="1">
      <c r="A2764" s="106"/>
      <c r="B2764" s="105"/>
      <c r="C2764" s="105"/>
      <c r="D2764" s="105"/>
      <c r="E2764" s="105"/>
      <c r="F2764" s="634"/>
      <c r="G2764" s="634"/>
      <c r="H2764" s="634"/>
    </row>
    <row r="2765" spans="1:8" s="220" customFormat="1" ht="27" customHeight="1">
      <c r="A2765" s="178" t="str">
        <f>'3 - PLAN. ORÇAMENTÁRIA'!A468</f>
        <v>5.3.2.7</v>
      </c>
      <c r="B2765" s="178">
        <f>VLOOKUP(A2765,'3 - PLAN. ORÇAMENTÁRIA'!$A$16:$B$721,2,FALSE)</f>
        <v>89849</v>
      </c>
      <c r="C2765" s="631" t="str">
        <f>VLOOKUP(A2765,'3 - PLAN. ORÇAMENTÁRIA'!$A$16:$C$721,3,FALSE)</f>
        <v>TUBO PVC, SERIE NORMAL, ESGOTO PREDIAL, DN 150 MM, FORNECIDO E INSTALADO</v>
      </c>
      <c r="D2765" s="632"/>
      <c r="E2765" s="632"/>
      <c r="F2765" s="632"/>
      <c r="G2765" s="633"/>
      <c r="H2765" s="493" t="str">
        <f>VLOOKUP(A2765,'3 - PLAN. ORÇAMENTÁRIA'!$A$17:$E$721,5,FALSE)</f>
        <v>M</v>
      </c>
    </row>
    <row r="2766" spans="1:8" s="318" customFormat="1">
      <c r="A2766" s="106"/>
      <c r="B2766" s="628" t="s">
        <v>593</v>
      </c>
      <c r="C2766" s="628"/>
      <c r="D2766" s="103" t="s">
        <v>579</v>
      </c>
      <c r="E2766" s="103" t="s">
        <v>580</v>
      </c>
      <c r="F2766" s="103" t="s">
        <v>581</v>
      </c>
      <c r="G2766" s="103" t="s">
        <v>582</v>
      </c>
      <c r="H2766" s="103" t="s">
        <v>583</v>
      </c>
    </row>
    <row r="2767" spans="1:8" s="318" customFormat="1">
      <c r="A2767" s="106"/>
      <c r="B2767" s="130" t="s">
        <v>673</v>
      </c>
      <c r="C2767" s="229" t="s">
        <v>3789</v>
      </c>
      <c r="D2767" s="130" t="s">
        <v>119</v>
      </c>
      <c r="E2767" s="130" t="s">
        <v>144</v>
      </c>
      <c r="F2767" s="230">
        <v>1.7299999999999999E-2</v>
      </c>
      <c r="G2767" s="494">
        <v>2.57</v>
      </c>
      <c r="H2767" s="494">
        <v>0.04</v>
      </c>
    </row>
    <row r="2768" spans="1:8" s="318" customFormat="1">
      <c r="A2768" s="106"/>
      <c r="B2768" s="130" t="s">
        <v>2852</v>
      </c>
      <c r="C2768" s="229" t="s">
        <v>3080</v>
      </c>
      <c r="D2768" s="130" t="s">
        <v>119</v>
      </c>
      <c r="E2768" s="130" t="s">
        <v>173</v>
      </c>
      <c r="F2768" s="230">
        <v>1.0548999999999999</v>
      </c>
      <c r="G2768" s="494">
        <v>41.4</v>
      </c>
      <c r="H2768" s="494">
        <v>43.67</v>
      </c>
    </row>
    <row r="2769" spans="1:8" s="318" customFormat="1">
      <c r="A2769" s="106"/>
      <c r="B2769" s="105"/>
      <c r="C2769" s="105"/>
      <c r="D2769" s="105"/>
      <c r="E2769" s="105"/>
      <c r="F2769" s="629" t="s">
        <v>604</v>
      </c>
      <c r="G2769" s="629"/>
      <c r="H2769" s="495">
        <v>43.71</v>
      </c>
    </row>
    <row r="2770" spans="1:8" s="318" customFormat="1" ht="12.75" customHeight="1">
      <c r="A2770" s="106"/>
      <c r="B2770" s="628" t="s">
        <v>607</v>
      </c>
      <c r="C2770" s="628"/>
      <c r="D2770" s="103" t="s">
        <v>579</v>
      </c>
      <c r="E2770" s="103" t="s">
        <v>580</v>
      </c>
      <c r="F2770" s="103" t="s">
        <v>581</v>
      </c>
      <c r="G2770" s="103" t="s">
        <v>582</v>
      </c>
      <c r="H2770" s="103" t="s">
        <v>583</v>
      </c>
    </row>
    <row r="2771" spans="1:8" s="318" customFormat="1">
      <c r="A2771" s="106"/>
      <c r="B2771" s="130" t="s">
        <v>1296</v>
      </c>
      <c r="C2771" s="229" t="s">
        <v>611</v>
      </c>
      <c r="D2771" s="130" t="s">
        <v>119</v>
      </c>
      <c r="E2771" s="130" t="s">
        <v>121</v>
      </c>
      <c r="F2771" s="230">
        <v>0.31140000000000001</v>
      </c>
      <c r="G2771" s="494">
        <v>24.02</v>
      </c>
      <c r="H2771" s="494">
        <v>7.48</v>
      </c>
    </row>
    <row r="2772" spans="1:8" s="318" customFormat="1">
      <c r="A2772" s="106"/>
      <c r="B2772" s="130" t="s">
        <v>1297</v>
      </c>
      <c r="C2772" s="229" t="s">
        <v>612</v>
      </c>
      <c r="D2772" s="130" t="s">
        <v>119</v>
      </c>
      <c r="E2772" s="130" t="s">
        <v>121</v>
      </c>
      <c r="F2772" s="230">
        <v>0.31140000000000001</v>
      </c>
      <c r="G2772" s="494">
        <v>30.62</v>
      </c>
      <c r="H2772" s="494">
        <v>9.5399999999999991</v>
      </c>
    </row>
    <row r="2773" spans="1:8" s="318" customFormat="1" ht="12.75" customHeight="1">
      <c r="A2773" s="106"/>
      <c r="B2773" s="105"/>
      <c r="C2773" s="105"/>
      <c r="D2773" s="105"/>
      <c r="E2773" s="105"/>
      <c r="F2773" s="629" t="s">
        <v>610</v>
      </c>
      <c r="G2773" s="629"/>
      <c r="H2773" s="495">
        <v>17.02</v>
      </c>
    </row>
    <row r="2774" spans="1:8" s="318" customFormat="1" ht="12.75" customHeight="1">
      <c r="A2774" s="106"/>
      <c r="B2774" s="105"/>
      <c r="C2774" s="105"/>
      <c r="D2774" s="105"/>
      <c r="E2774" s="105"/>
      <c r="F2774" s="630" t="s">
        <v>464</v>
      </c>
      <c r="G2774" s="630"/>
      <c r="H2774" s="102">
        <v>60.71</v>
      </c>
    </row>
    <row r="2775" spans="1:8" s="318" customFormat="1">
      <c r="A2775" s="106"/>
      <c r="B2775" s="105"/>
      <c r="C2775" s="105"/>
      <c r="D2775" s="105"/>
      <c r="E2775" s="105"/>
      <c r="F2775" s="634"/>
      <c r="G2775" s="634"/>
      <c r="H2775" s="634"/>
    </row>
    <row r="2776" spans="1:8" s="220" customFormat="1" ht="27" customHeight="1">
      <c r="A2776" s="178" t="str">
        <f>'3 - PLAN. ORÇAMENTÁRIA'!A469</f>
        <v>5.3.2.8</v>
      </c>
      <c r="B2776" s="178">
        <f>VLOOKUP(A2776,'3 - PLAN. ORÇAMENTÁRIA'!$A$16:$B$721,2,FALSE)</f>
        <v>104166</v>
      </c>
      <c r="C2776" s="631" t="str">
        <f>VLOOKUP(A2776,'3 - PLAN. ORÇAMENTÁRIA'!$A$16:$C$721,3,FALSE)</f>
        <v>TUBO PVC, SÉRIE R, ÁGUA PLUVIAL, DN 150 MM, FORNECIDO E INSTALADO. AF_06/2022</v>
      </c>
      <c r="D2776" s="632"/>
      <c r="E2776" s="632"/>
      <c r="F2776" s="632"/>
      <c r="G2776" s="633"/>
      <c r="H2776" s="493" t="str">
        <f>VLOOKUP(A2776,'3 - PLAN. ORÇAMENTÁRIA'!$A$17:$E$721,5,FALSE)</f>
        <v>M</v>
      </c>
    </row>
    <row r="2777" spans="1:8" s="318" customFormat="1">
      <c r="A2777" s="106"/>
      <c r="B2777" s="628" t="s">
        <v>593</v>
      </c>
      <c r="C2777" s="628"/>
      <c r="D2777" s="103" t="s">
        <v>579</v>
      </c>
      <c r="E2777" s="103" t="s">
        <v>580</v>
      </c>
      <c r="F2777" s="103" t="s">
        <v>581</v>
      </c>
      <c r="G2777" s="103" t="s">
        <v>582</v>
      </c>
      <c r="H2777" s="103" t="s">
        <v>583</v>
      </c>
    </row>
    <row r="2778" spans="1:8" s="318" customFormat="1">
      <c r="A2778" s="106"/>
      <c r="B2778" s="130" t="s">
        <v>673</v>
      </c>
      <c r="C2778" s="229" t="s">
        <v>3789</v>
      </c>
      <c r="D2778" s="130" t="s">
        <v>119</v>
      </c>
      <c r="E2778" s="130" t="s">
        <v>144</v>
      </c>
      <c r="F2778" s="230">
        <v>1.41E-2</v>
      </c>
      <c r="G2778" s="494">
        <v>2.57</v>
      </c>
      <c r="H2778" s="494">
        <v>0.04</v>
      </c>
    </row>
    <row r="2779" spans="1:8" s="318" customFormat="1">
      <c r="A2779" s="106"/>
      <c r="B2779" s="130" t="s">
        <v>2454</v>
      </c>
      <c r="C2779" s="229" t="s">
        <v>2455</v>
      </c>
      <c r="D2779" s="130" t="s">
        <v>119</v>
      </c>
      <c r="E2779" s="130" t="s">
        <v>173</v>
      </c>
      <c r="F2779" s="230">
        <v>1.0353000000000001</v>
      </c>
      <c r="G2779" s="494">
        <v>63.01</v>
      </c>
      <c r="H2779" s="494">
        <v>65.23</v>
      </c>
    </row>
    <row r="2780" spans="1:8" s="318" customFormat="1">
      <c r="A2780" s="106"/>
      <c r="B2780" s="105"/>
      <c r="C2780" s="105"/>
      <c r="D2780" s="105"/>
      <c r="E2780" s="105"/>
      <c r="F2780" s="629" t="s">
        <v>604</v>
      </c>
      <c r="G2780" s="629"/>
      <c r="H2780" s="495">
        <v>65.27</v>
      </c>
    </row>
    <row r="2781" spans="1:8" s="318" customFormat="1" ht="12.75" customHeight="1">
      <c r="A2781" s="106"/>
      <c r="B2781" s="628" t="s">
        <v>607</v>
      </c>
      <c r="C2781" s="628"/>
      <c r="D2781" s="103" t="s">
        <v>579</v>
      </c>
      <c r="E2781" s="103" t="s">
        <v>580</v>
      </c>
      <c r="F2781" s="103" t="s">
        <v>581</v>
      </c>
      <c r="G2781" s="103" t="s">
        <v>582</v>
      </c>
      <c r="H2781" s="103" t="s">
        <v>583</v>
      </c>
    </row>
    <row r="2782" spans="1:8" s="318" customFormat="1">
      <c r="A2782" s="106"/>
      <c r="B2782" s="130" t="s">
        <v>1296</v>
      </c>
      <c r="C2782" s="229" t="s">
        <v>611</v>
      </c>
      <c r="D2782" s="130" t="s">
        <v>119</v>
      </c>
      <c r="E2782" s="130" t="s">
        <v>121</v>
      </c>
      <c r="F2782" s="230">
        <v>0.25330000000000003</v>
      </c>
      <c r="G2782" s="494">
        <v>24.02</v>
      </c>
      <c r="H2782" s="494">
        <v>6.08</v>
      </c>
    </row>
    <row r="2783" spans="1:8" s="318" customFormat="1">
      <c r="A2783" s="106"/>
      <c r="B2783" s="130" t="s">
        <v>1297</v>
      </c>
      <c r="C2783" s="229" t="s">
        <v>612</v>
      </c>
      <c r="D2783" s="130" t="s">
        <v>119</v>
      </c>
      <c r="E2783" s="130" t="s">
        <v>121</v>
      </c>
      <c r="F2783" s="230">
        <v>0.25330000000000003</v>
      </c>
      <c r="G2783" s="494">
        <v>30.62</v>
      </c>
      <c r="H2783" s="494">
        <v>7.76</v>
      </c>
    </row>
    <row r="2784" spans="1:8" s="318" customFormat="1" ht="12.75" customHeight="1">
      <c r="A2784" s="106"/>
      <c r="B2784" s="105"/>
      <c r="C2784" s="105"/>
      <c r="D2784" s="105"/>
      <c r="E2784" s="105"/>
      <c r="F2784" s="629" t="s">
        <v>610</v>
      </c>
      <c r="G2784" s="629"/>
      <c r="H2784" s="495">
        <v>13.84</v>
      </c>
    </row>
    <row r="2785" spans="1:8" s="318" customFormat="1" ht="12.75" customHeight="1">
      <c r="A2785" s="106"/>
      <c r="B2785" s="105"/>
      <c r="C2785" s="105"/>
      <c r="D2785" s="105"/>
      <c r="E2785" s="105"/>
      <c r="F2785" s="630" t="s">
        <v>464</v>
      </c>
      <c r="G2785" s="630"/>
      <c r="H2785" s="102">
        <v>79.09</v>
      </c>
    </row>
    <row r="2786" spans="1:8" s="318" customFormat="1">
      <c r="A2786" s="106"/>
      <c r="B2786" s="105"/>
      <c r="C2786" s="105"/>
      <c r="D2786" s="105"/>
      <c r="E2786" s="105"/>
      <c r="F2786" s="634"/>
      <c r="G2786" s="634"/>
      <c r="H2786" s="634"/>
    </row>
    <row r="2787" spans="1:8" s="220" customFormat="1" ht="27" customHeight="1">
      <c r="A2787" s="178" t="str">
        <f>'3 - PLAN. ORÇAMENTÁRIA'!A470</f>
        <v>5.3.2.9</v>
      </c>
      <c r="B2787" s="178">
        <f>VLOOKUP(A2787,'3 - PLAN. ORÇAMENTÁRIA'!$A$16:$B$721,2,FALSE)</f>
        <v>90695</v>
      </c>
      <c r="C2787" s="631" t="str">
        <f>VLOOKUP(A2787,'3 - PLAN. ORÇAMENTÁRIA'!$A$16:$C$721,3,FALSE)</f>
        <v>TUBO DE PVC PARA REDE COLETORA DE ESGOTO DE PAREDE MACIÇA, DN 150 MM, JUNTA ELÁSTICA - FORNECIMENTO E ASSENTAMENTO. AF_01/2021</v>
      </c>
      <c r="D2787" s="632"/>
      <c r="E2787" s="632"/>
      <c r="F2787" s="632"/>
      <c r="G2787" s="633"/>
      <c r="H2787" s="493" t="str">
        <f>VLOOKUP(A2787,'3 - PLAN. ORÇAMENTÁRIA'!$A$17:$E$721,5,FALSE)</f>
        <v>M</v>
      </c>
    </row>
    <row r="2788" spans="1:8" s="318" customFormat="1">
      <c r="A2788" s="106"/>
      <c r="B2788" s="628" t="s">
        <v>593</v>
      </c>
      <c r="C2788" s="628"/>
      <c r="D2788" s="103" t="s">
        <v>579</v>
      </c>
      <c r="E2788" s="103" t="s">
        <v>580</v>
      </c>
      <c r="F2788" s="103" t="s">
        <v>581</v>
      </c>
      <c r="G2788" s="103" t="s">
        <v>582</v>
      </c>
      <c r="H2788" s="103" t="s">
        <v>583</v>
      </c>
    </row>
    <row r="2789" spans="1:8" s="318" customFormat="1" ht="25.5">
      <c r="A2789" s="106"/>
      <c r="B2789" s="130" t="s">
        <v>1629</v>
      </c>
      <c r="C2789" s="229" t="s">
        <v>1630</v>
      </c>
      <c r="D2789" s="130" t="s">
        <v>119</v>
      </c>
      <c r="E2789" s="130" t="s">
        <v>144</v>
      </c>
      <c r="F2789" s="230">
        <v>1.46E-2</v>
      </c>
      <c r="G2789" s="494">
        <v>30.07</v>
      </c>
      <c r="H2789" s="494">
        <v>0.44</v>
      </c>
    </row>
    <row r="2790" spans="1:8" s="318" customFormat="1">
      <c r="A2790" s="106"/>
      <c r="B2790" s="130" t="s">
        <v>2970</v>
      </c>
      <c r="C2790" s="229" t="s">
        <v>2971</v>
      </c>
      <c r="D2790" s="130" t="s">
        <v>119</v>
      </c>
      <c r="E2790" s="130" t="s">
        <v>173</v>
      </c>
      <c r="F2790" s="230">
        <v>1.05</v>
      </c>
      <c r="G2790" s="494">
        <v>83.67</v>
      </c>
      <c r="H2790" s="494">
        <v>87.85</v>
      </c>
    </row>
    <row r="2791" spans="1:8" s="318" customFormat="1">
      <c r="A2791" s="106"/>
      <c r="B2791" s="105"/>
      <c r="C2791" s="105"/>
      <c r="D2791" s="105"/>
      <c r="E2791" s="105"/>
      <c r="F2791" s="629" t="s">
        <v>604</v>
      </c>
      <c r="G2791" s="629"/>
      <c r="H2791" s="495">
        <v>88.29</v>
      </c>
    </row>
    <row r="2792" spans="1:8" s="318" customFormat="1" ht="12.75" customHeight="1">
      <c r="A2792" s="106"/>
      <c r="B2792" s="628" t="s">
        <v>607</v>
      </c>
      <c r="C2792" s="628"/>
      <c r="D2792" s="103" t="s">
        <v>579</v>
      </c>
      <c r="E2792" s="103" t="s">
        <v>580</v>
      </c>
      <c r="F2792" s="103" t="s">
        <v>581</v>
      </c>
      <c r="G2792" s="103" t="s">
        <v>582</v>
      </c>
      <c r="H2792" s="103" t="s">
        <v>583</v>
      </c>
    </row>
    <row r="2793" spans="1:8" s="318" customFormat="1">
      <c r="A2793" s="106"/>
      <c r="B2793" s="130" t="s">
        <v>2972</v>
      </c>
      <c r="C2793" s="229" t="s">
        <v>2973</v>
      </c>
      <c r="D2793" s="130" t="s">
        <v>119</v>
      </c>
      <c r="E2793" s="130" t="s">
        <v>121</v>
      </c>
      <c r="F2793" s="230">
        <v>8.9200000000000002E-2</v>
      </c>
      <c r="G2793" s="494">
        <v>25.46</v>
      </c>
      <c r="H2793" s="494">
        <v>2.27</v>
      </c>
    </row>
    <row r="2794" spans="1:8" s="318" customFormat="1">
      <c r="A2794" s="106"/>
      <c r="B2794" s="130" t="s">
        <v>625</v>
      </c>
      <c r="C2794" s="229" t="s">
        <v>626</v>
      </c>
      <c r="D2794" s="130" t="s">
        <v>119</v>
      </c>
      <c r="E2794" s="130" t="s">
        <v>121</v>
      </c>
      <c r="F2794" s="230">
        <v>8.9200000000000002E-2</v>
      </c>
      <c r="G2794" s="494">
        <v>23.75</v>
      </c>
      <c r="H2794" s="494">
        <v>2.12</v>
      </c>
    </row>
    <row r="2795" spans="1:8" s="318" customFormat="1" ht="12.75" customHeight="1">
      <c r="A2795" s="106"/>
      <c r="B2795" s="105"/>
      <c r="C2795" s="105"/>
      <c r="D2795" s="105"/>
      <c r="E2795" s="105"/>
      <c r="F2795" s="629" t="s">
        <v>610</v>
      </c>
      <c r="G2795" s="629"/>
      <c r="H2795" s="495">
        <v>4.3899999999999997</v>
      </c>
    </row>
    <row r="2796" spans="1:8" s="318" customFormat="1" ht="12.75" customHeight="1">
      <c r="A2796" s="106"/>
      <c r="B2796" s="105"/>
      <c r="C2796" s="105"/>
      <c r="D2796" s="105"/>
      <c r="E2796" s="105"/>
      <c r="F2796" s="630" t="s">
        <v>464</v>
      </c>
      <c r="G2796" s="630"/>
      <c r="H2796" s="102">
        <v>92.66</v>
      </c>
    </row>
    <row r="2797" spans="1:8" s="318" customFormat="1">
      <c r="A2797" s="106"/>
      <c r="B2797" s="105"/>
      <c r="C2797" s="105"/>
      <c r="D2797" s="105"/>
      <c r="E2797" s="105"/>
      <c r="F2797" s="634"/>
      <c r="G2797" s="634"/>
      <c r="H2797" s="634"/>
    </row>
    <row r="2798" spans="1:8" s="220" customFormat="1" ht="27" customHeight="1">
      <c r="A2798" s="178" t="str">
        <f>'3 - PLAN. ORÇAMENTÁRIA'!A471</f>
        <v>5.3.2.10</v>
      </c>
      <c r="B2798" s="178">
        <f>VLOOKUP(A2798,'3 - PLAN. ORÇAMENTÁRIA'!$A$16:$B$721,2,FALSE)</f>
        <v>90696</v>
      </c>
      <c r="C2798" s="631" t="str">
        <f>VLOOKUP(A2798,'3 - PLAN. ORÇAMENTÁRIA'!$A$16:$C$721,3,FALSE)</f>
        <v>TUBO DE PVC PARA REDE COLETORA DE ESGOTO DE PAREDE MACIÇA, DN 200 MM, JUNTA ELÁSTICA - FORNECIMENTO E ASSENTAMENTO. AF_01/2021</v>
      </c>
      <c r="D2798" s="632"/>
      <c r="E2798" s="632"/>
      <c r="F2798" s="632"/>
      <c r="G2798" s="633"/>
      <c r="H2798" s="493" t="str">
        <f>VLOOKUP(A2798,'3 - PLAN. ORÇAMENTÁRIA'!$A$17:$E$721,5,FALSE)</f>
        <v>M</v>
      </c>
    </row>
    <row r="2799" spans="1:8" s="318" customFormat="1">
      <c r="A2799" s="106"/>
      <c r="B2799" s="628" t="s">
        <v>593</v>
      </c>
      <c r="C2799" s="628"/>
      <c r="D2799" s="103" t="s">
        <v>579</v>
      </c>
      <c r="E2799" s="103" t="s">
        <v>580</v>
      </c>
      <c r="F2799" s="103" t="s">
        <v>581</v>
      </c>
      <c r="G2799" s="103" t="s">
        <v>582</v>
      </c>
      <c r="H2799" s="103" t="s">
        <v>583</v>
      </c>
    </row>
    <row r="2800" spans="1:8" s="318" customFormat="1" ht="25.5">
      <c r="A2800" s="106"/>
      <c r="B2800" s="130" t="s">
        <v>1629</v>
      </c>
      <c r="C2800" s="229" t="s">
        <v>1630</v>
      </c>
      <c r="D2800" s="130" t="s">
        <v>119</v>
      </c>
      <c r="E2800" s="130" t="s">
        <v>144</v>
      </c>
      <c r="F2800" s="230">
        <v>1.67E-2</v>
      </c>
      <c r="G2800" s="494">
        <v>30.07</v>
      </c>
      <c r="H2800" s="494">
        <v>0.5</v>
      </c>
    </row>
    <row r="2801" spans="1:8" s="318" customFormat="1">
      <c r="A2801" s="106"/>
      <c r="B2801" s="130" t="s">
        <v>2974</v>
      </c>
      <c r="C2801" s="229" t="s">
        <v>2975</v>
      </c>
      <c r="D2801" s="130" t="s">
        <v>119</v>
      </c>
      <c r="E2801" s="130" t="s">
        <v>173</v>
      </c>
      <c r="F2801" s="230">
        <v>1.05</v>
      </c>
      <c r="G2801" s="494">
        <v>142.09</v>
      </c>
      <c r="H2801" s="494">
        <v>149.19</v>
      </c>
    </row>
    <row r="2802" spans="1:8" s="318" customFormat="1">
      <c r="A2802" s="106"/>
      <c r="B2802" s="105"/>
      <c r="C2802" s="105"/>
      <c r="D2802" s="105"/>
      <c r="E2802" s="105"/>
      <c r="F2802" s="629" t="s">
        <v>604</v>
      </c>
      <c r="G2802" s="629"/>
      <c r="H2802" s="495">
        <v>149.69</v>
      </c>
    </row>
    <row r="2803" spans="1:8" s="318" customFormat="1" ht="12.75" customHeight="1">
      <c r="A2803" s="106"/>
      <c r="B2803" s="628" t="s">
        <v>607</v>
      </c>
      <c r="C2803" s="628"/>
      <c r="D2803" s="103" t="s">
        <v>579</v>
      </c>
      <c r="E2803" s="103" t="s">
        <v>580</v>
      </c>
      <c r="F2803" s="103" t="s">
        <v>581</v>
      </c>
      <c r="G2803" s="103" t="s">
        <v>582</v>
      </c>
      <c r="H2803" s="103" t="s">
        <v>583</v>
      </c>
    </row>
    <row r="2804" spans="1:8" s="318" customFormat="1">
      <c r="A2804" s="106"/>
      <c r="B2804" s="130" t="s">
        <v>2972</v>
      </c>
      <c r="C2804" s="229" t="s">
        <v>2973</v>
      </c>
      <c r="D2804" s="130" t="s">
        <v>119</v>
      </c>
      <c r="E2804" s="130" t="s">
        <v>121</v>
      </c>
      <c r="F2804" s="230">
        <v>0.10299999999999999</v>
      </c>
      <c r="G2804" s="494">
        <v>25.46</v>
      </c>
      <c r="H2804" s="494">
        <v>2.62</v>
      </c>
    </row>
    <row r="2805" spans="1:8" s="318" customFormat="1">
      <c r="A2805" s="106"/>
      <c r="B2805" s="130" t="s">
        <v>625</v>
      </c>
      <c r="C2805" s="229" t="s">
        <v>626</v>
      </c>
      <c r="D2805" s="130" t="s">
        <v>119</v>
      </c>
      <c r="E2805" s="130" t="s">
        <v>121</v>
      </c>
      <c r="F2805" s="230">
        <v>0.10299999999999999</v>
      </c>
      <c r="G2805" s="494">
        <v>23.75</v>
      </c>
      <c r="H2805" s="494">
        <v>2.4500000000000002</v>
      </c>
    </row>
    <row r="2806" spans="1:8" s="318" customFormat="1" ht="12.75" customHeight="1">
      <c r="A2806" s="106"/>
      <c r="B2806" s="105"/>
      <c r="C2806" s="105"/>
      <c r="D2806" s="105"/>
      <c r="E2806" s="105"/>
      <c r="F2806" s="629" t="s">
        <v>610</v>
      </c>
      <c r="G2806" s="629"/>
      <c r="H2806" s="495">
        <v>5.07</v>
      </c>
    </row>
    <row r="2807" spans="1:8" s="318" customFormat="1" ht="12.75" customHeight="1">
      <c r="A2807" s="106"/>
      <c r="B2807" s="105"/>
      <c r="C2807" s="105"/>
      <c r="D2807" s="105"/>
      <c r="E2807" s="105"/>
      <c r="F2807" s="630" t="s">
        <v>464</v>
      </c>
      <c r="G2807" s="630"/>
      <c r="H2807" s="102">
        <v>154.75</v>
      </c>
    </row>
    <row r="2808" spans="1:8" s="318" customFormat="1">
      <c r="A2808" s="106"/>
      <c r="B2808" s="105"/>
      <c r="C2808" s="105"/>
      <c r="D2808" s="105"/>
      <c r="E2808" s="105"/>
      <c r="F2808" s="634"/>
      <c r="G2808" s="634"/>
      <c r="H2808" s="634"/>
    </row>
    <row r="2809" spans="1:8" s="220" customFormat="1" ht="27" customHeight="1">
      <c r="A2809" s="178" t="str">
        <f>'3 - PLAN. ORÇAMENTÁRIA'!A472</f>
        <v>5.3.2.11</v>
      </c>
      <c r="B2809" s="178">
        <f>VLOOKUP(A2809,'3 - PLAN. ORÇAMENTÁRIA'!$A$16:$B$721,2,FALSE)</f>
        <v>90697</v>
      </c>
      <c r="C2809" s="631" t="str">
        <f>VLOOKUP(A2809,'3 - PLAN. ORÇAMENTÁRIA'!$A$16:$C$721,3,FALSE)</f>
        <v>TUBO DE PVC PARA REDE COLETORA DE ESGOTO DE PAREDE MACIÇA, DN 250 MM, JUNTA ELÁSTICA - FORNECIMENTO E ASSENTAMENTO. AF_01/2021</v>
      </c>
      <c r="D2809" s="632"/>
      <c r="E2809" s="632"/>
      <c r="F2809" s="632"/>
      <c r="G2809" s="633"/>
      <c r="H2809" s="493" t="str">
        <f>VLOOKUP(A2809,'3 - PLAN. ORÇAMENTÁRIA'!$A$17:$E$721,5,FALSE)</f>
        <v>M</v>
      </c>
    </row>
    <row r="2810" spans="1:8" s="318" customFormat="1">
      <c r="A2810" s="106"/>
      <c r="B2810" s="628" t="s">
        <v>593</v>
      </c>
      <c r="C2810" s="628"/>
      <c r="D2810" s="103" t="s">
        <v>579</v>
      </c>
      <c r="E2810" s="103" t="s">
        <v>580</v>
      </c>
      <c r="F2810" s="103" t="s">
        <v>581</v>
      </c>
      <c r="G2810" s="103" t="s">
        <v>582</v>
      </c>
      <c r="H2810" s="103" t="s">
        <v>583</v>
      </c>
    </row>
    <row r="2811" spans="1:8" s="318" customFormat="1" ht="25.5">
      <c r="A2811" s="106"/>
      <c r="B2811" s="130" t="s">
        <v>1629</v>
      </c>
      <c r="C2811" s="229" t="s">
        <v>1630</v>
      </c>
      <c r="D2811" s="130" t="s">
        <v>119</v>
      </c>
      <c r="E2811" s="130" t="s">
        <v>144</v>
      </c>
      <c r="F2811" s="230">
        <v>2.0799999999999999E-2</v>
      </c>
      <c r="G2811" s="494">
        <v>30.07</v>
      </c>
      <c r="H2811" s="494">
        <v>0.63</v>
      </c>
    </row>
    <row r="2812" spans="1:8" s="318" customFormat="1">
      <c r="A2812" s="106"/>
      <c r="B2812" s="130" t="s">
        <v>2976</v>
      </c>
      <c r="C2812" s="229" t="s">
        <v>2977</v>
      </c>
      <c r="D2812" s="130" t="s">
        <v>119</v>
      </c>
      <c r="E2812" s="130" t="s">
        <v>173</v>
      </c>
      <c r="F2812" s="230">
        <v>1.05</v>
      </c>
      <c r="G2812" s="494">
        <v>222.54</v>
      </c>
      <c r="H2812" s="494">
        <v>233.67</v>
      </c>
    </row>
    <row r="2813" spans="1:8" s="318" customFormat="1">
      <c r="A2813" s="106"/>
      <c r="B2813" s="105"/>
      <c r="C2813" s="105"/>
      <c r="D2813" s="105"/>
      <c r="E2813" s="105"/>
      <c r="F2813" s="629" t="s">
        <v>604</v>
      </c>
      <c r="G2813" s="629"/>
      <c r="H2813" s="495">
        <v>234.3</v>
      </c>
    </row>
    <row r="2814" spans="1:8" s="318" customFormat="1" ht="12.75" customHeight="1">
      <c r="A2814" s="106"/>
      <c r="B2814" s="628" t="s">
        <v>607</v>
      </c>
      <c r="C2814" s="628"/>
      <c r="D2814" s="103" t="s">
        <v>579</v>
      </c>
      <c r="E2814" s="103" t="s">
        <v>580</v>
      </c>
      <c r="F2814" s="103" t="s">
        <v>581</v>
      </c>
      <c r="G2814" s="103" t="s">
        <v>582</v>
      </c>
      <c r="H2814" s="103" t="s">
        <v>583</v>
      </c>
    </row>
    <row r="2815" spans="1:8" s="318" customFormat="1">
      <c r="A2815" s="106"/>
      <c r="B2815" s="130" t="s">
        <v>2972</v>
      </c>
      <c r="C2815" s="229" t="s">
        <v>2973</v>
      </c>
      <c r="D2815" s="130" t="s">
        <v>119</v>
      </c>
      <c r="E2815" s="130" t="s">
        <v>121</v>
      </c>
      <c r="F2815" s="230">
        <v>0.1169</v>
      </c>
      <c r="G2815" s="494">
        <v>25.46</v>
      </c>
      <c r="H2815" s="494">
        <v>2.98</v>
      </c>
    </row>
    <row r="2816" spans="1:8" s="318" customFormat="1">
      <c r="A2816" s="106"/>
      <c r="B2816" s="130" t="s">
        <v>625</v>
      </c>
      <c r="C2816" s="229" t="s">
        <v>626</v>
      </c>
      <c r="D2816" s="130" t="s">
        <v>119</v>
      </c>
      <c r="E2816" s="130" t="s">
        <v>121</v>
      </c>
      <c r="F2816" s="230">
        <v>0.1169</v>
      </c>
      <c r="G2816" s="494">
        <v>23.75</v>
      </c>
      <c r="H2816" s="494">
        <v>2.78</v>
      </c>
    </row>
    <row r="2817" spans="1:8" s="318" customFormat="1" ht="12.75" customHeight="1">
      <c r="A2817" s="106"/>
      <c r="B2817" s="105"/>
      <c r="C2817" s="105"/>
      <c r="D2817" s="105"/>
      <c r="E2817" s="105"/>
      <c r="F2817" s="629" t="s">
        <v>610</v>
      </c>
      <c r="G2817" s="629"/>
      <c r="H2817" s="495">
        <v>5.76</v>
      </c>
    </row>
    <row r="2818" spans="1:8" s="318" customFormat="1" ht="12.75" customHeight="1">
      <c r="A2818" s="106"/>
      <c r="B2818" s="105"/>
      <c r="C2818" s="105"/>
      <c r="D2818" s="105"/>
      <c r="E2818" s="105"/>
      <c r="F2818" s="630" t="s">
        <v>464</v>
      </c>
      <c r="G2818" s="630"/>
      <c r="H2818" s="102">
        <v>240.02</v>
      </c>
    </row>
    <row r="2819" spans="1:8" s="318" customFormat="1">
      <c r="A2819" s="106"/>
      <c r="B2819" s="105"/>
      <c r="C2819" s="105"/>
      <c r="D2819" s="105"/>
      <c r="E2819" s="105"/>
      <c r="F2819" s="634"/>
      <c r="G2819" s="634"/>
      <c r="H2819" s="634"/>
    </row>
    <row r="2820" spans="1:8" s="220" customFormat="1" ht="27" customHeight="1">
      <c r="A2820" s="178" t="str">
        <f>'3 - PLAN. ORÇAMENTÁRIA'!A473</f>
        <v>5.3.2.12</v>
      </c>
      <c r="B2820" s="178">
        <f>VLOOKUP(A2820,'3 - PLAN. ORÇAMENTÁRIA'!$A$16:$B$721,2,FALSE)</f>
        <v>90698</v>
      </c>
      <c r="C2820" s="631" t="str">
        <f>VLOOKUP(A2820,'3 - PLAN. ORÇAMENTÁRIA'!$A$16:$C$721,3,FALSE)</f>
        <v>TUBO DE PVC PARA REDE COLETORA DE ESGOTO DE PAREDE MACIÇA, DN 300 MM, JUNTA ELÁSTICA, FORNECIMENTO E ASSENTAMENTO. AF_01/2021</v>
      </c>
      <c r="D2820" s="632"/>
      <c r="E2820" s="632"/>
      <c r="F2820" s="632"/>
      <c r="G2820" s="633"/>
      <c r="H2820" s="493" t="str">
        <f>VLOOKUP(A2820,'3 - PLAN. ORÇAMENTÁRIA'!$A$17:$E$721,5,FALSE)</f>
        <v>M</v>
      </c>
    </row>
    <row r="2821" spans="1:8" s="318" customFormat="1">
      <c r="A2821" s="106"/>
      <c r="B2821" s="628" t="s">
        <v>593</v>
      </c>
      <c r="C2821" s="628"/>
      <c r="D2821" s="103" t="s">
        <v>579</v>
      </c>
      <c r="E2821" s="103" t="s">
        <v>580</v>
      </c>
      <c r="F2821" s="103" t="s">
        <v>581</v>
      </c>
      <c r="G2821" s="103" t="s">
        <v>582</v>
      </c>
      <c r="H2821" s="103" t="s">
        <v>583</v>
      </c>
    </row>
    <row r="2822" spans="1:8" s="318" customFormat="1" ht="25.5">
      <c r="A2822" s="106"/>
      <c r="B2822" s="130" t="s">
        <v>1629</v>
      </c>
      <c r="C2822" s="229" t="s">
        <v>1630</v>
      </c>
      <c r="D2822" s="130" t="s">
        <v>119</v>
      </c>
      <c r="E2822" s="130" t="s">
        <v>144</v>
      </c>
      <c r="F2822" s="230">
        <v>2.5000000000000001E-2</v>
      </c>
      <c r="G2822" s="494">
        <v>30.07</v>
      </c>
      <c r="H2822" s="494">
        <v>0.75</v>
      </c>
    </row>
    <row r="2823" spans="1:8" s="318" customFormat="1">
      <c r="A2823" s="106"/>
      <c r="B2823" s="130" t="s">
        <v>2978</v>
      </c>
      <c r="C2823" s="229" t="s">
        <v>2979</v>
      </c>
      <c r="D2823" s="130" t="s">
        <v>119</v>
      </c>
      <c r="E2823" s="130" t="s">
        <v>173</v>
      </c>
      <c r="F2823" s="230">
        <v>1.05</v>
      </c>
      <c r="G2823" s="494">
        <v>342.53</v>
      </c>
      <c r="H2823" s="494">
        <v>359.66</v>
      </c>
    </row>
    <row r="2824" spans="1:8" s="318" customFormat="1">
      <c r="A2824" s="106"/>
      <c r="B2824" s="105"/>
      <c r="C2824" s="105"/>
      <c r="D2824" s="105"/>
      <c r="E2824" s="105"/>
      <c r="F2824" s="629" t="s">
        <v>604</v>
      </c>
      <c r="G2824" s="629"/>
      <c r="H2824" s="495">
        <v>360.41</v>
      </c>
    </row>
    <row r="2825" spans="1:8" s="318" customFormat="1" ht="12.75" customHeight="1">
      <c r="A2825" s="106"/>
      <c r="B2825" s="628" t="s">
        <v>607</v>
      </c>
      <c r="C2825" s="628"/>
      <c r="D2825" s="103" t="s">
        <v>579</v>
      </c>
      <c r="E2825" s="103" t="s">
        <v>580</v>
      </c>
      <c r="F2825" s="103" t="s">
        <v>581</v>
      </c>
      <c r="G2825" s="103" t="s">
        <v>582</v>
      </c>
      <c r="H2825" s="103" t="s">
        <v>583</v>
      </c>
    </row>
    <row r="2826" spans="1:8" s="318" customFormat="1">
      <c r="A2826" s="106"/>
      <c r="B2826" s="130" t="s">
        <v>2972</v>
      </c>
      <c r="C2826" s="229" t="s">
        <v>2973</v>
      </c>
      <c r="D2826" s="130" t="s">
        <v>119</v>
      </c>
      <c r="E2826" s="130" t="s">
        <v>121</v>
      </c>
      <c r="F2826" s="230">
        <v>0.1308</v>
      </c>
      <c r="G2826" s="494">
        <v>25.46</v>
      </c>
      <c r="H2826" s="494">
        <v>3.33</v>
      </c>
    </row>
    <row r="2827" spans="1:8" s="318" customFormat="1">
      <c r="A2827" s="106"/>
      <c r="B2827" s="130" t="s">
        <v>625</v>
      </c>
      <c r="C2827" s="229" t="s">
        <v>626</v>
      </c>
      <c r="D2827" s="130" t="s">
        <v>119</v>
      </c>
      <c r="E2827" s="130" t="s">
        <v>121</v>
      </c>
      <c r="F2827" s="230">
        <v>0.1308</v>
      </c>
      <c r="G2827" s="494">
        <v>23.75</v>
      </c>
      <c r="H2827" s="494">
        <v>3.11</v>
      </c>
    </row>
    <row r="2828" spans="1:8" s="318" customFormat="1" ht="12.75" customHeight="1">
      <c r="A2828" s="106"/>
      <c r="B2828" s="105"/>
      <c r="C2828" s="105"/>
      <c r="D2828" s="105"/>
      <c r="E2828" s="105"/>
      <c r="F2828" s="629" t="s">
        <v>610</v>
      </c>
      <c r="G2828" s="629"/>
      <c r="H2828" s="495">
        <v>6.44</v>
      </c>
    </row>
    <row r="2829" spans="1:8" s="318" customFormat="1" ht="12.75" customHeight="1">
      <c r="A2829" s="106"/>
      <c r="B2829" s="105"/>
      <c r="C2829" s="105"/>
      <c r="D2829" s="105"/>
      <c r="E2829" s="105"/>
      <c r="F2829" s="630" t="s">
        <v>464</v>
      </c>
      <c r="G2829" s="630"/>
      <c r="H2829" s="102">
        <v>366.83</v>
      </c>
    </row>
    <row r="2830" spans="1:8" s="318" customFormat="1">
      <c r="A2830" s="106"/>
      <c r="B2830" s="105"/>
      <c r="C2830" s="105"/>
      <c r="D2830" s="105"/>
      <c r="E2830" s="105"/>
      <c r="F2830" s="634"/>
      <c r="G2830" s="634"/>
      <c r="H2830" s="634"/>
    </row>
    <row r="2831" spans="1:8" s="220" customFormat="1" ht="27" customHeight="1">
      <c r="A2831" s="178" t="str">
        <f>'3 - PLAN. ORÇAMENTÁRIA'!A474</f>
        <v>5.3.2.13</v>
      </c>
      <c r="B2831" s="178">
        <f>VLOOKUP(A2831,'3 - PLAN. ORÇAMENTÁRIA'!$A$16:$B$721,2,FALSE)</f>
        <v>90699</v>
      </c>
      <c r="C2831" s="631" t="str">
        <f>VLOOKUP(A2831,'3 - PLAN. ORÇAMENTÁRIA'!$A$16:$C$721,3,FALSE)</f>
        <v>TUBO DE PVC PARA REDE COLETORA DE ESGOTO DE PAREDE MACIÇA, DN 350 MM, JUNTA ELÁSTICA - FORNECIMENTO E ASSENTAMENTO. AF_01/2021</v>
      </c>
      <c r="D2831" s="632"/>
      <c r="E2831" s="632"/>
      <c r="F2831" s="632"/>
      <c r="G2831" s="633"/>
      <c r="H2831" s="493" t="str">
        <f>VLOOKUP(A2831,'3 - PLAN. ORÇAMENTÁRIA'!$A$17:$E$721,5,FALSE)</f>
        <v>M</v>
      </c>
    </row>
    <row r="2832" spans="1:8" s="318" customFormat="1">
      <c r="A2832" s="106"/>
      <c r="B2832" s="628" t="s">
        <v>593</v>
      </c>
      <c r="C2832" s="628"/>
      <c r="D2832" s="103" t="s">
        <v>579</v>
      </c>
      <c r="E2832" s="103" t="s">
        <v>580</v>
      </c>
      <c r="F2832" s="103" t="s">
        <v>581</v>
      </c>
      <c r="G2832" s="103" t="s">
        <v>582</v>
      </c>
      <c r="H2832" s="103" t="s">
        <v>583</v>
      </c>
    </row>
    <row r="2833" spans="1:8" s="318" customFormat="1" ht="25.5">
      <c r="A2833" s="106"/>
      <c r="B2833" s="130" t="s">
        <v>1629</v>
      </c>
      <c r="C2833" s="229" t="s">
        <v>1630</v>
      </c>
      <c r="D2833" s="130" t="s">
        <v>119</v>
      </c>
      <c r="E2833" s="130" t="s">
        <v>144</v>
      </c>
      <c r="F2833" s="230">
        <v>2.92E-2</v>
      </c>
      <c r="G2833" s="494">
        <v>30.07</v>
      </c>
      <c r="H2833" s="494">
        <v>0.88</v>
      </c>
    </row>
    <row r="2834" spans="1:8" s="318" customFormat="1">
      <c r="A2834" s="106"/>
      <c r="B2834" s="130" t="s">
        <v>2980</v>
      </c>
      <c r="C2834" s="229" t="s">
        <v>2981</v>
      </c>
      <c r="D2834" s="130" t="s">
        <v>119</v>
      </c>
      <c r="E2834" s="130" t="s">
        <v>173</v>
      </c>
      <c r="F2834" s="230">
        <v>1.05</v>
      </c>
      <c r="G2834" s="494">
        <v>484.08</v>
      </c>
      <c r="H2834" s="494">
        <v>508.28</v>
      </c>
    </row>
    <row r="2835" spans="1:8" s="318" customFormat="1">
      <c r="A2835" s="106"/>
      <c r="B2835" s="105"/>
      <c r="C2835" s="105"/>
      <c r="D2835" s="105"/>
      <c r="E2835" s="105"/>
      <c r="F2835" s="629" t="s">
        <v>604</v>
      </c>
      <c r="G2835" s="629"/>
      <c r="H2835" s="495">
        <v>509.16</v>
      </c>
    </row>
    <row r="2836" spans="1:8" s="318" customFormat="1" ht="12.75" customHeight="1">
      <c r="A2836" s="106"/>
      <c r="B2836" s="628" t="s">
        <v>607</v>
      </c>
      <c r="C2836" s="628"/>
      <c r="D2836" s="103" t="s">
        <v>579</v>
      </c>
      <c r="E2836" s="103" t="s">
        <v>580</v>
      </c>
      <c r="F2836" s="103" t="s">
        <v>581</v>
      </c>
      <c r="G2836" s="103" t="s">
        <v>582</v>
      </c>
      <c r="H2836" s="103" t="s">
        <v>583</v>
      </c>
    </row>
    <row r="2837" spans="1:8" s="318" customFormat="1">
      <c r="A2837" s="106"/>
      <c r="B2837" s="130" t="s">
        <v>2972</v>
      </c>
      <c r="C2837" s="229" t="s">
        <v>2973</v>
      </c>
      <c r="D2837" s="130" t="s">
        <v>119</v>
      </c>
      <c r="E2837" s="130" t="s">
        <v>121</v>
      </c>
      <c r="F2837" s="230">
        <v>0.1447</v>
      </c>
      <c r="G2837" s="494">
        <v>25.46</v>
      </c>
      <c r="H2837" s="494">
        <v>3.68</v>
      </c>
    </row>
    <row r="2838" spans="1:8" s="318" customFormat="1">
      <c r="A2838" s="106"/>
      <c r="B2838" s="130" t="s">
        <v>625</v>
      </c>
      <c r="C2838" s="229" t="s">
        <v>626</v>
      </c>
      <c r="D2838" s="130" t="s">
        <v>119</v>
      </c>
      <c r="E2838" s="130" t="s">
        <v>121</v>
      </c>
      <c r="F2838" s="230">
        <v>0.1447</v>
      </c>
      <c r="G2838" s="494">
        <v>23.75</v>
      </c>
      <c r="H2838" s="494">
        <v>3.44</v>
      </c>
    </row>
    <row r="2839" spans="1:8" s="318" customFormat="1" ht="12.75" customHeight="1">
      <c r="A2839" s="106"/>
      <c r="B2839" s="105"/>
      <c r="C2839" s="105"/>
      <c r="D2839" s="105"/>
      <c r="E2839" s="105"/>
      <c r="F2839" s="629" t="s">
        <v>610</v>
      </c>
      <c r="G2839" s="629"/>
      <c r="H2839" s="495">
        <v>7.12</v>
      </c>
    </row>
    <row r="2840" spans="1:8" s="318" customFormat="1" ht="12.75" customHeight="1">
      <c r="A2840" s="106"/>
      <c r="B2840" s="105"/>
      <c r="C2840" s="105"/>
      <c r="D2840" s="105"/>
      <c r="E2840" s="105"/>
      <c r="F2840" s="630" t="s">
        <v>464</v>
      </c>
      <c r="G2840" s="630"/>
      <c r="H2840" s="102">
        <v>516.26</v>
      </c>
    </row>
    <row r="2841" spans="1:8" s="318" customFormat="1">
      <c r="A2841" s="106"/>
      <c r="B2841" s="156"/>
      <c r="C2841" s="156"/>
      <c r="D2841" s="156"/>
      <c r="E2841" s="156"/>
      <c r="F2841" s="635"/>
      <c r="G2841" s="635"/>
      <c r="H2841" s="635"/>
    </row>
    <row r="2842" spans="1:8" s="220" customFormat="1" ht="27" customHeight="1">
      <c r="A2842" s="178" t="str">
        <f>'3 - PLAN. ORÇAMENTÁRIA'!A478</f>
        <v>5.3.3.3</v>
      </c>
      <c r="B2842" s="178">
        <f>VLOOKUP(A2842,'3 - PLAN. ORÇAMENTÁRIA'!$A$16:$B$721,2,FALSE)</f>
        <v>99253</v>
      </c>
      <c r="C2842" s="631" t="str">
        <f>VLOOKUP(A2842,'3 - PLAN. ORÇAMENTÁRIA'!$A$16:$C$721,3,FALSE)</f>
        <v>CAIXA ENTERRADA HIDRÁULICA RETANGULAR EM ALVENARIA COM TIJOLOS CERÂMICOS MACIÇOS, DIMENSÕES INTERNAS: 0,6X0,6X0,6 M PARA REDE DE DRENAGEM. AF_12/2020</v>
      </c>
      <c r="D2842" s="632"/>
      <c r="E2842" s="632"/>
      <c r="F2842" s="632"/>
      <c r="G2842" s="633"/>
      <c r="H2842" s="433" t="str">
        <f>VLOOKUP(A2842,'3 - PLAN. ORÇAMENTÁRIA'!$A$17:$E$721,5,FALSE)</f>
        <v>UN</v>
      </c>
    </row>
    <row r="2843" spans="1:8" s="318" customFormat="1" ht="12.75" customHeight="1">
      <c r="A2843" s="106"/>
      <c r="B2843" s="628" t="s">
        <v>1301</v>
      </c>
      <c r="C2843" s="628"/>
      <c r="D2843" s="103" t="s">
        <v>579</v>
      </c>
      <c r="E2843" s="103" t="s">
        <v>580</v>
      </c>
      <c r="F2843" s="103" t="s">
        <v>581</v>
      </c>
      <c r="G2843" s="103" t="s">
        <v>582</v>
      </c>
      <c r="H2843" s="103" t="s">
        <v>583</v>
      </c>
    </row>
    <row r="2844" spans="1:8" s="318" customFormat="1" ht="38.25">
      <c r="A2844" s="106"/>
      <c r="B2844" s="130" t="s">
        <v>1679</v>
      </c>
      <c r="C2844" s="229" t="s">
        <v>1680</v>
      </c>
      <c r="D2844" s="130" t="s">
        <v>119</v>
      </c>
      <c r="E2844" s="130" t="s">
        <v>1304</v>
      </c>
      <c r="F2844" s="230">
        <v>1.78E-2</v>
      </c>
      <c r="G2844" s="494">
        <v>62.96</v>
      </c>
      <c r="H2844" s="494">
        <v>1.1200000000000001</v>
      </c>
    </row>
    <row r="2845" spans="1:8" s="318" customFormat="1" ht="38.25">
      <c r="A2845" s="106"/>
      <c r="B2845" s="130" t="s">
        <v>1681</v>
      </c>
      <c r="C2845" s="229" t="s">
        <v>1682</v>
      </c>
      <c r="D2845" s="130" t="s">
        <v>119</v>
      </c>
      <c r="E2845" s="130" t="s">
        <v>1307</v>
      </c>
      <c r="F2845" s="230">
        <v>8.6999999999999994E-3</v>
      </c>
      <c r="G2845" s="494">
        <v>146.19</v>
      </c>
      <c r="H2845" s="494">
        <v>1.27</v>
      </c>
    </row>
    <row r="2846" spans="1:8" s="318" customFormat="1" ht="12.75" customHeight="1">
      <c r="A2846" s="106"/>
      <c r="B2846" s="105"/>
      <c r="C2846" s="105"/>
      <c r="D2846" s="105"/>
      <c r="E2846" s="105"/>
      <c r="F2846" s="629" t="s">
        <v>1308</v>
      </c>
      <c r="G2846" s="629"/>
      <c r="H2846" s="495">
        <v>2.39</v>
      </c>
    </row>
    <row r="2847" spans="1:8" s="318" customFormat="1">
      <c r="A2847" s="106"/>
      <c r="B2847" s="628" t="s">
        <v>593</v>
      </c>
      <c r="C2847" s="628"/>
      <c r="D2847" s="103" t="s">
        <v>579</v>
      </c>
      <c r="E2847" s="103" t="s">
        <v>580</v>
      </c>
      <c r="F2847" s="103" t="s">
        <v>581</v>
      </c>
      <c r="G2847" s="103" t="s">
        <v>582</v>
      </c>
      <c r="H2847" s="103" t="s">
        <v>583</v>
      </c>
    </row>
    <row r="2848" spans="1:8" s="318" customFormat="1">
      <c r="A2848" s="106"/>
      <c r="B2848" s="130" t="s">
        <v>643</v>
      </c>
      <c r="C2848" s="229" t="s">
        <v>644</v>
      </c>
      <c r="D2848" s="130" t="s">
        <v>119</v>
      </c>
      <c r="E2848" s="130" t="s">
        <v>107</v>
      </c>
      <c r="F2848" s="230">
        <v>5.4000000000000003E-3</v>
      </c>
      <c r="G2848" s="494">
        <v>7.16</v>
      </c>
      <c r="H2848" s="494">
        <v>0.04</v>
      </c>
    </row>
    <row r="2849" spans="1:8" s="318" customFormat="1">
      <c r="A2849" s="106"/>
      <c r="B2849" s="130" t="s">
        <v>1309</v>
      </c>
      <c r="C2849" s="229" t="s">
        <v>1310</v>
      </c>
      <c r="D2849" s="130" t="s">
        <v>119</v>
      </c>
      <c r="E2849" s="130" t="s">
        <v>173</v>
      </c>
      <c r="F2849" s="230">
        <v>0.11840000000000001</v>
      </c>
      <c r="G2849" s="494">
        <v>7.78</v>
      </c>
      <c r="H2849" s="494">
        <v>0.92</v>
      </c>
    </row>
    <row r="2850" spans="1:8" s="318" customFormat="1">
      <c r="A2850" s="106"/>
      <c r="B2850" s="130" t="s">
        <v>1323</v>
      </c>
      <c r="C2850" s="229" t="s">
        <v>1324</v>
      </c>
      <c r="D2850" s="130" t="s">
        <v>119</v>
      </c>
      <c r="E2850" s="130" t="s">
        <v>200</v>
      </c>
      <c r="F2850" s="230">
        <v>1.2500000000000001E-2</v>
      </c>
      <c r="G2850" s="494">
        <v>19.079999999999998</v>
      </c>
      <c r="H2850" s="494">
        <v>0.24</v>
      </c>
    </row>
    <row r="2851" spans="1:8" s="318" customFormat="1">
      <c r="A2851" s="106"/>
      <c r="B2851" s="130" t="s">
        <v>1397</v>
      </c>
      <c r="C2851" s="229" t="s">
        <v>1398</v>
      </c>
      <c r="D2851" s="130" t="s">
        <v>119</v>
      </c>
      <c r="E2851" s="130" t="s">
        <v>173</v>
      </c>
      <c r="F2851" s="230">
        <v>0.14080000000000001</v>
      </c>
      <c r="G2851" s="494">
        <v>2.72</v>
      </c>
      <c r="H2851" s="494">
        <v>0.38</v>
      </c>
    </row>
    <row r="2852" spans="1:8" s="318" customFormat="1" ht="25.5">
      <c r="A2852" s="106"/>
      <c r="B2852" s="130" t="s">
        <v>1429</v>
      </c>
      <c r="C2852" s="229" t="s">
        <v>1430</v>
      </c>
      <c r="D2852" s="130" t="s">
        <v>119</v>
      </c>
      <c r="E2852" s="130" t="s">
        <v>173</v>
      </c>
      <c r="F2852" s="230">
        <v>0.44159999999999999</v>
      </c>
      <c r="G2852" s="494">
        <v>18.37</v>
      </c>
      <c r="H2852" s="494">
        <v>8.11</v>
      </c>
    </row>
    <row r="2853" spans="1:8" s="318" customFormat="1">
      <c r="A2853" s="106"/>
      <c r="B2853" s="130" t="s">
        <v>1472</v>
      </c>
      <c r="C2853" s="229" t="s">
        <v>1473</v>
      </c>
      <c r="D2853" s="130" t="s">
        <v>119</v>
      </c>
      <c r="E2853" s="130" t="s">
        <v>144</v>
      </c>
      <c r="F2853" s="230">
        <v>131.81880000000001</v>
      </c>
      <c r="G2853" s="494">
        <v>0.61</v>
      </c>
      <c r="H2853" s="494">
        <v>80.41</v>
      </c>
    </row>
    <row r="2854" spans="1:8" s="318" customFormat="1">
      <c r="A2854" s="106"/>
      <c r="B2854" s="105"/>
      <c r="C2854" s="105"/>
      <c r="D2854" s="105"/>
      <c r="E2854" s="105"/>
      <c r="F2854" s="629" t="s">
        <v>604</v>
      </c>
      <c r="G2854" s="629"/>
      <c r="H2854" s="495">
        <v>90.1</v>
      </c>
    </row>
    <row r="2855" spans="1:8" s="318" customFormat="1" ht="12.75" customHeight="1">
      <c r="A2855" s="106"/>
      <c r="B2855" s="628" t="s">
        <v>607</v>
      </c>
      <c r="C2855" s="628"/>
      <c r="D2855" s="103" t="s">
        <v>579</v>
      </c>
      <c r="E2855" s="103" t="s">
        <v>580</v>
      </c>
      <c r="F2855" s="103" t="s">
        <v>581</v>
      </c>
      <c r="G2855" s="103" t="s">
        <v>582</v>
      </c>
      <c r="H2855" s="103" t="s">
        <v>583</v>
      </c>
    </row>
    <row r="2856" spans="1:8" s="318" customFormat="1">
      <c r="A2856" s="106"/>
      <c r="B2856" s="130" t="s">
        <v>639</v>
      </c>
      <c r="C2856" s="229" t="s">
        <v>640</v>
      </c>
      <c r="D2856" s="130" t="s">
        <v>119</v>
      </c>
      <c r="E2856" s="130" t="s">
        <v>121</v>
      </c>
      <c r="F2856" s="230">
        <v>5.0944000000000003</v>
      </c>
      <c r="G2856" s="494">
        <v>31.34</v>
      </c>
      <c r="H2856" s="494">
        <v>159.66</v>
      </c>
    </row>
    <row r="2857" spans="1:8" s="318" customFormat="1">
      <c r="A2857" s="106"/>
      <c r="B2857" s="130" t="s">
        <v>625</v>
      </c>
      <c r="C2857" s="229" t="s">
        <v>626</v>
      </c>
      <c r="D2857" s="130" t="s">
        <v>119</v>
      </c>
      <c r="E2857" s="130" t="s">
        <v>121</v>
      </c>
      <c r="F2857" s="230">
        <v>4.0027999999999997</v>
      </c>
      <c r="G2857" s="494">
        <v>23.75</v>
      </c>
      <c r="H2857" s="494">
        <v>95.07</v>
      </c>
    </row>
    <row r="2858" spans="1:8" s="318" customFormat="1" ht="12.75" customHeight="1">
      <c r="A2858" s="106"/>
      <c r="B2858" s="105"/>
      <c r="C2858" s="105"/>
      <c r="D2858" s="105"/>
      <c r="E2858" s="105"/>
      <c r="F2858" s="629" t="s">
        <v>610</v>
      </c>
      <c r="G2858" s="629"/>
      <c r="H2858" s="495">
        <v>254.73</v>
      </c>
    </row>
    <row r="2859" spans="1:8" s="318" customFormat="1">
      <c r="A2859" s="106"/>
      <c r="B2859" s="628" t="s">
        <v>586</v>
      </c>
      <c r="C2859" s="628"/>
      <c r="D2859" s="103" t="s">
        <v>579</v>
      </c>
      <c r="E2859" s="103" t="s">
        <v>580</v>
      </c>
      <c r="F2859" s="103" t="s">
        <v>581</v>
      </c>
      <c r="G2859" s="103" t="s">
        <v>582</v>
      </c>
      <c r="H2859" s="103" t="s">
        <v>583</v>
      </c>
    </row>
    <row r="2860" spans="1:8" s="318" customFormat="1" ht="25.5">
      <c r="A2860" s="106"/>
      <c r="B2860" s="130" t="s">
        <v>2871</v>
      </c>
      <c r="C2860" s="229" t="s">
        <v>2872</v>
      </c>
      <c r="D2860" s="130" t="s">
        <v>119</v>
      </c>
      <c r="E2860" s="130" t="s">
        <v>167</v>
      </c>
      <c r="F2860" s="230">
        <v>0.11559999999999999</v>
      </c>
      <c r="G2860" s="494">
        <v>515.34</v>
      </c>
      <c r="H2860" s="494">
        <v>59.57</v>
      </c>
    </row>
    <row r="2861" spans="1:8" s="318" customFormat="1" ht="25.5">
      <c r="A2861" s="106"/>
      <c r="B2861" s="130" t="s">
        <v>1683</v>
      </c>
      <c r="C2861" s="229" t="s">
        <v>1684</v>
      </c>
      <c r="D2861" s="130" t="s">
        <v>119</v>
      </c>
      <c r="E2861" s="130" t="s">
        <v>167</v>
      </c>
      <c r="F2861" s="230">
        <v>1.4800000000000001E-2</v>
      </c>
      <c r="G2861" s="494">
        <v>558.9</v>
      </c>
      <c r="H2861" s="494">
        <v>8.27</v>
      </c>
    </row>
    <row r="2862" spans="1:8" s="318" customFormat="1" ht="25.5">
      <c r="A2862" s="106"/>
      <c r="B2862" s="130" t="s">
        <v>1451</v>
      </c>
      <c r="C2862" s="229" t="s">
        <v>1452</v>
      </c>
      <c r="D2862" s="130" t="s">
        <v>119</v>
      </c>
      <c r="E2862" s="130" t="s">
        <v>167</v>
      </c>
      <c r="F2862" s="230">
        <v>7.4399999999999994E-2</v>
      </c>
      <c r="G2862" s="494">
        <v>491.53</v>
      </c>
      <c r="H2862" s="494">
        <v>36.57</v>
      </c>
    </row>
    <row r="2863" spans="1:8" s="318" customFormat="1" ht="25.5">
      <c r="A2863" s="106"/>
      <c r="B2863" s="130" t="s">
        <v>1710</v>
      </c>
      <c r="C2863" s="229" t="s">
        <v>1711</v>
      </c>
      <c r="D2863" s="130" t="s">
        <v>119</v>
      </c>
      <c r="E2863" s="130" t="s">
        <v>167</v>
      </c>
      <c r="F2863" s="230">
        <v>4.48E-2</v>
      </c>
      <c r="G2863" s="494">
        <v>2587.48</v>
      </c>
      <c r="H2863" s="494">
        <v>115.92</v>
      </c>
    </row>
    <row r="2864" spans="1:8" s="318" customFormat="1" ht="25.5">
      <c r="A2864" s="106"/>
      <c r="B2864" s="130" t="s">
        <v>210</v>
      </c>
      <c r="C2864" s="229" t="s">
        <v>211</v>
      </c>
      <c r="D2864" s="130" t="s">
        <v>119</v>
      </c>
      <c r="E2864" s="130" t="s">
        <v>139</v>
      </c>
      <c r="F2864" s="230">
        <v>0.81</v>
      </c>
      <c r="G2864" s="494">
        <v>7.03</v>
      </c>
      <c r="H2864" s="494">
        <v>5.69</v>
      </c>
    </row>
    <row r="2865" spans="1:8" s="318" customFormat="1">
      <c r="A2865" s="106"/>
      <c r="B2865" s="105"/>
      <c r="C2865" s="105"/>
      <c r="D2865" s="105"/>
      <c r="E2865" s="105"/>
      <c r="F2865" s="629" t="s">
        <v>587</v>
      </c>
      <c r="G2865" s="629"/>
      <c r="H2865" s="495">
        <v>226.02</v>
      </c>
    </row>
    <row r="2866" spans="1:8" s="318" customFormat="1" ht="12.75" customHeight="1">
      <c r="A2866" s="106"/>
      <c r="B2866" s="105"/>
      <c r="C2866" s="105"/>
      <c r="D2866" s="105"/>
      <c r="E2866" s="105"/>
      <c r="F2866" s="630" t="s">
        <v>464</v>
      </c>
      <c r="G2866" s="630"/>
      <c r="H2866" s="102">
        <v>573.24</v>
      </c>
    </row>
    <row r="2867" spans="1:8" s="318" customFormat="1">
      <c r="A2867" s="106"/>
      <c r="B2867" s="105"/>
      <c r="C2867" s="105"/>
      <c r="D2867" s="105"/>
      <c r="E2867" s="105"/>
      <c r="F2867" s="366"/>
      <c r="G2867" s="366"/>
      <c r="H2867" s="366"/>
    </row>
    <row r="2868" spans="1:8" s="220" customFormat="1" ht="27" customHeight="1">
      <c r="A2868" s="178" t="str">
        <f>'3 - PLAN. ORÇAMENTÁRIA'!A486</f>
        <v>5.4.1.1</v>
      </c>
      <c r="B2868" s="178">
        <f>VLOOKUP(A2868,'3 - PLAN. ORÇAMENTÁRIA'!$A$16:$B$721,2,FALSE)</f>
        <v>89784</v>
      </c>
      <c r="C2868" s="631" t="str">
        <f>VLOOKUP(A2868,'3 - PLAN. ORÇAMENTÁRIA'!$A$16:$C$721,3,FALSE)</f>
        <v>TE, PVC, SERIE NORMAL, ESGOTO PREDIAL, DN 50 X 50 MM, JUNTA ELÁSTICA, FORNECIDO E INSTALADO</v>
      </c>
      <c r="D2868" s="632"/>
      <c r="E2868" s="632"/>
      <c r="F2868" s="632"/>
      <c r="G2868" s="633"/>
      <c r="H2868" s="433" t="str">
        <f>VLOOKUP(A2868,'3 - PLAN. ORÇAMENTÁRIA'!$A$17:$E$721,5,FALSE)</f>
        <v>UN</v>
      </c>
    </row>
    <row r="2869" spans="1:8" s="318" customFormat="1">
      <c r="A2869" s="106"/>
      <c r="B2869" s="628" t="s">
        <v>593</v>
      </c>
      <c r="C2869" s="628"/>
      <c r="D2869" s="103" t="s">
        <v>579</v>
      </c>
      <c r="E2869" s="103" t="s">
        <v>580</v>
      </c>
      <c r="F2869" s="103" t="s">
        <v>581</v>
      </c>
      <c r="G2869" s="103" t="s">
        <v>582</v>
      </c>
      <c r="H2869" s="103" t="s">
        <v>583</v>
      </c>
    </row>
    <row r="2870" spans="1:8" s="318" customFormat="1">
      <c r="A2870" s="106"/>
      <c r="B2870" s="130" t="s">
        <v>1631</v>
      </c>
      <c r="C2870" s="229" t="s">
        <v>1632</v>
      </c>
      <c r="D2870" s="130" t="s">
        <v>119</v>
      </c>
      <c r="E2870" s="130" t="s">
        <v>144</v>
      </c>
      <c r="F2870" s="230">
        <v>3</v>
      </c>
      <c r="G2870" s="494">
        <v>1.68</v>
      </c>
      <c r="H2870" s="494">
        <v>5.04</v>
      </c>
    </row>
    <row r="2871" spans="1:8" s="318" customFormat="1" ht="25.5">
      <c r="A2871" s="106"/>
      <c r="B2871" s="130" t="s">
        <v>1629</v>
      </c>
      <c r="C2871" s="229" t="s">
        <v>1630</v>
      </c>
      <c r="D2871" s="130" t="s">
        <v>119</v>
      </c>
      <c r="E2871" s="130" t="s">
        <v>144</v>
      </c>
      <c r="F2871" s="230">
        <v>7.4999999999999997E-2</v>
      </c>
      <c r="G2871" s="494">
        <v>30.07</v>
      </c>
      <c r="H2871" s="494">
        <v>2.2599999999999998</v>
      </c>
    </row>
    <row r="2872" spans="1:8" s="318" customFormat="1">
      <c r="A2872" s="106"/>
      <c r="B2872" s="130" t="s">
        <v>1633</v>
      </c>
      <c r="C2872" s="229" t="s">
        <v>1634</v>
      </c>
      <c r="D2872" s="130" t="s">
        <v>119</v>
      </c>
      <c r="E2872" s="130" t="s">
        <v>144</v>
      </c>
      <c r="F2872" s="230">
        <v>1</v>
      </c>
      <c r="G2872" s="494">
        <v>7.98</v>
      </c>
      <c r="H2872" s="494">
        <v>7.98</v>
      </c>
    </row>
    <row r="2873" spans="1:8" s="318" customFormat="1">
      <c r="A2873" s="106"/>
      <c r="B2873" s="105"/>
      <c r="C2873" s="105"/>
      <c r="D2873" s="105"/>
      <c r="E2873" s="105"/>
      <c r="F2873" s="629" t="s">
        <v>604</v>
      </c>
      <c r="G2873" s="629"/>
      <c r="H2873" s="495">
        <v>15.28</v>
      </c>
    </row>
    <row r="2874" spans="1:8" s="318" customFormat="1" ht="12.75" customHeight="1">
      <c r="A2874" s="106"/>
      <c r="B2874" s="628" t="s">
        <v>607</v>
      </c>
      <c r="C2874" s="628"/>
      <c r="D2874" s="103" t="s">
        <v>579</v>
      </c>
      <c r="E2874" s="103" t="s">
        <v>580</v>
      </c>
      <c r="F2874" s="103" t="s">
        <v>581</v>
      </c>
      <c r="G2874" s="103" t="s">
        <v>582</v>
      </c>
      <c r="H2874" s="103" t="s">
        <v>583</v>
      </c>
    </row>
    <row r="2875" spans="1:8" s="318" customFormat="1">
      <c r="A2875" s="106"/>
      <c r="B2875" s="130" t="s">
        <v>1296</v>
      </c>
      <c r="C2875" s="229" t="s">
        <v>611</v>
      </c>
      <c r="D2875" s="130" t="s">
        <v>119</v>
      </c>
      <c r="E2875" s="130" t="s">
        <v>121</v>
      </c>
      <c r="F2875" s="230">
        <v>0.18390000000000001</v>
      </c>
      <c r="G2875" s="494">
        <v>24.02</v>
      </c>
      <c r="H2875" s="494">
        <v>4.42</v>
      </c>
    </row>
    <row r="2876" spans="1:8" s="318" customFormat="1">
      <c r="A2876" s="106"/>
      <c r="B2876" s="130" t="s">
        <v>1297</v>
      </c>
      <c r="C2876" s="229" t="s">
        <v>612</v>
      </c>
      <c r="D2876" s="130" t="s">
        <v>119</v>
      </c>
      <c r="E2876" s="130" t="s">
        <v>121</v>
      </c>
      <c r="F2876" s="230">
        <v>0.18390000000000001</v>
      </c>
      <c r="G2876" s="494">
        <v>30.62</v>
      </c>
      <c r="H2876" s="494">
        <v>5.63</v>
      </c>
    </row>
    <row r="2877" spans="1:8" s="318" customFormat="1" ht="12.75" customHeight="1">
      <c r="A2877" s="106"/>
      <c r="B2877" s="105"/>
      <c r="C2877" s="105"/>
      <c r="D2877" s="105"/>
      <c r="E2877" s="105"/>
      <c r="F2877" s="629" t="s">
        <v>610</v>
      </c>
      <c r="G2877" s="629"/>
      <c r="H2877" s="495">
        <v>10.050000000000001</v>
      </c>
    </row>
    <row r="2878" spans="1:8" s="318" customFormat="1" ht="12.75" customHeight="1">
      <c r="A2878" s="106"/>
      <c r="B2878" s="105"/>
      <c r="C2878" s="105"/>
      <c r="D2878" s="105"/>
      <c r="E2878" s="105"/>
      <c r="F2878" s="630" t="s">
        <v>464</v>
      </c>
      <c r="G2878" s="630"/>
      <c r="H2878" s="102">
        <v>25.31</v>
      </c>
    </row>
    <row r="2879" spans="1:8" s="318" customFormat="1">
      <c r="A2879" s="106"/>
      <c r="B2879" s="105"/>
      <c r="C2879" s="105"/>
      <c r="D2879" s="105"/>
      <c r="E2879" s="105"/>
      <c r="F2879" s="634"/>
      <c r="G2879" s="634"/>
      <c r="H2879" s="634"/>
    </row>
    <row r="2880" spans="1:8" s="220" customFormat="1" ht="27" customHeight="1">
      <c r="A2880" s="178" t="str">
        <f>'3 - PLAN. ORÇAMENTÁRIA'!A487</f>
        <v>5.4.1.2</v>
      </c>
      <c r="B2880" s="178">
        <f>VLOOKUP(A2880,'3 - PLAN. ORÇAMENTÁRIA'!$A$16:$B$721,2,FALSE)</f>
        <v>89821</v>
      </c>
      <c r="C2880" s="631" t="str">
        <f>VLOOKUP(A2880,'3 - PLAN. ORÇAMENTÁRIA'!$A$16:$C$721,3,FALSE)</f>
        <v>LUVA SIMPLES, PVC, SERIE NORMAL, ESGOTO PREDIAL, DN 100 MM, JUNTA ELÁSTICA, FORNECIDO E INSTALADO</v>
      </c>
      <c r="D2880" s="632"/>
      <c r="E2880" s="632"/>
      <c r="F2880" s="632"/>
      <c r="G2880" s="633"/>
      <c r="H2880" s="493" t="str">
        <f>VLOOKUP(A2880,'3 - PLAN. ORÇAMENTÁRIA'!$A$17:$E$721,5,FALSE)</f>
        <v>UN</v>
      </c>
    </row>
    <row r="2881" spans="1:8" s="318" customFormat="1">
      <c r="A2881" s="106"/>
      <c r="B2881" s="628" t="s">
        <v>593</v>
      </c>
      <c r="C2881" s="628"/>
      <c r="D2881" s="103" t="s">
        <v>579</v>
      </c>
      <c r="E2881" s="103" t="s">
        <v>580</v>
      </c>
      <c r="F2881" s="103" t="s">
        <v>581</v>
      </c>
      <c r="G2881" s="103" t="s">
        <v>582</v>
      </c>
      <c r="H2881" s="103" t="s">
        <v>583</v>
      </c>
    </row>
    <row r="2882" spans="1:8" s="318" customFormat="1">
      <c r="A2882" s="106"/>
      <c r="B2882" s="130" t="s">
        <v>1540</v>
      </c>
      <c r="C2882" s="229" t="s">
        <v>1541</v>
      </c>
      <c r="D2882" s="130" t="s">
        <v>119</v>
      </c>
      <c r="E2882" s="130" t="s">
        <v>144</v>
      </c>
      <c r="F2882" s="230">
        <v>2.4500000000000001E-2</v>
      </c>
      <c r="G2882" s="494">
        <v>72.86</v>
      </c>
      <c r="H2882" s="494">
        <v>1.79</v>
      </c>
    </row>
    <row r="2883" spans="1:8" s="318" customFormat="1">
      <c r="A2883" s="106"/>
      <c r="B2883" s="130" t="s">
        <v>673</v>
      </c>
      <c r="C2883" s="229" t="s">
        <v>3789</v>
      </c>
      <c r="D2883" s="130" t="s">
        <v>119</v>
      </c>
      <c r="E2883" s="130" t="s">
        <v>144</v>
      </c>
      <c r="F2883" s="230">
        <v>5.4000000000000003E-3</v>
      </c>
      <c r="G2883" s="494">
        <v>2.57</v>
      </c>
      <c r="H2883" s="494">
        <v>0.01</v>
      </c>
    </row>
    <row r="2884" spans="1:8" s="318" customFormat="1">
      <c r="A2884" s="106"/>
      <c r="B2884" s="130" t="s">
        <v>1637</v>
      </c>
      <c r="C2884" s="229" t="s">
        <v>1638</v>
      </c>
      <c r="D2884" s="130" t="s">
        <v>119</v>
      </c>
      <c r="E2884" s="130" t="s">
        <v>144</v>
      </c>
      <c r="F2884" s="230">
        <v>1</v>
      </c>
      <c r="G2884" s="494">
        <v>6.97</v>
      </c>
      <c r="H2884" s="494">
        <v>6.97</v>
      </c>
    </row>
    <row r="2885" spans="1:8" s="318" customFormat="1">
      <c r="A2885" s="106"/>
      <c r="B2885" s="130" t="s">
        <v>1542</v>
      </c>
      <c r="C2885" s="229" t="s">
        <v>1543</v>
      </c>
      <c r="D2885" s="130" t="s">
        <v>119</v>
      </c>
      <c r="E2885" s="130" t="s">
        <v>144</v>
      </c>
      <c r="F2885" s="230">
        <v>0.04</v>
      </c>
      <c r="G2885" s="494">
        <v>82.55</v>
      </c>
      <c r="H2885" s="494">
        <v>3.3</v>
      </c>
    </row>
    <row r="2886" spans="1:8" s="318" customFormat="1">
      <c r="A2886" s="106"/>
      <c r="B2886" s="105"/>
      <c r="C2886" s="105"/>
      <c r="D2886" s="105"/>
      <c r="E2886" s="105"/>
      <c r="F2886" s="629" t="s">
        <v>604</v>
      </c>
      <c r="G2886" s="629"/>
      <c r="H2886" s="495">
        <v>12.07</v>
      </c>
    </row>
    <row r="2887" spans="1:8" s="318" customFormat="1" ht="12.75" customHeight="1">
      <c r="A2887" s="106"/>
      <c r="B2887" s="628" t="s">
        <v>607</v>
      </c>
      <c r="C2887" s="628"/>
      <c r="D2887" s="103" t="s">
        <v>579</v>
      </c>
      <c r="E2887" s="103" t="s">
        <v>580</v>
      </c>
      <c r="F2887" s="103" t="s">
        <v>581</v>
      </c>
      <c r="G2887" s="103" t="s">
        <v>582</v>
      </c>
      <c r="H2887" s="103" t="s">
        <v>583</v>
      </c>
    </row>
    <row r="2888" spans="1:8" s="318" customFormat="1">
      <c r="A2888" s="106"/>
      <c r="B2888" s="130" t="s">
        <v>1296</v>
      </c>
      <c r="C2888" s="229" t="s">
        <v>611</v>
      </c>
      <c r="D2888" s="130" t="s">
        <v>119</v>
      </c>
      <c r="E2888" s="130" t="s">
        <v>121</v>
      </c>
      <c r="F2888" s="230">
        <v>0.14480000000000001</v>
      </c>
      <c r="G2888" s="494">
        <v>24.02</v>
      </c>
      <c r="H2888" s="494">
        <v>3.48</v>
      </c>
    </row>
    <row r="2889" spans="1:8" s="318" customFormat="1">
      <c r="A2889" s="106"/>
      <c r="B2889" s="130" t="s">
        <v>1297</v>
      </c>
      <c r="C2889" s="229" t="s">
        <v>612</v>
      </c>
      <c r="D2889" s="130" t="s">
        <v>119</v>
      </c>
      <c r="E2889" s="130" t="s">
        <v>121</v>
      </c>
      <c r="F2889" s="230">
        <v>0.14480000000000001</v>
      </c>
      <c r="G2889" s="494">
        <v>30.62</v>
      </c>
      <c r="H2889" s="494">
        <v>4.43</v>
      </c>
    </row>
    <row r="2890" spans="1:8" s="318" customFormat="1" ht="12.75" customHeight="1">
      <c r="A2890" s="106"/>
      <c r="B2890" s="105"/>
      <c r="C2890" s="105"/>
      <c r="D2890" s="105"/>
      <c r="E2890" s="105"/>
      <c r="F2890" s="629" t="s">
        <v>610</v>
      </c>
      <c r="G2890" s="629"/>
      <c r="H2890" s="495">
        <v>7.91</v>
      </c>
    </row>
    <row r="2891" spans="1:8" s="318" customFormat="1" ht="12.75" customHeight="1">
      <c r="A2891" s="106"/>
      <c r="B2891" s="105"/>
      <c r="C2891" s="105"/>
      <c r="D2891" s="105"/>
      <c r="E2891" s="105"/>
      <c r="F2891" s="630" t="s">
        <v>464</v>
      </c>
      <c r="G2891" s="630"/>
      <c r="H2891" s="102">
        <v>19.96</v>
      </c>
    </row>
    <row r="2892" spans="1:8" s="318" customFormat="1">
      <c r="A2892" s="106"/>
      <c r="B2892" s="105"/>
      <c r="C2892" s="105"/>
      <c r="D2892" s="105"/>
      <c r="E2892" s="105"/>
      <c r="F2892" s="634"/>
      <c r="G2892" s="634"/>
      <c r="H2892" s="634"/>
    </row>
    <row r="2893" spans="1:8" s="220" customFormat="1" ht="27" customHeight="1">
      <c r="A2893" s="178" t="str">
        <f>'3 - PLAN. ORÇAMENTÁRIA'!A488</f>
        <v>5.4.1.3</v>
      </c>
      <c r="B2893" s="178">
        <f>VLOOKUP(A2893,'3 - PLAN. ORÇAMENTÁRIA'!$A$16:$B$721,2,FALSE)</f>
        <v>89813</v>
      </c>
      <c r="C2893" s="631" t="str">
        <f>VLOOKUP(A2893,'3 - PLAN. ORÇAMENTÁRIA'!$A$16:$C$721,3,FALSE)</f>
        <v>LUVA SIMPLES, PVC, SERIE NORMAL, ESGOTO PREDIAL, DN 50 MM, JUNTA ELÁSTICA, FORNECIDO E INSTALADO</v>
      </c>
      <c r="D2893" s="632"/>
      <c r="E2893" s="632"/>
      <c r="F2893" s="632"/>
      <c r="G2893" s="633"/>
      <c r="H2893" s="493" t="str">
        <f>VLOOKUP(A2893,'3 - PLAN. ORÇAMENTÁRIA'!$A$17:$E$721,5,FALSE)</f>
        <v>UN</v>
      </c>
    </row>
    <row r="2894" spans="1:8" s="318" customFormat="1">
      <c r="A2894" s="106"/>
      <c r="B2894" s="628" t="s">
        <v>593</v>
      </c>
      <c r="C2894" s="628"/>
      <c r="D2894" s="103" t="s">
        <v>579</v>
      </c>
      <c r="E2894" s="103" t="s">
        <v>580</v>
      </c>
      <c r="F2894" s="103" t="s">
        <v>581</v>
      </c>
      <c r="G2894" s="103" t="s">
        <v>582</v>
      </c>
      <c r="H2894" s="103" t="s">
        <v>583</v>
      </c>
    </row>
    <row r="2895" spans="1:8" s="318" customFormat="1">
      <c r="A2895" s="106"/>
      <c r="B2895" s="130" t="s">
        <v>1540</v>
      </c>
      <c r="C2895" s="229" t="s">
        <v>1541</v>
      </c>
      <c r="D2895" s="130" t="s">
        <v>119</v>
      </c>
      <c r="E2895" s="130" t="s">
        <v>144</v>
      </c>
      <c r="F2895" s="230">
        <v>7.3000000000000001E-3</v>
      </c>
      <c r="G2895" s="494">
        <v>72.86</v>
      </c>
      <c r="H2895" s="494">
        <v>0.53</v>
      </c>
    </row>
    <row r="2896" spans="1:8" s="318" customFormat="1">
      <c r="A2896" s="106"/>
      <c r="B2896" s="130" t="s">
        <v>673</v>
      </c>
      <c r="C2896" s="229" t="s">
        <v>3789</v>
      </c>
      <c r="D2896" s="130" t="s">
        <v>119</v>
      </c>
      <c r="E2896" s="130" t="s">
        <v>144</v>
      </c>
      <c r="F2896" s="230">
        <v>8.0000000000000002E-3</v>
      </c>
      <c r="G2896" s="494">
        <v>2.57</v>
      </c>
      <c r="H2896" s="494">
        <v>0.02</v>
      </c>
    </row>
    <row r="2897" spans="1:8" s="318" customFormat="1">
      <c r="A2897" s="106"/>
      <c r="B2897" s="130" t="s">
        <v>1639</v>
      </c>
      <c r="C2897" s="229" t="s">
        <v>1640</v>
      </c>
      <c r="D2897" s="130" t="s">
        <v>119</v>
      </c>
      <c r="E2897" s="130" t="s">
        <v>144</v>
      </c>
      <c r="F2897" s="230">
        <v>1</v>
      </c>
      <c r="G2897" s="494">
        <v>3.51</v>
      </c>
      <c r="H2897" s="494">
        <v>3.51</v>
      </c>
    </row>
    <row r="2898" spans="1:8" s="318" customFormat="1">
      <c r="A2898" s="106"/>
      <c r="B2898" s="130" t="s">
        <v>1542</v>
      </c>
      <c r="C2898" s="229" t="s">
        <v>1543</v>
      </c>
      <c r="D2898" s="130" t="s">
        <v>119</v>
      </c>
      <c r="E2898" s="130" t="s">
        <v>144</v>
      </c>
      <c r="F2898" s="230">
        <v>1.0999999999999999E-2</v>
      </c>
      <c r="G2898" s="494">
        <v>82.55</v>
      </c>
      <c r="H2898" s="494">
        <v>0.91</v>
      </c>
    </row>
    <row r="2899" spans="1:8" s="318" customFormat="1">
      <c r="A2899" s="106"/>
      <c r="B2899" s="105"/>
      <c r="C2899" s="105"/>
      <c r="D2899" s="105"/>
      <c r="E2899" s="105"/>
      <c r="F2899" s="629" t="s">
        <v>604</v>
      </c>
      <c r="G2899" s="629"/>
      <c r="H2899" s="495">
        <v>4.97</v>
      </c>
    </row>
    <row r="2900" spans="1:8" s="318" customFormat="1" ht="12.75" customHeight="1">
      <c r="A2900" s="106"/>
      <c r="B2900" s="628" t="s">
        <v>607</v>
      </c>
      <c r="C2900" s="628"/>
      <c r="D2900" s="103" t="s">
        <v>579</v>
      </c>
      <c r="E2900" s="103" t="s">
        <v>580</v>
      </c>
      <c r="F2900" s="103" t="s">
        <v>581</v>
      </c>
      <c r="G2900" s="103" t="s">
        <v>582</v>
      </c>
      <c r="H2900" s="103" t="s">
        <v>583</v>
      </c>
    </row>
    <row r="2901" spans="1:8" s="318" customFormat="1">
      <c r="A2901" s="106"/>
      <c r="B2901" s="130" t="s">
        <v>1296</v>
      </c>
      <c r="C2901" s="229" t="s">
        <v>611</v>
      </c>
      <c r="D2901" s="130" t="s">
        <v>119</v>
      </c>
      <c r="E2901" s="130" t="s">
        <v>121</v>
      </c>
      <c r="F2901" s="230">
        <v>2.2800000000000001E-2</v>
      </c>
      <c r="G2901" s="494">
        <v>24.02</v>
      </c>
      <c r="H2901" s="494">
        <v>0.55000000000000004</v>
      </c>
    </row>
    <row r="2902" spans="1:8" s="318" customFormat="1">
      <c r="A2902" s="106"/>
      <c r="B2902" s="130" t="s">
        <v>1297</v>
      </c>
      <c r="C2902" s="229" t="s">
        <v>612</v>
      </c>
      <c r="D2902" s="130" t="s">
        <v>119</v>
      </c>
      <c r="E2902" s="130" t="s">
        <v>121</v>
      </c>
      <c r="F2902" s="230">
        <v>2.2800000000000001E-2</v>
      </c>
      <c r="G2902" s="494">
        <v>30.62</v>
      </c>
      <c r="H2902" s="494">
        <v>0.7</v>
      </c>
    </row>
    <row r="2903" spans="1:8" s="318" customFormat="1" ht="12.75" customHeight="1">
      <c r="A2903" s="106"/>
      <c r="B2903" s="105"/>
      <c r="C2903" s="105"/>
      <c r="D2903" s="105"/>
      <c r="E2903" s="105"/>
      <c r="F2903" s="629" t="s">
        <v>610</v>
      </c>
      <c r="G2903" s="629"/>
      <c r="H2903" s="495">
        <v>1.25</v>
      </c>
    </row>
    <row r="2904" spans="1:8" s="318" customFormat="1" ht="12.75" customHeight="1">
      <c r="A2904" s="106"/>
      <c r="B2904" s="105"/>
      <c r="C2904" s="105"/>
      <c r="D2904" s="105"/>
      <c r="E2904" s="105"/>
      <c r="F2904" s="630" t="s">
        <v>464</v>
      </c>
      <c r="G2904" s="630"/>
      <c r="H2904" s="102">
        <v>6.19</v>
      </c>
    </row>
    <row r="2905" spans="1:8" s="318" customFormat="1">
      <c r="A2905" s="106"/>
      <c r="B2905" s="105"/>
      <c r="C2905" s="105"/>
      <c r="D2905" s="105"/>
      <c r="E2905" s="105"/>
      <c r="F2905" s="634"/>
      <c r="G2905" s="634"/>
      <c r="H2905" s="634"/>
    </row>
    <row r="2906" spans="1:8" s="220" customFormat="1" ht="27" customHeight="1">
      <c r="A2906" s="178" t="str">
        <f>'3 - PLAN. ORÇAMENTÁRIA'!A489</f>
        <v>5.4.1.4</v>
      </c>
      <c r="B2906" s="178">
        <f>VLOOKUP(A2906,'3 - PLAN. ORÇAMENTÁRIA'!$A$16:$B$721,2,FALSE)</f>
        <v>89850</v>
      </c>
      <c r="C2906" s="631" t="str">
        <f>VLOOKUP(A2906,'3 - PLAN. ORÇAMENTÁRIA'!$A$16:$C$721,3,FALSE)</f>
        <v>JOELHO 90 GRAUS, PVC, SERIE NORMAL, ESGOTO PREDIAL, DN 100 MM, JUNTA ELÁSTICA, FORNECIDO E INSTALADO</v>
      </c>
      <c r="D2906" s="632"/>
      <c r="E2906" s="632"/>
      <c r="F2906" s="632"/>
      <c r="G2906" s="633"/>
      <c r="H2906" s="493" t="str">
        <f>VLOOKUP(A2906,'3 - PLAN. ORÇAMENTÁRIA'!$A$17:$E$721,5,FALSE)</f>
        <v>UN</v>
      </c>
    </row>
    <row r="2907" spans="1:8" s="318" customFormat="1">
      <c r="A2907" s="106"/>
      <c r="B2907" s="628" t="s">
        <v>593</v>
      </c>
      <c r="C2907" s="628"/>
      <c r="D2907" s="103" t="s">
        <v>579</v>
      </c>
      <c r="E2907" s="103" t="s">
        <v>580</v>
      </c>
      <c r="F2907" s="103" t="s">
        <v>581</v>
      </c>
      <c r="G2907" s="103" t="s">
        <v>582</v>
      </c>
      <c r="H2907" s="103" t="s">
        <v>583</v>
      </c>
    </row>
    <row r="2908" spans="1:8" s="318" customFormat="1">
      <c r="A2908" s="106"/>
      <c r="B2908" s="130" t="s">
        <v>1627</v>
      </c>
      <c r="C2908" s="229" t="s">
        <v>1628</v>
      </c>
      <c r="D2908" s="130" t="s">
        <v>119</v>
      </c>
      <c r="E2908" s="130" t="s">
        <v>144</v>
      </c>
      <c r="F2908" s="230">
        <v>2</v>
      </c>
      <c r="G2908" s="494">
        <v>2.97</v>
      </c>
      <c r="H2908" s="494">
        <v>5.94</v>
      </c>
    </row>
    <row r="2909" spans="1:8" s="318" customFormat="1">
      <c r="A2909" s="106"/>
      <c r="B2909" s="130" t="s">
        <v>1645</v>
      </c>
      <c r="C2909" s="229" t="s">
        <v>1646</v>
      </c>
      <c r="D2909" s="130" t="s">
        <v>119</v>
      </c>
      <c r="E2909" s="130" t="s">
        <v>144</v>
      </c>
      <c r="F2909" s="230">
        <v>1</v>
      </c>
      <c r="G2909" s="494">
        <v>8.83</v>
      </c>
      <c r="H2909" s="494">
        <v>8.83</v>
      </c>
    </row>
    <row r="2910" spans="1:8" s="318" customFormat="1" ht="25.5">
      <c r="A2910" s="106"/>
      <c r="B2910" s="130" t="s">
        <v>1629</v>
      </c>
      <c r="C2910" s="229" t="s">
        <v>1630</v>
      </c>
      <c r="D2910" s="130" t="s">
        <v>119</v>
      </c>
      <c r="E2910" s="130" t="s">
        <v>144</v>
      </c>
      <c r="F2910" s="230">
        <v>0.115</v>
      </c>
      <c r="G2910" s="494">
        <v>30.07</v>
      </c>
      <c r="H2910" s="494">
        <v>3.46</v>
      </c>
    </row>
    <row r="2911" spans="1:8" s="318" customFormat="1">
      <c r="A2911" s="106"/>
      <c r="B2911" s="105"/>
      <c r="C2911" s="105"/>
      <c r="D2911" s="105"/>
      <c r="E2911" s="105"/>
      <c r="F2911" s="629" t="s">
        <v>604</v>
      </c>
      <c r="G2911" s="629"/>
      <c r="H2911" s="495">
        <v>18.23</v>
      </c>
    </row>
    <row r="2912" spans="1:8" s="318" customFormat="1" ht="12.75" customHeight="1">
      <c r="A2912" s="106"/>
      <c r="B2912" s="628" t="s">
        <v>607</v>
      </c>
      <c r="C2912" s="628"/>
      <c r="D2912" s="103" t="s">
        <v>579</v>
      </c>
      <c r="E2912" s="103" t="s">
        <v>580</v>
      </c>
      <c r="F2912" s="103" t="s">
        <v>581</v>
      </c>
      <c r="G2912" s="103" t="s">
        <v>582</v>
      </c>
      <c r="H2912" s="103" t="s">
        <v>583</v>
      </c>
    </row>
    <row r="2913" spans="1:8" s="318" customFormat="1">
      <c r="A2913" s="106"/>
      <c r="B2913" s="130" t="s">
        <v>1296</v>
      </c>
      <c r="C2913" s="229" t="s">
        <v>611</v>
      </c>
      <c r="D2913" s="130" t="s">
        <v>119</v>
      </c>
      <c r="E2913" s="130" t="s">
        <v>121</v>
      </c>
      <c r="F2913" s="230">
        <v>0.27739999999999998</v>
      </c>
      <c r="G2913" s="494">
        <v>24.02</v>
      </c>
      <c r="H2913" s="494">
        <v>6.66</v>
      </c>
    </row>
    <row r="2914" spans="1:8" s="318" customFormat="1">
      <c r="A2914" s="106"/>
      <c r="B2914" s="130" t="s">
        <v>1297</v>
      </c>
      <c r="C2914" s="229" t="s">
        <v>612</v>
      </c>
      <c r="D2914" s="130" t="s">
        <v>119</v>
      </c>
      <c r="E2914" s="130" t="s">
        <v>121</v>
      </c>
      <c r="F2914" s="230">
        <v>0.27739999999999998</v>
      </c>
      <c r="G2914" s="494">
        <v>30.62</v>
      </c>
      <c r="H2914" s="494">
        <v>8.49</v>
      </c>
    </row>
    <row r="2915" spans="1:8" s="318" customFormat="1" ht="12.75" customHeight="1">
      <c r="A2915" s="106"/>
      <c r="B2915" s="105"/>
      <c r="C2915" s="105"/>
      <c r="D2915" s="105"/>
      <c r="E2915" s="105"/>
      <c r="F2915" s="629" t="s">
        <v>610</v>
      </c>
      <c r="G2915" s="629"/>
      <c r="H2915" s="495">
        <v>15.15</v>
      </c>
    </row>
    <row r="2916" spans="1:8" s="318" customFormat="1" ht="12.75" customHeight="1">
      <c r="A2916" s="106"/>
      <c r="B2916" s="105"/>
      <c r="C2916" s="105"/>
      <c r="D2916" s="105"/>
      <c r="E2916" s="105"/>
      <c r="F2916" s="630" t="s">
        <v>464</v>
      </c>
      <c r="G2916" s="630"/>
      <c r="H2916" s="102">
        <v>33.369999999999997</v>
      </c>
    </row>
    <row r="2917" spans="1:8" s="318" customFormat="1">
      <c r="A2917" s="106"/>
      <c r="B2917" s="105"/>
      <c r="C2917" s="105"/>
      <c r="D2917" s="105"/>
      <c r="E2917" s="105"/>
      <c r="F2917" s="634"/>
      <c r="G2917" s="634"/>
      <c r="H2917" s="634"/>
    </row>
    <row r="2918" spans="1:8" s="220" customFormat="1" ht="27" customHeight="1">
      <c r="A2918" s="178" t="str">
        <f>'3 - PLAN. ORÇAMENTÁRIA'!A490</f>
        <v>5.4.1.5</v>
      </c>
      <c r="B2918" s="178">
        <f>VLOOKUP(A2918,'3 - PLAN. ORÇAMENTÁRIA'!$A$16:$B$721,2,FALSE)</f>
        <v>89801</v>
      </c>
      <c r="C2918" s="631" t="str">
        <f>VLOOKUP(A2918,'3 - PLAN. ORÇAMENTÁRIA'!$A$16:$C$721,3,FALSE)</f>
        <v>JOELHO 90 GRAUS, PVC, SERIE NORMAL, ESGOTO PREDIAL, DN 50 MM, JUNTA ELÁSTICA, FORNECIDO E INSTALADO</v>
      </c>
      <c r="D2918" s="632"/>
      <c r="E2918" s="632"/>
      <c r="F2918" s="632"/>
      <c r="G2918" s="633"/>
      <c r="H2918" s="493" t="str">
        <f>VLOOKUP(A2918,'3 - PLAN. ORÇAMENTÁRIA'!$A$17:$E$721,5,FALSE)</f>
        <v>UN</v>
      </c>
    </row>
    <row r="2919" spans="1:8" s="318" customFormat="1">
      <c r="A2919" s="106"/>
      <c r="B2919" s="628" t="s">
        <v>593</v>
      </c>
      <c r="C2919" s="628"/>
      <c r="D2919" s="103" t="s">
        <v>579</v>
      </c>
      <c r="E2919" s="103" t="s">
        <v>580</v>
      </c>
      <c r="F2919" s="103" t="s">
        <v>581</v>
      </c>
      <c r="G2919" s="103" t="s">
        <v>582</v>
      </c>
      <c r="H2919" s="103" t="s">
        <v>583</v>
      </c>
    </row>
    <row r="2920" spans="1:8" s="318" customFormat="1">
      <c r="A2920" s="106"/>
      <c r="B2920" s="130" t="s">
        <v>1631</v>
      </c>
      <c r="C2920" s="229" t="s">
        <v>1632</v>
      </c>
      <c r="D2920" s="130" t="s">
        <v>119</v>
      </c>
      <c r="E2920" s="130" t="s">
        <v>144</v>
      </c>
      <c r="F2920" s="230">
        <v>2</v>
      </c>
      <c r="G2920" s="494">
        <v>1.68</v>
      </c>
      <c r="H2920" s="494">
        <v>3.36</v>
      </c>
    </row>
    <row r="2921" spans="1:8" s="318" customFormat="1">
      <c r="A2921" s="106"/>
      <c r="B2921" s="130" t="s">
        <v>1647</v>
      </c>
      <c r="C2921" s="229" t="s">
        <v>1648</v>
      </c>
      <c r="D2921" s="130" t="s">
        <v>119</v>
      </c>
      <c r="E2921" s="130" t="s">
        <v>144</v>
      </c>
      <c r="F2921" s="230">
        <v>1</v>
      </c>
      <c r="G2921" s="494">
        <v>3.25</v>
      </c>
      <c r="H2921" s="494">
        <v>3.25</v>
      </c>
    </row>
    <row r="2922" spans="1:8" s="318" customFormat="1" ht="25.5">
      <c r="A2922" s="106"/>
      <c r="B2922" s="130" t="s">
        <v>1629</v>
      </c>
      <c r="C2922" s="229" t="s">
        <v>1630</v>
      </c>
      <c r="D2922" s="130" t="s">
        <v>119</v>
      </c>
      <c r="E2922" s="130" t="s">
        <v>144</v>
      </c>
      <c r="F2922" s="230">
        <v>0.05</v>
      </c>
      <c r="G2922" s="494">
        <v>30.07</v>
      </c>
      <c r="H2922" s="494">
        <v>1.5</v>
      </c>
    </row>
    <row r="2923" spans="1:8" s="318" customFormat="1">
      <c r="A2923" s="106"/>
      <c r="B2923" s="105"/>
      <c r="C2923" s="105"/>
      <c r="D2923" s="105"/>
      <c r="E2923" s="105"/>
      <c r="F2923" s="629" t="s">
        <v>604</v>
      </c>
      <c r="G2923" s="629"/>
      <c r="H2923" s="495">
        <v>8.11</v>
      </c>
    </row>
    <row r="2924" spans="1:8" s="318" customFormat="1" ht="12.75" customHeight="1">
      <c r="A2924" s="106"/>
      <c r="B2924" s="628" t="s">
        <v>607</v>
      </c>
      <c r="C2924" s="628"/>
      <c r="D2924" s="103" t="s">
        <v>579</v>
      </c>
      <c r="E2924" s="103" t="s">
        <v>580</v>
      </c>
      <c r="F2924" s="103" t="s">
        <v>581</v>
      </c>
      <c r="G2924" s="103" t="s">
        <v>582</v>
      </c>
      <c r="H2924" s="103" t="s">
        <v>583</v>
      </c>
    </row>
    <row r="2925" spans="1:8" s="318" customFormat="1">
      <c r="A2925" s="106"/>
      <c r="B2925" s="130" t="s">
        <v>1296</v>
      </c>
      <c r="C2925" s="229" t="s">
        <v>611</v>
      </c>
      <c r="D2925" s="130" t="s">
        <v>119</v>
      </c>
      <c r="E2925" s="130" t="s">
        <v>121</v>
      </c>
      <c r="F2925" s="230">
        <v>3.4299999999999997E-2</v>
      </c>
      <c r="G2925" s="494">
        <v>24.02</v>
      </c>
      <c r="H2925" s="494">
        <v>0.82</v>
      </c>
    </row>
    <row r="2926" spans="1:8" s="318" customFormat="1">
      <c r="A2926" s="106"/>
      <c r="B2926" s="130" t="s">
        <v>1297</v>
      </c>
      <c r="C2926" s="229" t="s">
        <v>612</v>
      </c>
      <c r="D2926" s="130" t="s">
        <v>119</v>
      </c>
      <c r="E2926" s="130" t="s">
        <v>121</v>
      </c>
      <c r="F2926" s="230">
        <v>3.4299999999999997E-2</v>
      </c>
      <c r="G2926" s="494">
        <v>30.62</v>
      </c>
      <c r="H2926" s="494">
        <v>1.05</v>
      </c>
    </row>
    <row r="2927" spans="1:8" s="318" customFormat="1" ht="12.75" customHeight="1">
      <c r="A2927" s="106"/>
      <c r="B2927" s="105"/>
      <c r="C2927" s="105"/>
      <c r="D2927" s="105"/>
      <c r="E2927" s="105"/>
      <c r="F2927" s="629" t="s">
        <v>610</v>
      </c>
      <c r="G2927" s="629"/>
      <c r="H2927" s="495">
        <v>1.87</v>
      </c>
    </row>
    <row r="2928" spans="1:8" s="318" customFormat="1" ht="12.75" customHeight="1">
      <c r="A2928" s="106"/>
      <c r="B2928" s="105"/>
      <c r="C2928" s="105"/>
      <c r="D2928" s="105"/>
      <c r="E2928" s="105"/>
      <c r="F2928" s="630" t="s">
        <v>464</v>
      </c>
      <c r="G2928" s="630"/>
      <c r="H2928" s="102">
        <v>9.98</v>
      </c>
    </row>
    <row r="2929" spans="1:8" s="318" customFormat="1">
      <c r="A2929" s="106"/>
      <c r="B2929" s="105"/>
      <c r="C2929" s="105"/>
      <c r="D2929" s="105"/>
      <c r="E2929" s="105"/>
      <c r="F2929" s="634"/>
      <c r="G2929" s="634"/>
      <c r="H2929" s="634"/>
    </row>
    <row r="2930" spans="1:8" s="220" customFormat="1" ht="27" customHeight="1">
      <c r="A2930" s="178" t="str">
        <f>'3 - PLAN. ORÇAMENTÁRIA'!A491</f>
        <v>5.4.1.6</v>
      </c>
      <c r="B2930" s="178">
        <f>VLOOKUP(A2930,'3 - PLAN. ORÇAMENTÁRIA'!$A$16:$B$721,2,FALSE)</f>
        <v>89724</v>
      </c>
      <c r="C2930" s="631" t="str">
        <f>VLOOKUP(A2930,'3 - PLAN. ORÇAMENTÁRIA'!$A$16:$C$721,3,FALSE)</f>
        <v>JOELHO 90 GRAUS, PVC, SERIE NORMAL, ESGOTO PREDIAL, DN 40 MM, JUNTA SOLDÁVEL, FORNECIDO E INSTALADO</v>
      </c>
      <c r="D2930" s="632"/>
      <c r="E2930" s="632"/>
      <c r="F2930" s="632"/>
      <c r="G2930" s="633"/>
      <c r="H2930" s="493" t="str">
        <f>VLOOKUP(A2930,'3 - PLAN. ORÇAMENTÁRIA'!$A$17:$E$721,5,FALSE)</f>
        <v>UN</v>
      </c>
    </row>
    <row r="2931" spans="1:8" s="318" customFormat="1">
      <c r="A2931" s="106"/>
      <c r="B2931" s="628" t="s">
        <v>593</v>
      </c>
      <c r="C2931" s="628"/>
      <c r="D2931" s="103" t="s">
        <v>579</v>
      </c>
      <c r="E2931" s="103" t="s">
        <v>580</v>
      </c>
      <c r="F2931" s="103" t="s">
        <v>581</v>
      </c>
      <c r="G2931" s="103" t="s">
        <v>582</v>
      </c>
      <c r="H2931" s="103" t="s">
        <v>583</v>
      </c>
    </row>
    <row r="2932" spans="1:8" s="318" customFormat="1">
      <c r="A2932" s="106"/>
      <c r="B2932" s="130" t="s">
        <v>1540</v>
      </c>
      <c r="C2932" s="229" t="s">
        <v>1541</v>
      </c>
      <c r="D2932" s="130" t="s">
        <v>119</v>
      </c>
      <c r="E2932" s="130" t="s">
        <v>144</v>
      </c>
      <c r="F2932" s="230">
        <v>9.9000000000000008E-3</v>
      </c>
      <c r="G2932" s="494">
        <v>72.86</v>
      </c>
      <c r="H2932" s="494">
        <v>0.72</v>
      </c>
    </row>
    <row r="2933" spans="1:8" s="318" customFormat="1" ht="25.5">
      <c r="A2933" s="106"/>
      <c r="B2933" s="130" t="s">
        <v>1649</v>
      </c>
      <c r="C2933" s="229" t="s">
        <v>1650</v>
      </c>
      <c r="D2933" s="130" t="s">
        <v>119</v>
      </c>
      <c r="E2933" s="130" t="s">
        <v>144</v>
      </c>
      <c r="F2933" s="230">
        <v>1</v>
      </c>
      <c r="G2933" s="494">
        <v>2.2400000000000002</v>
      </c>
      <c r="H2933" s="494">
        <v>2.2400000000000002</v>
      </c>
    </row>
    <row r="2934" spans="1:8" s="318" customFormat="1">
      <c r="A2934" s="106"/>
      <c r="B2934" s="130" t="s">
        <v>673</v>
      </c>
      <c r="C2934" s="229" t="s">
        <v>3789</v>
      </c>
      <c r="D2934" s="130" t="s">
        <v>119</v>
      </c>
      <c r="E2934" s="130" t="s">
        <v>144</v>
      </c>
      <c r="F2934" s="230">
        <v>7.1000000000000004E-3</v>
      </c>
      <c r="G2934" s="494">
        <v>2.57</v>
      </c>
      <c r="H2934" s="494">
        <v>0.02</v>
      </c>
    </row>
    <row r="2935" spans="1:8" s="318" customFormat="1">
      <c r="A2935" s="106"/>
      <c r="B2935" s="130" t="s">
        <v>1542</v>
      </c>
      <c r="C2935" s="229" t="s">
        <v>1543</v>
      </c>
      <c r="D2935" s="130" t="s">
        <v>119</v>
      </c>
      <c r="E2935" s="130" t="s">
        <v>144</v>
      </c>
      <c r="F2935" s="230">
        <v>1.4999999999999999E-2</v>
      </c>
      <c r="G2935" s="494">
        <v>82.55</v>
      </c>
      <c r="H2935" s="494">
        <v>1.24</v>
      </c>
    </row>
    <row r="2936" spans="1:8" s="318" customFormat="1">
      <c r="A2936" s="106"/>
      <c r="B2936" s="105"/>
      <c r="C2936" s="105"/>
      <c r="D2936" s="105"/>
      <c r="E2936" s="105"/>
      <c r="F2936" s="629" t="s">
        <v>604</v>
      </c>
      <c r="G2936" s="629"/>
      <c r="H2936" s="495">
        <v>4.22</v>
      </c>
    </row>
    <row r="2937" spans="1:8" s="318" customFormat="1" ht="12.75" customHeight="1">
      <c r="A2937" s="106"/>
      <c r="B2937" s="628" t="s">
        <v>607</v>
      </c>
      <c r="C2937" s="628"/>
      <c r="D2937" s="103" t="s">
        <v>579</v>
      </c>
      <c r="E2937" s="103" t="s">
        <v>580</v>
      </c>
      <c r="F2937" s="103" t="s">
        <v>581</v>
      </c>
      <c r="G2937" s="103" t="s">
        <v>582</v>
      </c>
      <c r="H2937" s="103" t="s">
        <v>583</v>
      </c>
    </row>
    <row r="2938" spans="1:8" s="318" customFormat="1">
      <c r="A2938" s="106"/>
      <c r="B2938" s="130" t="s">
        <v>1296</v>
      </c>
      <c r="C2938" s="229" t="s">
        <v>611</v>
      </c>
      <c r="D2938" s="130" t="s">
        <v>119</v>
      </c>
      <c r="E2938" s="130" t="s">
        <v>121</v>
      </c>
      <c r="F2938" s="230">
        <v>0.127</v>
      </c>
      <c r="G2938" s="494">
        <v>24.02</v>
      </c>
      <c r="H2938" s="494">
        <v>3.05</v>
      </c>
    </row>
    <row r="2939" spans="1:8" s="318" customFormat="1">
      <c r="A2939" s="106"/>
      <c r="B2939" s="130" t="s">
        <v>1297</v>
      </c>
      <c r="C2939" s="229" t="s">
        <v>612</v>
      </c>
      <c r="D2939" s="130" t="s">
        <v>119</v>
      </c>
      <c r="E2939" s="130" t="s">
        <v>121</v>
      </c>
      <c r="F2939" s="230">
        <v>0.127</v>
      </c>
      <c r="G2939" s="494">
        <v>30.62</v>
      </c>
      <c r="H2939" s="494">
        <v>3.89</v>
      </c>
    </row>
    <row r="2940" spans="1:8" s="318" customFormat="1" ht="12.75" customHeight="1">
      <c r="A2940" s="106"/>
      <c r="B2940" s="105"/>
      <c r="C2940" s="105"/>
      <c r="D2940" s="105"/>
      <c r="E2940" s="105"/>
      <c r="F2940" s="629" t="s">
        <v>610</v>
      </c>
      <c r="G2940" s="629"/>
      <c r="H2940" s="495">
        <v>6.94</v>
      </c>
    </row>
    <row r="2941" spans="1:8" s="318" customFormat="1" ht="12.75" customHeight="1">
      <c r="A2941" s="106"/>
      <c r="B2941" s="105"/>
      <c r="C2941" s="105"/>
      <c r="D2941" s="105"/>
      <c r="E2941" s="105"/>
      <c r="F2941" s="630" t="s">
        <v>464</v>
      </c>
      <c r="G2941" s="630"/>
      <c r="H2941" s="102">
        <v>11.13</v>
      </c>
    </row>
    <row r="2942" spans="1:8" s="318" customFormat="1">
      <c r="A2942" s="106"/>
      <c r="B2942" s="105"/>
      <c r="C2942" s="105"/>
      <c r="D2942" s="105"/>
      <c r="E2942" s="105"/>
      <c r="F2942" s="634"/>
      <c r="G2942" s="634"/>
      <c r="H2942" s="634"/>
    </row>
    <row r="2943" spans="1:8" s="220" customFormat="1" ht="27" customHeight="1">
      <c r="A2943" s="178" t="str">
        <f>'3 - PLAN. ORÇAMENTÁRIA'!A492</f>
        <v>5.4.1.7</v>
      </c>
      <c r="B2943" s="178">
        <f>VLOOKUP(A2943,'3 - PLAN. ORÇAMENTÁRIA'!$A$16:$B$721,2,FALSE)</f>
        <v>89810</v>
      </c>
      <c r="C2943" s="631" t="str">
        <f>VLOOKUP(A2943,'3 - PLAN. ORÇAMENTÁRIA'!$A$16:$C$721,3,FALSE)</f>
        <v>JOELHO 45 GRAUS, PVC, SERIE NORMAL, ESGOTO PREDIAL, DN 100 MM, JUNTA ELÁSTICA, FORNECIDO E INSTALADO</v>
      </c>
      <c r="D2943" s="632"/>
      <c r="E2943" s="632"/>
      <c r="F2943" s="632"/>
      <c r="G2943" s="633"/>
      <c r="H2943" s="493" t="str">
        <f>VLOOKUP(A2943,'3 - PLAN. ORÇAMENTÁRIA'!$A$17:$E$721,5,FALSE)</f>
        <v>UN</v>
      </c>
    </row>
    <row r="2944" spans="1:8" s="318" customFormat="1">
      <c r="A2944" s="106"/>
      <c r="B2944" s="628" t="s">
        <v>593</v>
      </c>
      <c r="C2944" s="628"/>
      <c r="D2944" s="103" t="s">
        <v>579</v>
      </c>
      <c r="E2944" s="103" t="s">
        <v>580</v>
      </c>
      <c r="F2944" s="103" t="s">
        <v>581</v>
      </c>
      <c r="G2944" s="103" t="s">
        <v>582</v>
      </c>
      <c r="H2944" s="103" t="s">
        <v>583</v>
      </c>
    </row>
    <row r="2945" spans="1:8" s="318" customFormat="1">
      <c r="A2945" s="106"/>
      <c r="B2945" s="130" t="s">
        <v>1627</v>
      </c>
      <c r="C2945" s="229" t="s">
        <v>1628</v>
      </c>
      <c r="D2945" s="130" t="s">
        <v>119</v>
      </c>
      <c r="E2945" s="130" t="s">
        <v>144</v>
      </c>
      <c r="F2945" s="230">
        <v>2</v>
      </c>
      <c r="G2945" s="494">
        <v>2.97</v>
      </c>
      <c r="H2945" s="494">
        <v>5.94</v>
      </c>
    </row>
    <row r="2946" spans="1:8" s="318" customFormat="1">
      <c r="A2946" s="106"/>
      <c r="B2946" s="130" t="s">
        <v>1651</v>
      </c>
      <c r="C2946" s="229" t="s">
        <v>1652</v>
      </c>
      <c r="D2946" s="130" t="s">
        <v>119</v>
      </c>
      <c r="E2946" s="130" t="s">
        <v>144</v>
      </c>
      <c r="F2946" s="230">
        <v>1</v>
      </c>
      <c r="G2946" s="494">
        <v>9.7200000000000006</v>
      </c>
      <c r="H2946" s="494">
        <v>9.7200000000000006</v>
      </c>
    </row>
    <row r="2947" spans="1:8" s="318" customFormat="1" ht="25.5">
      <c r="A2947" s="106"/>
      <c r="B2947" s="130" t="s">
        <v>1629</v>
      </c>
      <c r="C2947" s="229" t="s">
        <v>1630</v>
      </c>
      <c r="D2947" s="130" t="s">
        <v>119</v>
      </c>
      <c r="E2947" s="130" t="s">
        <v>144</v>
      </c>
      <c r="F2947" s="230">
        <v>0.115</v>
      </c>
      <c r="G2947" s="494">
        <v>30.07</v>
      </c>
      <c r="H2947" s="494">
        <v>3.46</v>
      </c>
    </row>
    <row r="2948" spans="1:8" s="318" customFormat="1">
      <c r="A2948" s="106"/>
      <c r="B2948" s="105"/>
      <c r="C2948" s="105"/>
      <c r="D2948" s="105"/>
      <c r="E2948" s="105"/>
      <c r="F2948" s="629" t="s">
        <v>604</v>
      </c>
      <c r="G2948" s="629"/>
      <c r="H2948" s="495">
        <v>19.12</v>
      </c>
    </row>
    <row r="2949" spans="1:8" s="318" customFormat="1" ht="12.75" customHeight="1">
      <c r="A2949" s="106"/>
      <c r="B2949" s="628" t="s">
        <v>607</v>
      </c>
      <c r="C2949" s="628"/>
      <c r="D2949" s="103" t="s">
        <v>579</v>
      </c>
      <c r="E2949" s="103" t="s">
        <v>580</v>
      </c>
      <c r="F2949" s="103" t="s">
        <v>581</v>
      </c>
      <c r="G2949" s="103" t="s">
        <v>582</v>
      </c>
      <c r="H2949" s="103" t="s">
        <v>583</v>
      </c>
    </row>
    <row r="2950" spans="1:8" s="318" customFormat="1">
      <c r="A2950" s="106"/>
      <c r="B2950" s="130" t="s">
        <v>1296</v>
      </c>
      <c r="C2950" s="229" t="s">
        <v>611</v>
      </c>
      <c r="D2950" s="130" t="s">
        <v>119</v>
      </c>
      <c r="E2950" s="130" t="s">
        <v>121</v>
      </c>
      <c r="F2950" s="230">
        <v>0.2172</v>
      </c>
      <c r="G2950" s="494">
        <v>24.02</v>
      </c>
      <c r="H2950" s="494">
        <v>5.22</v>
      </c>
    </row>
    <row r="2951" spans="1:8" s="318" customFormat="1">
      <c r="A2951" s="106"/>
      <c r="B2951" s="130" t="s">
        <v>1297</v>
      </c>
      <c r="C2951" s="229" t="s">
        <v>612</v>
      </c>
      <c r="D2951" s="130" t="s">
        <v>119</v>
      </c>
      <c r="E2951" s="130" t="s">
        <v>121</v>
      </c>
      <c r="F2951" s="230">
        <v>0.2172</v>
      </c>
      <c r="G2951" s="494">
        <v>30.62</v>
      </c>
      <c r="H2951" s="494">
        <v>6.65</v>
      </c>
    </row>
    <row r="2952" spans="1:8" s="318" customFormat="1" ht="12.75" customHeight="1">
      <c r="A2952" s="106"/>
      <c r="B2952" s="105"/>
      <c r="C2952" s="105"/>
      <c r="D2952" s="105"/>
      <c r="E2952" s="105"/>
      <c r="F2952" s="629" t="s">
        <v>610</v>
      </c>
      <c r="G2952" s="629"/>
      <c r="H2952" s="495">
        <v>11.87</v>
      </c>
    </row>
    <row r="2953" spans="1:8" s="318" customFormat="1" ht="12.75" customHeight="1">
      <c r="A2953" s="106"/>
      <c r="B2953" s="105"/>
      <c r="C2953" s="105"/>
      <c r="D2953" s="105"/>
      <c r="E2953" s="105"/>
      <c r="F2953" s="630" t="s">
        <v>464</v>
      </c>
      <c r="G2953" s="630"/>
      <c r="H2953" s="102">
        <v>30.97</v>
      </c>
    </row>
    <row r="2954" spans="1:8" s="318" customFormat="1">
      <c r="A2954" s="106"/>
      <c r="B2954" s="105"/>
      <c r="C2954" s="105"/>
      <c r="D2954" s="105"/>
      <c r="E2954" s="105"/>
      <c r="F2954" s="634"/>
      <c r="G2954" s="634"/>
      <c r="H2954" s="634"/>
    </row>
    <row r="2955" spans="1:8" s="220" customFormat="1" ht="27" customHeight="1">
      <c r="A2955" s="178" t="str">
        <f>'3 - PLAN. ORÇAMENTÁRIA'!A493</f>
        <v>5.4.1.8</v>
      </c>
      <c r="B2955" s="178">
        <f>VLOOKUP(A2955,'3 - PLAN. ORÇAMENTÁRIA'!$A$16:$B$721,2,FALSE)</f>
        <v>89802</v>
      </c>
      <c r="C2955" s="631" t="str">
        <f>VLOOKUP(A2955,'3 - PLAN. ORÇAMENTÁRIA'!$A$16:$C$721,3,FALSE)</f>
        <v>JOELHO 45 GRAUS, PVC, SERIE NORMAL, ESGOTO PREDIAL, DN 50 MM, JUNTA ELÁSTICA, FORNECIDO E INSTALADO</v>
      </c>
      <c r="D2955" s="632"/>
      <c r="E2955" s="632"/>
      <c r="F2955" s="632"/>
      <c r="G2955" s="633"/>
      <c r="H2955" s="493" t="str">
        <f>VLOOKUP(A2955,'3 - PLAN. ORÇAMENTÁRIA'!$A$17:$E$721,5,FALSE)</f>
        <v>UN</v>
      </c>
    </row>
    <row r="2956" spans="1:8" s="318" customFormat="1">
      <c r="A2956" s="106"/>
      <c r="B2956" s="628" t="s">
        <v>593</v>
      </c>
      <c r="C2956" s="628"/>
      <c r="D2956" s="103" t="s">
        <v>579</v>
      </c>
      <c r="E2956" s="103" t="s">
        <v>580</v>
      </c>
      <c r="F2956" s="103" t="s">
        <v>581</v>
      </c>
      <c r="G2956" s="103" t="s">
        <v>582</v>
      </c>
      <c r="H2956" s="103" t="s">
        <v>583</v>
      </c>
    </row>
    <row r="2957" spans="1:8" s="318" customFormat="1">
      <c r="A2957" s="106"/>
      <c r="B2957" s="130" t="s">
        <v>1631</v>
      </c>
      <c r="C2957" s="229" t="s">
        <v>1632</v>
      </c>
      <c r="D2957" s="130" t="s">
        <v>119</v>
      </c>
      <c r="E2957" s="130" t="s">
        <v>144</v>
      </c>
      <c r="F2957" s="230">
        <v>2</v>
      </c>
      <c r="G2957" s="494">
        <v>1.68</v>
      </c>
      <c r="H2957" s="494">
        <v>3.36</v>
      </c>
    </row>
    <row r="2958" spans="1:8" s="318" customFormat="1">
      <c r="A2958" s="106"/>
      <c r="B2958" s="130" t="s">
        <v>1653</v>
      </c>
      <c r="C2958" s="229" t="s">
        <v>1654</v>
      </c>
      <c r="D2958" s="130" t="s">
        <v>119</v>
      </c>
      <c r="E2958" s="130" t="s">
        <v>144</v>
      </c>
      <c r="F2958" s="230">
        <v>1</v>
      </c>
      <c r="G2958" s="494">
        <v>4.03</v>
      </c>
      <c r="H2958" s="494">
        <v>4.03</v>
      </c>
    </row>
    <row r="2959" spans="1:8" s="318" customFormat="1" ht="25.5">
      <c r="A2959" s="106"/>
      <c r="B2959" s="130" t="s">
        <v>1629</v>
      </c>
      <c r="C2959" s="229" t="s">
        <v>1630</v>
      </c>
      <c r="D2959" s="130" t="s">
        <v>119</v>
      </c>
      <c r="E2959" s="130" t="s">
        <v>144</v>
      </c>
      <c r="F2959" s="230">
        <v>0.05</v>
      </c>
      <c r="G2959" s="494">
        <v>30.07</v>
      </c>
      <c r="H2959" s="494">
        <v>1.5</v>
      </c>
    </row>
    <row r="2960" spans="1:8" s="318" customFormat="1">
      <c r="A2960" s="106"/>
      <c r="B2960" s="105"/>
      <c r="C2960" s="105"/>
      <c r="D2960" s="105"/>
      <c r="E2960" s="105"/>
      <c r="F2960" s="629" t="s">
        <v>604</v>
      </c>
      <c r="G2960" s="629"/>
      <c r="H2960" s="495">
        <v>8.89</v>
      </c>
    </row>
    <row r="2961" spans="1:8" s="318" customFormat="1" ht="12.75" customHeight="1">
      <c r="A2961" s="106"/>
      <c r="B2961" s="628" t="s">
        <v>607</v>
      </c>
      <c r="C2961" s="628"/>
      <c r="D2961" s="103" t="s">
        <v>579</v>
      </c>
      <c r="E2961" s="103" t="s">
        <v>580</v>
      </c>
      <c r="F2961" s="103" t="s">
        <v>581</v>
      </c>
      <c r="G2961" s="103" t="s">
        <v>582</v>
      </c>
      <c r="H2961" s="103" t="s">
        <v>583</v>
      </c>
    </row>
    <row r="2962" spans="1:8" s="318" customFormat="1">
      <c r="A2962" s="106"/>
      <c r="B2962" s="130" t="s">
        <v>1296</v>
      </c>
      <c r="C2962" s="229" t="s">
        <v>611</v>
      </c>
      <c r="D2962" s="130" t="s">
        <v>119</v>
      </c>
      <c r="E2962" s="130" t="s">
        <v>121</v>
      </c>
      <c r="F2962" s="230">
        <v>3.4299999999999997E-2</v>
      </c>
      <c r="G2962" s="494">
        <v>24.02</v>
      </c>
      <c r="H2962" s="494">
        <v>0.82</v>
      </c>
    </row>
    <row r="2963" spans="1:8" s="318" customFormat="1">
      <c r="A2963" s="106"/>
      <c r="B2963" s="130" t="s">
        <v>1297</v>
      </c>
      <c r="C2963" s="229" t="s">
        <v>612</v>
      </c>
      <c r="D2963" s="130" t="s">
        <v>119</v>
      </c>
      <c r="E2963" s="130" t="s">
        <v>121</v>
      </c>
      <c r="F2963" s="230">
        <v>3.4299999999999997E-2</v>
      </c>
      <c r="G2963" s="494">
        <v>30.62</v>
      </c>
      <c r="H2963" s="494">
        <v>1.05</v>
      </c>
    </row>
    <row r="2964" spans="1:8" s="318" customFormat="1" ht="12.75" customHeight="1">
      <c r="A2964" s="106"/>
      <c r="B2964" s="105"/>
      <c r="C2964" s="105"/>
      <c r="D2964" s="105"/>
      <c r="E2964" s="105"/>
      <c r="F2964" s="629" t="s">
        <v>610</v>
      </c>
      <c r="G2964" s="629"/>
      <c r="H2964" s="495">
        <v>1.87</v>
      </c>
    </row>
    <row r="2965" spans="1:8" s="318" customFormat="1" ht="12.75" customHeight="1">
      <c r="A2965" s="106"/>
      <c r="B2965" s="105"/>
      <c r="C2965" s="105"/>
      <c r="D2965" s="105"/>
      <c r="E2965" s="105"/>
      <c r="F2965" s="630" t="s">
        <v>464</v>
      </c>
      <c r="G2965" s="630"/>
      <c r="H2965" s="102">
        <v>10.76</v>
      </c>
    </row>
    <row r="2966" spans="1:8" s="318" customFormat="1">
      <c r="A2966" s="106"/>
      <c r="B2966" s="105"/>
      <c r="C2966" s="105"/>
      <c r="D2966" s="105"/>
      <c r="E2966" s="105"/>
      <c r="F2966" s="634"/>
      <c r="G2966" s="634"/>
      <c r="H2966" s="634"/>
    </row>
    <row r="2967" spans="1:8" s="220" customFormat="1" ht="27" customHeight="1">
      <c r="A2967" s="178" t="str">
        <f>'3 - PLAN. ORÇAMENTÁRIA'!A494</f>
        <v>5.4.1.9</v>
      </c>
      <c r="B2967" s="178">
        <f>VLOOKUP(A2967,'3 - PLAN. ORÇAMENTÁRIA'!$A$16:$B$721,2,FALSE)</f>
        <v>89726</v>
      </c>
      <c r="C2967" s="631" t="str">
        <f>VLOOKUP(A2967,'3 - PLAN. ORÇAMENTÁRIA'!$A$16:$C$721,3,FALSE)</f>
        <v>JOELHO 45 GRAUS, PVC, SERIE NORMAL, ESGOTO PREDIAL, DN 40 MM, JUNTA SOLDÁVEL, FORNECIDO E INSTALADO</v>
      </c>
      <c r="D2967" s="632"/>
      <c r="E2967" s="632"/>
      <c r="F2967" s="632"/>
      <c r="G2967" s="633"/>
      <c r="H2967" s="493" t="str">
        <f>VLOOKUP(A2967,'3 - PLAN. ORÇAMENTÁRIA'!$A$17:$E$721,5,FALSE)</f>
        <v>UN</v>
      </c>
    </row>
    <row r="2968" spans="1:8" s="318" customFormat="1">
      <c r="A2968" s="106"/>
      <c r="B2968" s="628" t="s">
        <v>593</v>
      </c>
      <c r="C2968" s="628"/>
      <c r="D2968" s="103" t="s">
        <v>579</v>
      </c>
      <c r="E2968" s="103" t="s">
        <v>580</v>
      </c>
      <c r="F2968" s="103" t="s">
        <v>581</v>
      </c>
      <c r="G2968" s="103" t="s">
        <v>582</v>
      </c>
      <c r="H2968" s="103" t="s">
        <v>583</v>
      </c>
    </row>
    <row r="2969" spans="1:8" s="318" customFormat="1">
      <c r="A2969" s="106"/>
      <c r="B2969" s="130" t="s">
        <v>1540</v>
      </c>
      <c r="C2969" s="229" t="s">
        <v>1541</v>
      </c>
      <c r="D2969" s="130" t="s">
        <v>119</v>
      </c>
      <c r="E2969" s="130" t="s">
        <v>144</v>
      </c>
      <c r="F2969" s="230">
        <v>9.9000000000000008E-3</v>
      </c>
      <c r="G2969" s="494">
        <v>72.86</v>
      </c>
      <c r="H2969" s="494">
        <v>0.72</v>
      </c>
    </row>
    <row r="2970" spans="1:8" s="318" customFormat="1">
      <c r="A2970" s="106"/>
      <c r="B2970" s="130" t="s">
        <v>1655</v>
      </c>
      <c r="C2970" s="229" t="s">
        <v>1656</v>
      </c>
      <c r="D2970" s="130" t="s">
        <v>119</v>
      </c>
      <c r="E2970" s="130" t="s">
        <v>144</v>
      </c>
      <c r="F2970" s="230">
        <v>1</v>
      </c>
      <c r="G2970" s="494">
        <v>2.4900000000000002</v>
      </c>
      <c r="H2970" s="494">
        <v>2.4900000000000002</v>
      </c>
    </row>
    <row r="2971" spans="1:8" s="318" customFormat="1">
      <c r="A2971" s="106"/>
      <c r="B2971" s="130" t="s">
        <v>673</v>
      </c>
      <c r="C2971" s="229" t="s">
        <v>3789</v>
      </c>
      <c r="D2971" s="130" t="s">
        <v>119</v>
      </c>
      <c r="E2971" s="130" t="s">
        <v>144</v>
      </c>
      <c r="F2971" s="230">
        <v>7.1000000000000004E-3</v>
      </c>
      <c r="G2971" s="494">
        <v>2.57</v>
      </c>
      <c r="H2971" s="494">
        <v>0.02</v>
      </c>
    </row>
    <row r="2972" spans="1:8" s="318" customFormat="1">
      <c r="A2972" s="106"/>
      <c r="B2972" s="130" t="s">
        <v>1542</v>
      </c>
      <c r="C2972" s="229" t="s">
        <v>1543</v>
      </c>
      <c r="D2972" s="130" t="s">
        <v>119</v>
      </c>
      <c r="E2972" s="130" t="s">
        <v>144</v>
      </c>
      <c r="F2972" s="230">
        <v>1.4999999999999999E-2</v>
      </c>
      <c r="G2972" s="494">
        <v>82.55</v>
      </c>
      <c r="H2972" s="494">
        <v>1.24</v>
      </c>
    </row>
    <row r="2973" spans="1:8" s="318" customFormat="1">
      <c r="A2973" s="106"/>
      <c r="B2973" s="105"/>
      <c r="C2973" s="105"/>
      <c r="D2973" s="105"/>
      <c r="E2973" s="105"/>
      <c r="F2973" s="629" t="s">
        <v>604</v>
      </c>
      <c r="G2973" s="629"/>
      <c r="H2973" s="495">
        <v>4.47</v>
      </c>
    </row>
    <row r="2974" spans="1:8" s="318" customFormat="1" ht="12.75" customHeight="1">
      <c r="A2974" s="106"/>
      <c r="B2974" s="628" t="s">
        <v>607</v>
      </c>
      <c r="C2974" s="628"/>
      <c r="D2974" s="103" t="s">
        <v>579</v>
      </c>
      <c r="E2974" s="103" t="s">
        <v>580</v>
      </c>
      <c r="F2974" s="103" t="s">
        <v>581</v>
      </c>
      <c r="G2974" s="103" t="s">
        <v>582</v>
      </c>
      <c r="H2974" s="103" t="s">
        <v>583</v>
      </c>
    </row>
    <row r="2975" spans="1:8" s="318" customFormat="1">
      <c r="A2975" s="106"/>
      <c r="B2975" s="130" t="s">
        <v>1296</v>
      </c>
      <c r="C2975" s="229" t="s">
        <v>611</v>
      </c>
      <c r="D2975" s="130" t="s">
        <v>119</v>
      </c>
      <c r="E2975" s="130" t="s">
        <v>121</v>
      </c>
      <c r="F2975" s="230">
        <v>0.127</v>
      </c>
      <c r="G2975" s="494">
        <v>24.02</v>
      </c>
      <c r="H2975" s="494">
        <v>3.05</v>
      </c>
    </row>
    <row r="2976" spans="1:8" s="318" customFormat="1">
      <c r="A2976" s="106"/>
      <c r="B2976" s="130" t="s">
        <v>1297</v>
      </c>
      <c r="C2976" s="229" t="s">
        <v>612</v>
      </c>
      <c r="D2976" s="130" t="s">
        <v>119</v>
      </c>
      <c r="E2976" s="130" t="s">
        <v>121</v>
      </c>
      <c r="F2976" s="230">
        <v>0.127</v>
      </c>
      <c r="G2976" s="494">
        <v>30.62</v>
      </c>
      <c r="H2976" s="494">
        <v>3.89</v>
      </c>
    </row>
    <row r="2977" spans="1:8" s="318" customFormat="1" ht="12.75" customHeight="1">
      <c r="A2977" s="106"/>
      <c r="B2977" s="105"/>
      <c r="C2977" s="105"/>
      <c r="D2977" s="105"/>
      <c r="E2977" s="105"/>
      <c r="F2977" s="629" t="s">
        <v>610</v>
      </c>
      <c r="G2977" s="629"/>
      <c r="H2977" s="495">
        <v>6.94</v>
      </c>
    </row>
    <row r="2978" spans="1:8" s="318" customFormat="1" ht="12.75" customHeight="1">
      <c r="A2978" s="106"/>
      <c r="B2978" s="105"/>
      <c r="C2978" s="105"/>
      <c r="D2978" s="105"/>
      <c r="E2978" s="105"/>
      <c r="F2978" s="630" t="s">
        <v>464</v>
      </c>
      <c r="G2978" s="630"/>
      <c r="H2978" s="102">
        <v>11.38</v>
      </c>
    </row>
    <row r="2979" spans="1:8" s="318" customFormat="1">
      <c r="A2979" s="106"/>
      <c r="B2979" s="105"/>
      <c r="C2979" s="105"/>
      <c r="D2979" s="105"/>
      <c r="E2979" s="105"/>
      <c r="F2979" s="634"/>
      <c r="G2979" s="634"/>
      <c r="H2979" s="634"/>
    </row>
    <row r="2980" spans="1:8" s="220" customFormat="1" ht="27" customHeight="1">
      <c r="A2980" s="178" t="str">
        <f>'3 - PLAN. ORÇAMENTÁRIA'!A495</f>
        <v>5.4.1.10</v>
      </c>
      <c r="B2980" s="178">
        <f>VLOOKUP(A2980,'3 - PLAN. ORÇAMENTÁRIA'!$A$16:$B$721,2,FALSE)</f>
        <v>104348</v>
      </c>
      <c r="C2980" s="631" t="str">
        <f>VLOOKUP(A2980,'3 - PLAN. ORÇAMENTÁRIA'!$A$16:$C$721,3,FALSE)</f>
        <v>TERMINAL DE VENTILAÇÃO, PVC, SÉRIE NORMAL, ESGOTO PREDIAL, DN 50 MM, JUNTA SOLDÁVEL, FORNECIDO E INSTALADO</v>
      </c>
      <c r="D2980" s="632"/>
      <c r="E2980" s="632"/>
      <c r="F2980" s="632"/>
      <c r="G2980" s="633"/>
      <c r="H2980" s="493" t="str">
        <f>VLOOKUP(A2980,'3 - PLAN. ORÇAMENTÁRIA'!$A$17:$E$721,5,FALSE)</f>
        <v>UN</v>
      </c>
    </row>
    <row r="2981" spans="1:8" s="318" customFormat="1">
      <c r="A2981" s="106"/>
      <c r="B2981" s="628" t="s">
        <v>593</v>
      </c>
      <c r="C2981" s="628"/>
      <c r="D2981" s="103" t="s">
        <v>579</v>
      </c>
      <c r="E2981" s="103" t="s">
        <v>580</v>
      </c>
      <c r="F2981" s="103" t="s">
        <v>581</v>
      </c>
      <c r="G2981" s="103" t="s">
        <v>582</v>
      </c>
      <c r="H2981" s="103" t="s">
        <v>583</v>
      </c>
    </row>
    <row r="2982" spans="1:8" s="318" customFormat="1">
      <c r="A2982" s="106"/>
      <c r="B2982" s="130" t="s">
        <v>1540</v>
      </c>
      <c r="C2982" s="229" t="s">
        <v>1541</v>
      </c>
      <c r="D2982" s="130" t="s">
        <v>119</v>
      </c>
      <c r="E2982" s="130" t="s">
        <v>144</v>
      </c>
      <c r="F2982" s="230">
        <v>7.3000000000000001E-3</v>
      </c>
      <c r="G2982" s="494">
        <v>72.86</v>
      </c>
      <c r="H2982" s="494">
        <v>0.53</v>
      </c>
    </row>
    <row r="2983" spans="1:8" s="318" customFormat="1">
      <c r="A2983" s="106"/>
      <c r="B2983" s="130" t="s">
        <v>673</v>
      </c>
      <c r="C2983" s="229" t="s">
        <v>3789</v>
      </c>
      <c r="D2983" s="130" t="s">
        <v>119</v>
      </c>
      <c r="E2983" s="130" t="s">
        <v>144</v>
      </c>
      <c r="F2983" s="230">
        <v>8.0000000000000002E-3</v>
      </c>
      <c r="G2983" s="494">
        <v>2.57</v>
      </c>
      <c r="H2983" s="494">
        <v>0.02</v>
      </c>
    </row>
    <row r="2984" spans="1:8" s="318" customFormat="1">
      <c r="A2984" s="106"/>
      <c r="B2984" s="130" t="s">
        <v>1542</v>
      </c>
      <c r="C2984" s="229" t="s">
        <v>1543</v>
      </c>
      <c r="D2984" s="130" t="s">
        <v>119</v>
      </c>
      <c r="E2984" s="130" t="s">
        <v>144</v>
      </c>
      <c r="F2984" s="230">
        <v>1.0999999999999999E-2</v>
      </c>
      <c r="G2984" s="494">
        <v>82.55</v>
      </c>
      <c r="H2984" s="494">
        <v>0.91</v>
      </c>
    </row>
    <row r="2985" spans="1:8" s="318" customFormat="1">
      <c r="A2985" s="106"/>
      <c r="B2985" s="130" t="s">
        <v>1635</v>
      </c>
      <c r="C2985" s="229" t="s">
        <v>1636</v>
      </c>
      <c r="D2985" s="130" t="s">
        <v>119</v>
      </c>
      <c r="E2985" s="130" t="s">
        <v>144</v>
      </c>
      <c r="F2985" s="230">
        <v>1</v>
      </c>
      <c r="G2985" s="494">
        <v>9.6999999999999993</v>
      </c>
      <c r="H2985" s="494">
        <v>9.6999999999999993</v>
      </c>
    </row>
    <row r="2986" spans="1:8" s="318" customFormat="1">
      <c r="A2986" s="106"/>
      <c r="B2986" s="105"/>
      <c r="C2986" s="105"/>
      <c r="D2986" s="105"/>
      <c r="E2986" s="105"/>
      <c r="F2986" s="629" t="s">
        <v>604</v>
      </c>
      <c r="G2986" s="629"/>
      <c r="H2986" s="495">
        <v>11.16</v>
      </c>
    </row>
    <row r="2987" spans="1:8" s="318" customFormat="1" ht="12.75" customHeight="1">
      <c r="A2987" s="106"/>
      <c r="B2987" s="628" t="s">
        <v>607</v>
      </c>
      <c r="C2987" s="628"/>
      <c r="D2987" s="103" t="s">
        <v>579</v>
      </c>
      <c r="E2987" s="103" t="s">
        <v>580</v>
      </c>
      <c r="F2987" s="103" t="s">
        <v>581</v>
      </c>
      <c r="G2987" s="103" t="s">
        <v>582</v>
      </c>
      <c r="H2987" s="103" t="s">
        <v>583</v>
      </c>
    </row>
    <row r="2988" spans="1:8" s="318" customFormat="1">
      <c r="A2988" s="106"/>
      <c r="B2988" s="130" t="s">
        <v>1296</v>
      </c>
      <c r="C2988" s="229" t="s">
        <v>611</v>
      </c>
      <c r="D2988" s="130" t="s">
        <v>119</v>
      </c>
      <c r="E2988" s="130" t="s">
        <v>121</v>
      </c>
      <c r="F2988" s="230">
        <v>1.14E-2</v>
      </c>
      <c r="G2988" s="494">
        <v>24.02</v>
      </c>
      <c r="H2988" s="494">
        <v>0.27</v>
      </c>
    </row>
    <row r="2989" spans="1:8" s="318" customFormat="1">
      <c r="A2989" s="106"/>
      <c r="B2989" s="130" t="s">
        <v>1297</v>
      </c>
      <c r="C2989" s="229" t="s">
        <v>612</v>
      </c>
      <c r="D2989" s="130" t="s">
        <v>119</v>
      </c>
      <c r="E2989" s="130" t="s">
        <v>121</v>
      </c>
      <c r="F2989" s="230">
        <v>1.14E-2</v>
      </c>
      <c r="G2989" s="494">
        <v>30.62</v>
      </c>
      <c r="H2989" s="494">
        <v>0.35</v>
      </c>
    </row>
    <row r="2990" spans="1:8" s="318" customFormat="1" ht="12.75" customHeight="1">
      <c r="A2990" s="106"/>
      <c r="B2990" s="105"/>
      <c r="C2990" s="105"/>
      <c r="D2990" s="105"/>
      <c r="E2990" s="105"/>
      <c r="F2990" s="629" t="s">
        <v>610</v>
      </c>
      <c r="G2990" s="629"/>
      <c r="H2990" s="495">
        <v>0.62</v>
      </c>
    </row>
    <row r="2991" spans="1:8" s="318" customFormat="1" ht="12.75" customHeight="1">
      <c r="A2991" s="106"/>
      <c r="B2991" s="105"/>
      <c r="C2991" s="105"/>
      <c r="D2991" s="105"/>
      <c r="E2991" s="105"/>
      <c r="F2991" s="630" t="s">
        <v>464</v>
      </c>
      <c r="G2991" s="630"/>
      <c r="H2991" s="102">
        <v>11.76</v>
      </c>
    </row>
    <row r="2992" spans="1:8" s="318" customFormat="1">
      <c r="A2992" s="106"/>
      <c r="B2992" s="105"/>
      <c r="C2992" s="105"/>
      <c r="D2992" s="105"/>
      <c r="E2992" s="105"/>
      <c r="F2992" s="634"/>
      <c r="G2992" s="634"/>
      <c r="H2992" s="634"/>
    </row>
    <row r="2993" spans="1:8" s="220" customFormat="1" ht="27" customHeight="1">
      <c r="A2993" s="178" t="str">
        <f>'3 - PLAN. ORÇAMENTÁRIA'!A496</f>
        <v>5.4.1.11</v>
      </c>
      <c r="B2993" s="178">
        <f>VLOOKUP(A2993,'3 - PLAN. ORÇAMENTÁRIA'!$A$16:$B$721,2,FALSE)</f>
        <v>89797</v>
      </c>
      <c r="C2993" s="631" t="str">
        <f>VLOOKUP(A2993,'3 - PLAN. ORÇAMENTÁRIA'!$A$16:$C$721,3,FALSE)</f>
        <v>JUNÇÃO SIMPLES, PVC, SERIE NORMAL, ESGOTO PREDIAL, DN 100 X 50 MM, JUNTA ELÁSTICA, FORNECIDO E INSTALADO</v>
      </c>
      <c r="D2993" s="632"/>
      <c r="E2993" s="632"/>
      <c r="F2993" s="632"/>
      <c r="G2993" s="633"/>
      <c r="H2993" s="493" t="str">
        <f>VLOOKUP(A2993,'3 - PLAN. ORÇAMENTÁRIA'!$A$17:$E$721,5,FALSE)</f>
        <v>UN</v>
      </c>
    </row>
    <row r="2994" spans="1:8" s="318" customFormat="1">
      <c r="A2994" s="106"/>
      <c r="B2994" s="628" t="s">
        <v>593</v>
      </c>
      <c r="C2994" s="628"/>
      <c r="D2994" s="103" t="s">
        <v>579</v>
      </c>
      <c r="E2994" s="103" t="s">
        <v>580</v>
      </c>
      <c r="F2994" s="103" t="s">
        <v>581</v>
      </c>
      <c r="G2994" s="103" t="s">
        <v>582</v>
      </c>
      <c r="H2994" s="103" t="s">
        <v>583</v>
      </c>
    </row>
    <row r="2995" spans="1:8" s="318" customFormat="1">
      <c r="A2995" s="106"/>
      <c r="B2995" s="130" t="s">
        <v>1627</v>
      </c>
      <c r="C2995" s="229" t="s">
        <v>1628</v>
      </c>
      <c r="D2995" s="130" t="s">
        <v>119</v>
      </c>
      <c r="E2995" s="130" t="s">
        <v>144</v>
      </c>
      <c r="F2995" s="230">
        <v>3</v>
      </c>
      <c r="G2995" s="494">
        <v>2.97</v>
      </c>
      <c r="H2995" s="494">
        <v>8.91</v>
      </c>
    </row>
    <row r="2996" spans="1:8" s="318" customFormat="1">
      <c r="A2996" s="106"/>
      <c r="B2996" s="130" t="s">
        <v>1641</v>
      </c>
      <c r="C2996" s="229" t="s">
        <v>1642</v>
      </c>
      <c r="D2996" s="130" t="s">
        <v>119</v>
      </c>
      <c r="E2996" s="130" t="s">
        <v>144</v>
      </c>
      <c r="F2996" s="230">
        <v>1</v>
      </c>
      <c r="G2996" s="494">
        <v>25.53</v>
      </c>
      <c r="H2996" s="494">
        <v>25.53</v>
      </c>
    </row>
    <row r="2997" spans="1:8" s="318" customFormat="1" ht="25.5">
      <c r="A2997" s="106"/>
      <c r="B2997" s="130" t="s">
        <v>1629</v>
      </c>
      <c r="C2997" s="229" t="s">
        <v>1630</v>
      </c>
      <c r="D2997" s="130" t="s">
        <v>119</v>
      </c>
      <c r="E2997" s="130" t="s">
        <v>144</v>
      </c>
      <c r="F2997" s="230">
        <v>0.17249999999999999</v>
      </c>
      <c r="G2997" s="494">
        <v>30.07</v>
      </c>
      <c r="H2997" s="494">
        <v>5.19</v>
      </c>
    </row>
    <row r="2998" spans="1:8" s="318" customFormat="1">
      <c r="A2998" s="106"/>
      <c r="B2998" s="105"/>
      <c r="C2998" s="105"/>
      <c r="D2998" s="105"/>
      <c r="E2998" s="105"/>
      <c r="F2998" s="629" t="s">
        <v>604</v>
      </c>
      <c r="G2998" s="629"/>
      <c r="H2998" s="495">
        <v>39.630000000000003</v>
      </c>
    </row>
    <row r="2999" spans="1:8" s="318" customFormat="1" ht="12.75" customHeight="1">
      <c r="A2999" s="106"/>
      <c r="B2999" s="628" t="s">
        <v>607</v>
      </c>
      <c r="C2999" s="628"/>
      <c r="D2999" s="103" t="s">
        <v>579</v>
      </c>
      <c r="E2999" s="103" t="s">
        <v>580</v>
      </c>
      <c r="F2999" s="103" t="s">
        <v>581</v>
      </c>
      <c r="G2999" s="103" t="s">
        <v>582</v>
      </c>
      <c r="H2999" s="103" t="s">
        <v>583</v>
      </c>
    </row>
    <row r="3000" spans="1:8" s="318" customFormat="1">
      <c r="A3000" s="106"/>
      <c r="B3000" s="130" t="s">
        <v>1296</v>
      </c>
      <c r="C3000" s="229" t="s">
        <v>611</v>
      </c>
      <c r="D3000" s="130" t="s">
        <v>119</v>
      </c>
      <c r="E3000" s="130" t="s">
        <v>121</v>
      </c>
      <c r="F3000" s="230">
        <v>0.25679999999999997</v>
      </c>
      <c r="G3000" s="494">
        <v>24.02</v>
      </c>
      <c r="H3000" s="494">
        <v>6.17</v>
      </c>
    </row>
    <row r="3001" spans="1:8" s="318" customFormat="1">
      <c r="A3001" s="106"/>
      <c r="B3001" s="130" t="s">
        <v>1297</v>
      </c>
      <c r="C3001" s="229" t="s">
        <v>612</v>
      </c>
      <c r="D3001" s="130" t="s">
        <v>119</v>
      </c>
      <c r="E3001" s="130" t="s">
        <v>121</v>
      </c>
      <c r="F3001" s="230">
        <v>0.25679999999999997</v>
      </c>
      <c r="G3001" s="494">
        <v>30.62</v>
      </c>
      <c r="H3001" s="494">
        <v>7.86</v>
      </c>
    </row>
    <row r="3002" spans="1:8" s="318" customFormat="1" ht="12.75" customHeight="1">
      <c r="A3002" s="106"/>
      <c r="B3002" s="105"/>
      <c r="C3002" s="105"/>
      <c r="D3002" s="105"/>
      <c r="E3002" s="105"/>
      <c r="F3002" s="629" t="s">
        <v>610</v>
      </c>
      <c r="G3002" s="629"/>
      <c r="H3002" s="495">
        <v>14.03</v>
      </c>
    </row>
    <row r="3003" spans="1:8" s="318" customFormat="1" ht="12.75" customHeight="1">
      <c r="A3003" s="106"/>
      <c r="B3003" s="105"/>
      <c r="C3003" s="105"/>
      <c r="D3003" s="105"/>
      <c r="E3003" s="105"/>
      <c r="F3003" s="630" t="s">
        <v>464</v>
      </c>
      <c r="G3003" s="630"/>
      <c r="H3003" s="102">
        <v>53.64</v>
      </c>
    </row>
    <row r="3004" spans="1:8" s="318" customFormat="1">
      <c r="A3004" s="106"/>
      <c r="B3004" s="105"/>
      <c r="C3004" s="105"/>
      <c r="D3004" s="105"/>
      <c r="E3004" s="105"/>
      <c r="F3004" s="634"/>
      <c r="G3004" s="634"/>
      <c r="H3004" s="634"/>
    </row>
    <row r="3005" spans="1:8" s="220" customFormat="1" ht="27" customHeight="1">
      <c r="A3005" s="178" t="str">
        <f>'3 - PLAN. ORÇAMENTÁRIA'!A497</f>
        <v>5.4.1.12</v>
      </c>
      <c r="B3005" s="178">
        <f>VLOOKUP(A3005,'3 - PLAN. ORÇAMENTÁRIA'!$A$16:$B$721,2,FALSE)</f>
        <v>89827</v>
      </c>
      <c r="C3005" s="631" t="str">
        <f>VLOOKUP(A3005,'3 - PLAN. ORÇAMENTÁRIA'!$A$16:$C$721,3,FALSE)</f>
        <v>JUNÇÃO SIMPLES, PVC, SERIE NORMAL, ESGOTO PREDIAL, DN 50 X 50 MM, JUNTA ELÁSTICA, FORNECIDO E INSTALADO</v>
      </c>
      <c r="D3005" s="632"/>
      <c r="E3005" s="632"/>
      <c r="F3005" s="632"/>
      <c r="G3005" s="633"/>
      <c r="H3005" s="493" t="str">
        <f>VLOOKUP(A3005,'3 - PLAN. ORÇAMENTÁRIA'!$A$17:$E$721,5,FALSE)</f>
        <v>UN</v>
      </c>
    </row>
    <row r="3006" spans="1:8" s="318" customFormat="1">
      <c r="A3006" s="106"/>
      <c r="B3006" s="628" t="s">
        <v>593</v>
      </c>
      <c r="C3006" s="628"/>
      <c r="D3006" s="103" t="s">
        <v>579</v>
      </c>
      <c r="E3006" s="103" t="s">
        <v>580</v>
      </c>
      <c r="F3006" s="103" t="s">
        <v>581</v>
      </c>
      <c r="G3006" s="103" t="s">
        <v>582</v>
      </c>
      <c r="H3006" s="103" t="s">
        <v>583</v>
      </c>
    </row>
    <row r="3007" spans="1:8" s="318" customFormat="1">
      <c r="A3007" s="106"/>
      <c r="B3007" s="130" t="s">
        <v>1631</v>
      </c>
      <c r="C3007" s="229" t="s">
        <v>1632</v>
      </c>
      <c r="D3007" s="130" t="s">
        <v>119</v>
      </c>
      <c r="E3007" s="130" t="s">
        <v>144</v>
      </c>
      <c r="F3007" s="230">
        <v>3</v>
      </c>
      <c r="G3007" s="494">
        <v>1.68</v>
      </c>
      <c r="H3007" s="494">
        <v>5.04</v>
      </c>
    </row>
    <row r="3008" spans="1:8" s="318" customFormat="1">
      <c r="A3008" s="106"/>
      <c r="B3008" s="130" t="s">
        <v>1643</v>
      </c>
      <c r="C3008" s="229" t="s">
        <v>1644</v>
      </c>
      <c r="D3008" s="130" t="s">
        <v>119</v>
      </c>
      <c r="E3008" s="130" t="s">
        <v>144</v>
      </c>
      <c r="F3008" s="230">
        <v>1</v>
      </c>
      <c r="G3008" s="494">
        <v>10.48</v>
      </c>
      <c r="H3008" s="494">
        <v>10.48</v>
      </c>
    </row>
    <row r="3009" spans="1:8" s="318" customFormat="1" ht="25.5">
      <c r="A3009" s="106"/>
      <c r="B3009" s="130" t="s">
        <v>1629</v>
      </c>
      <c r="C3009" s="229" t="s">
        <v>1630</v>
      </c>
      <c r="D3009" s="130" t="s">
        <v>119</v>
      </c>
      <c r="E3009" s="130" t="s">
        <v>144</v>
      </c>
      <c r="F3009" s="230">
        <v>7.4999999999999997E-2</v>
      </c>
      <c r="G3009" s="494">
        <v>30.07</v>
      </c>
      <c r="H3009" s="494">
        <v>2.2599999999999998</v>
      </c>
    </row>
    <row r="3010" spans="1:8" s="318" customFormat="1">
      <c r="A3010" s="106"/>
      <c r="B3010" s="105"/>
      <c r="C3010" s="105"/>
      <c r="D3010" s="105"/>
      <c r="E3010" s="105"/>
      <c r="F3010" s="629" t="s">
        <v>604</v>
      </c>
      <c r="G3010" s="629"/>
      <c r="H3010" s="495">
        <v>17.78</v>
      </c>
    </row>
    <row r="3011" spans="1:8" s="318" customFormat="1" ht="12.75" customHeight="1">
      <c r="A3011" s="106"/>
      <c r="B3011" s="628" t="s">
        <v>607</v>
      </c>
      <c r="C3011" s="628"/>
      <c r="D3011" s="103" t="s">
        <v>579</v>
      </c>
      <c r="E3011" s="103" t="s">
        <v>580</v>
      </c>
      <c r="F3011" s="103" t="s">
        <v>581</v>
      </c>
      <c r="G3011" s="103" t="s">
        <v>582</v>
      </c>
      <c r="H3011" s="103" t="s">
        <v>583</v>
      </c>
    </row>
    <row r="3012" spans="1:8" s="318" customFormat="1">
      <c r="A3012" s="106"/>
      <c r="B3012" s="130" t="s">
        <v>1296</v>
      </c>
      <c r="C3012" s="229" t="s">
        <v>611</v>
      </c>
      <c r="D3012" s="130" t="s">
        <v>119</v>
      </c>
      <c r="E3012" s="130" t="s">
        <v>121</v>
      </c>
      <c r="F3012" s="230">
        <v>4.5699999999999998E-2</v>
      </c>
      <c r="G3012" s="494">
        <v>24.02</v>
      </c>
      <c r="H3012" s="494">
        <v>1.1000000000000001</v>
      </c>
    </row>
    <row r="3013" spans="1:8" s="318" customFormat="1">
      <c r="A3013" s="106"/>
      <c r="B3013" s="130" t="s">
        <v>1297</v>
      </c>
      <c r="C3013" s="229" t="s">
        <v>612</v>
      </c>
      <c r="D3013" s="130" t="s">
        <v>119</v>
      </c>
      <c r="E3013" s="130" t="s">
        <v>121</v>
      </c>
      <c r="F3013" s="230">
        <v>4.5699999999999998E-2</v>
      </c>
      <c r="G3013" s="494">
        <v>30.62</v>
      </c>
      <c r="H3013" s="494">
        <v>1.4</v>
      </c>
    </row>
    <row r="3014" spans="1:8" s="318" customFormat="1" ht="12.75" customHeight="1">
      <c r="A3014" s="106"/>
      <c r="B3014" s="105"/>
      <c r="C3014" s="105"/>
      <c r="D3014" s="105"/>
      <c r="E3014" s="105"/>
      <c r="F3014" s="629" t="s">
        <v>610</v>
      </c>
      <c r="G3014" s="629"/>
      <c r="H3014" s="495">
        <v>2.5</v>
      </c>
    </row>
    <row r="3015" spans="1:8" s="318" customFormat="1" ht="12.75" customHeight="1">
      <c r="A3015" s="106"/>
      <c r="B3015" s="105"/>
      <c r="C3015" s="105"/>
      <c r="D3015" s="105"/>
      <c r="E3015" s="105"/>
      <c r="F3015" s="630" t="s">
        <v>464</v>
      </c>
      <c r="G3015" s="630"/>
      <c r="H3015" s="102">
        <v>20.25</v>
      </c>
    </row>
    <row r="3016" spans="1:8" s="318" customFormat="1">
      <c r="A3016" s="106"/>
      <c r="B3016" s="105"/>
      <c r="C3016" s="105"/>
      <c r="D3016" s="105"/>
      <c r="E3016" s="105"/>
      <c r="F3016" s="366"/>
      <c r="G3016" s="366"/>
      <c r="H3016" s="366"/>
    </row>
    <row r="3017" spans="1:8" s="220" customFormat="1" ht="27" customHeight="1">
      <c r="A3017" s="178" t="str">
        <f>'3 - PLAN. ORÇAMENTÁRIA'!A499</f>
        <v>5.4.2.1</v>
      </c>
      <c r="B3017" s="178">
        <f>VLOOKUP(A3017,'3 - PLAN. ORÇAMENTÁRIA'!$A$16:$B$721,2,FALSE)</f>
        <v>89711</v>
      </c>
      <c r="C3017" s="631" t="str">
        <f>VLOOKUP(A3017,'3 - PLAN. ORÇAMENTÁRIA'!$A$16:$C$721,3,FALSE)</f>
        <v>TUBO PVC, SERIE NORMAL, ESGOTO PREDIAL, DN 40 MM, FORNECIDO E INSTALADO</v>
      </c>
      <c r="D3017" s="632"/>
      <c r="E3017" s="632"/>
      <c r="F3017" s="632"/>
      <c r="G3017" s="633"/>
      <c r="H3017" s="433" t="str">
        <f>VLOOKUP(A3017,'3 - PLAN. ORÇAMENTÁRIA'!$A$17:$E$721,5,FALSE)</f>
        <v>M</v>
      </c>
    </row>
    <row r="3018" spans="1:8" s="318" customFormat="1">
      <c r="A3018" s="106"/>
      <c r="B3018" s="628" t="s">
        <v>593</v>
      </c>
      <c r="C3018" s="628"/>
      <c r="D3018" s="103" t="s">
        <v>579</v>
      </c>
      <c r="E3018" s="103" t="s">
        <v>580</v>
      </c>
      <c r="F3018" s="103" t="s">
        <v>581</v>
      </c>
      <c r="G3018" s="103" t="s">
        <v>582</v>
      </c>
      <c r="H3018" s="103" t="s">
        <v>583</v>
      </c>
    </row>
    <row r="3019" spans="1:8" s="318" customFormat="1">
      <c r="A3019" s="106"/>
      <c r="B3019" s="130" t="s">
        <v>673</v>
      </c>
      <c r="C3019" s="229" t="s">
        <v>3789</v>
      </c>
      <c r="D3019" s="130" t="s">
        <v>119</v>
      </c>
      <c r="E3019" s="130" t="s">
        <v>144</v>
      </c>
      <c r="F3019" s="230">
        <v>1.6299999999999999E-2</v>
      </c>
      <c r="G3019" s="494">
        <v>2.57</v>
      </c>
      <c r="H3019" s="494">
        <v>0.04</v>
      </c>
    </row>
    <row r="3020" spans="1:8" s="318" customFormat="1">
      <c r="A3020" s="106"/>
      <c r="B3020" s="130" t="s">
        <v>1667</v>
      </c>
      <c r="C3020" s="229" t="s">
        <v>1668</v>
      </c>
      <c r="D3020" s="130" t="s">
        <v>119</v>
      </c>
      <c r="E3020" s="130" t="s">
        <v>173</v>
      </c>
      <c r="F3020" s="230">
        <v>1.0548999999999999</v>
      </c>
      <c r="G3020" s="494">
        <v>6.92</v>
      </c>
      <c r="H3020" s="494">
        <v>7.3</v>
      </c>
    </row>
    <row r="3021" spans="1:8" s="318" customFormat="1">
      <c r="A3021" s="106"/>
      <c r="B3021" s="105"/>
      <c r="C3021" s="105"/>
      <c r="D3021" s="105"/>
      <c r="E3021" s="105"/>
      <c r="F3021" s="629" t="s">
        <v>604</v>
      </c>
      <c r="G3021" s="629"/>
      <c r="H3021" s="495">
        <v>7.34</v>
      </c>
    </row>
    <row r="3022" spans="1:8" s="318" customFormat="1" ht="12.75" customHeight="1">
      <c r="A3022" s="106"/>
      <c r="B3022" s="628" t="s">
        <v>607</v>
      </c>
      <c r="C3022" s="628"/>
      <c r="D3022" s="103" t="s">
        <v>579</v>
      </c>
      <c r="E3022" s="103" t="s">
        <v>580</v>
      </c>
      <c r="F3022" s="103" t="s">
        <v>581</v>
      </c>
      <c r="G3022" s="103" t="s">
        <v>582</v>
      </c>
      <c r="H3022" s="103" t="s">
        <v>583</v>
      </c>
    </row>
    <row r="3023" spans="1:8" s="318" customFormat="1">
      <c r="A3023" s="106"/>
      <c r="B3023" s="130" t="s">
        <v>1296</v>
      </c>
      <c r="C3023" s="229" t="s">
        <v>611</v>
      </c>
      <c r="D3023" s="130" t="s">
        <v>119</v>
      </c>
      <c r="E3023" s="130" t="s">
        <v>121</v>
      </c>
      <c r="F3023" s="230">
        <v>0.29299999999999998</v>
      </c>
      <c r="G3023" s="494">
        <v>24.02</v>
      </c>
      <c r="H3023" s="494">
        <v>7.04</v>
      </c>
    </row>
    <row r="3024" spans="1:8" s="318" customFormat="1">
      <c r="A3024" s="106"/>
      <c r="B3024" s="130" t="s">
        <v>1297</v>
      </c>
      <c r="C3024" s="229" t="s">
        <v>612</v>
      </c>
      <c r="D3024" s="130" t="s">
        <v>119</v>
      </c>
      <c r="E3024" s="130" t="s">
        <v>121</v>
      </c>
      <c r="F3024" s="230">
        <v>0.29299999999999998</v>
      </c>
      <c r="G3024" s="494">
        <v>30.62</v>
      </c>
      <c r="H3024" s="494">
        <v>8.9700000000000006</v>
      </c>
    </row>
    <row r="3025" spans="1:8" s="318" customFormat="1" ht="12.75" customHeight="1">
      <c r="A3025" s="106"/>
      <c r="B3025" s="105"/>
      <c r="C3025" s="105"/>
      <c r="D3025" s="105"/>
      <c r="E3025" s="105"/>
      <c r="F3025" s="629" t="s">
        <v>610</v>
      </c>
      <c r="G3025" s="629"/>
      <c r="H3025" s="495">
        <v>16.010000000000002</v>
      </c>
    </row>
    <row r="3026" spans="1:8" s="318" customFormat="1" ht="12.75" customHeight="1">
      <c r="A3026" s="106"/>
      <c r="B3026" s="105"/>
      <c r="C3026" s="105"/>
      <c r="D3026" s="105"/>
      <c r="E3026" s="105"/>
      <c r="F3026" s="630" t="s">
        <v>464</v>
      </c>
      <c r="G3026" s="630"/>
      <c r="H3026" s="102">
        <v>23.33</v>
      </c>
    </row>
    <row r="3027" spans="1:8" s="318" customFormat="1">
      <c r="A3027" s="106"/>
      <c r="B3027" s="105"/>
      <c r="C3027" s="105"/>
      <c r="D3027" s="105"/>
      <c r="E3027" s="105"/>
      <c r="F3027" s="634"/>
      <c r="G3027" s="634"/>
      <c r="H3027" s="634"/>
    </row>
    <row r="3028" spans="1:8" s="220" customFormat="1" ht="27" customHeight="1">
      <c r="A3028" s="178" t="str">
        <f>'3 - PLAN. ORÇAMENTÁRIA'!A500</f>
        <v>5.4.2.2</v>
      </c>
      <c r="B3028" s="178">
        <f>VLOOKUP(A3028,'3 - PLAN. ORÇAMENTÁRIA'!$A$16:$B$721,2,FALSE)</f>
        <v>89712</v>
      </c>
      <c r="C3028" s="631" t="str">
        <f>VLOOKUP(A3028,'3 - PLAN. ORÇAMENTÁRIA'!$A$16:$C$721,3,FALSE)</f>
        <v>TUBO PVC, SERIE NORMAL, ESGOTO PREDIAL, DN 50 MM, FORNECIDO E INSTALADO</v>
      </c>
      <c r="D3028" s="632"/>
      <c r="E3028" s="632"/>
      <c r="F3028" s="632"/>
      <c r="G3028" s="633"/>
      <c r="H3028" s="437" t="str">
        <f>VLOOKUP(A3028,'3 - PLAN. ORÇAMENTÁRIA'!$A$17:$E$721,5,FALSE)</f>
        <v>M</v>
      </c>
    </row>
    <row r="3029" spans="1:8" s="318" customFormat="1">
      <c r="A3029" s="106"/>
      <c r="B3029" s="628" t="s">
        <v>593</v>
      </c>
      <c r="C3029" s="628"/>
      <c r="D3029" s="103" t="s">
        <v>579</v>
      </c>
      <c r="E3029" s="103" t="s">
        <v>580</v>
      </c>
      <c r="F3029" s="103" t="s">
        <v>581</v>
      </c>
      <c r="G3029" s="103" t="s">
        <v>582</v>
      </c>
      <c r="H3029" s="103" t="s">
        <v>583</v>
      </c>
    </row>
    <row r="3030" spans="1:8" s="318" customFormat="1">
      <c r="A3030" s="106"/>
      <c r="B3030" s="130" t="s">
        <v>673</v>
      </c>
      <c r="C3030" s="229" t="s">
        <v>3789</v>
      </c>
      <c r="D3030" s="130" t="s">
        <v>119</v>
      </c>
      <c r="E3030" s="130" t="s">
        <v>144</v>
      </c>
      <c r="F3030" s="230">
        <v>1.77E-2</v>
      </c>
      <c r="G3030" s="494">
        <v>2.57</v>
      </c>
      <c r="H3030" s="494">
        <v>0.05</v>
      </c>
    </row>
    <row r="3031" spans="1:8" s="318" customFormat="1">
      <c r="A3031" s="106"/>
      <c r="B3031" s="130" t="s">
        <v>1669</v>
      </c>
      <c r="C3031" s="229" t="s">
        <v>1670</v>
      </c>
      <c r="D3031" s="130" t="s">
        <v>119</v>
      </c>
      <c r="E3031" s="130" t="s">
        <v>173</v>
      </c>
      <c r="F3031" s="230">
        <v>1.0548999999999999</v>
      </c>
      <c r="G3031" s="494">
        <v>11.43</v>
      </c>
      <c r="H3031" s="494">
        <v>12.06</v>
      </c>
    </row>
    <row r="3032" spans="1:8" s="318" customFormat="1">
      <c r="A3032" s="106"/>
      <c r="B3032" s="105"/>
      <c r="C3032" s="105"/>
      <c r="D3032" s="105"/>
      <c r="E3032" s="105"/>
      <c r="F3032" s="629" t="s">
        <v>604</v>
      </c>
      <c r="G3032" s="629"/>
      <c r="H3032" s="495">
        <v>12.11</v>
      </c>
    </row>
    <row r="3033" spans="1:8" s="318" customFormat="1" ht="12.75" customHeight="1">
      <c r="A3033" s="106"/>
      <c r="B3033" s="628" t="s">
        <v>607</v>
      </c>
      <c r="C3033" s="628"/>
      <c r="D3033" s="103" t="s">
        <v>579</v>
      </c>
      <c r="E3033" s="103" t="s">
        <v>580</v>
      </c>
      <c r="F3033" s="103" t="s">
        <v>581</v>
      </c>
      <c r="G3033" s="103" t="s">
        <v>582</v>
      </c>
      <c r="H3033" s="103" t="s">
        <v>583</v>
      </c>
    </row>
    <row r="3034" spans="1:8" s="318" customFormat="1">
      <c r="A3034" s="106"/>
      <c r="B3034" s="130" t="s">
        <v>1296</v>
      </c>
      <c r="C3034" s="229" t="s">
        <v>611</v>
      </c>
      <c r="D3034" s="130" t="s">
        <v>119</v>
      </c>
      <c r="E3034" s="130" t="s">
        <v>121</v>
      </c>
      <c r="F3034" s="230">
        <v>0.31819999999999998</v>
      </c>
      <c r="G3034" s="494">
        <v>24.02</v>
      </c>
      <c r="H3034" s="494">
        <v>7.64</v>
      </c>
    </row>
    <row r="3035" spans="1:8" s="318" customFormat="1">
      <c r="A3035" s="106"/>
      <c r="B3035" s="130" t="s">
        <v>1297</v>
      </c>
      <c r="C3035" s="229" t="s">
        <v>612</v>
      </c>
      <c r="D3035" s="130" t="s">
        <v>119</v>
      </c>
      <c r="E3035" s="130" t="s">
        <v>121</v>
      </c>
      <c r="F3035" s="230">
        <v>0.31819999999999998</v>
      </c>
      <c r="G3035" s="494">
        <v>30.62</v>
      </c>
      <c r="H3035" s="494">
        <v>9.74</v>
      </c>
    </row>
    <row r="3036" spans="1:8" s="318" customFormat="1" ht="12.75" customHeight="1">
      <c r="A3036" s="106"/>
      <c r="B3036" s="105"/>
      <c r="C3036" s="105"/>
      <c r="D3036" s="105"/>
      <c r="E3036" s="105"/>
      <c r="F3036" s="629" t="s">
        <v>610</v>
      </c>
      <c r="G3036" s="629"/>
      <c r="H3036" s="495">
        <v>17.38</v>
      </c>
    </row>
    <row r="3037" spans="1:8" s="318" customFormat="1" ht="12.75" customHeight="1">
      <c r="A3037" s="106"/>
      <c r="B3037" s="105"/>
      <c r="C3037" s="105"/>
      <c r="D3037" s="105"/>
      <c r="E3037" s="105"/>
      <c r="F3037" s="630" t="s">
        <v>464</v>
      </c>
      <c r="G3037" s="630"/>
      <c r="H3037" s="102">
        <v>29.47</v>
      </c>
    </row>
    <row r="3038" spans="1:8" s="318" customFormat="1">
      <c r="A3038" s="106"/>
      <c r="B3038" s="105"/>
      <c r="C3038" s="105"/>
      <c r="D3038" s="105"/>
      <c r="E3038" s="105"/>
      <c r="F3038" s="634"/>
      <c r="G3038" s="634"/>
      <c r="H3038" s="634"/>
    </row>
    <row r="3039" spans="1:8" s="220" customFormat="1" ht="27" customHeight="1">
      <c r="A3039" s="178" t="str">
        <f>'3 - PLAN. ORÇAMENTÁRIA'!A501</f>
        <v>5.4.2.3</v>
      </c>
      <c r="B3039" s="178">
        <f>VLOOKUP(A3039,'3 - PLAN. ORÇAMENTÁRIA'!$A$16:$B$721,2,FALSE)</f>
        <v>89714</v>
      </c>
      <c r="C3039" s="631" t="str">
        <f>VLOOKUP(A3039,'3 - PLAN. ORÇAMENTÁRIA'!$A$16:$C$721,3,FALSE)</f>
        <v>TUBO PVC, SERIE NORMAL, ESGOTO PREDIAL, DN 100 MM, FORNECIDO E INSTALADO</v>
      </c>
      <c r="D3039" s="632"/>
      <c r="E3039" s="632"/>
      <c r="F3039" s="632"/>
      <c r="G3039" s="633"/>
      <c r="H3039" s="437" t="str">
        <f>VLOOKUP(A3039,'3 - PLAN. ORÇAMENTÁRIA'!$A$17:$E$721,5,FALSE)</f>
        <v>M</v>
      </c>
    </row>
    <row r="3040" spans="1:8" s="318" customFormat="1">
      <c r="A3040" s="106"/>
      <c r="B3040" s="628" t="s">
        <v>593</v>
      </c>
      <c r="C3040" s="628"/>
      <c r="D3040" s="103" t="s">
        <v>579</v>
      </c>
      <c r="E3040" s="103" t="s">
        <v>580</v>
      </c>
      <c r="F3040" s="103" t="s">
        <v>581</v>
      </c>
      <c r="G3040" s="103" t="s">
        <v>582</v>
      </c>
      <c r="H3040" s="103" t="s">
        <v>583</v>
      </c>
    </row>
    <row r="3041" spans="1:8" s="318" customFormat="1">
      <c r="A3041" s="106"/>
      <c r="B3041" s="130" t="s">
        <v>673</v>
      </c>
      <c r="C3041" s="229" t="s">
        <v>3789</v>
      </c>
      <c r="D3041" s="130" t="s">
        <v>119</v>
      </c>
      <c r="E3041" s="130" t="s">
        <v>144</v>
      </c>
      <c r="F3041" s="230">
        <v>2.47E-2</v>
      </c>
      <c r="G3041" s="494">
        <v>2.57</v>
      </c>
      <c r="H3041" s="494">
        <v>0.06</v>
      </c>
    </row>
    <row r="3042" spans="1:8" s="318" customFormat="1">
      <c r="A3042" s="106"/>
      <c r="B3042" s="130" t="s">
        <v>1673</v>
      </c>
      <c r="C3042" s="229" t="s">
        <v>1674</v>
      </c>
      <c r="D3042" s="130" t="s">
        <v>119</v>
      </c>
      <c r="E3042" s="130" t="s">
        <v>173</v>
      </c>
      <c r="F3042" s="230">
        <v>1.0548999999999999</v>
      </c>
      <c r="G3042" s="494">
        <v>15.84</v>
      </c>
      <c r="H3042" s="494">
        <v>16.71</v>
      </c>
    </row>
    <row r="3043" spans="1:8" s="318" customFormat="1">
      <c r="A3043" s="106"/>
      <c r="B3043" s="105"/>
      <c r="C3043" s="105"/>
      <c r="D3043" s="105"/>
      <c r="E3043" s="105"/>
      <c r="F3043" s="629" t="s">
        <v>604</v>
      </c>
      <c r="G3043" s="629"/>
      <c r="H3043" s="495">
        <v>16.77</v>
      </c>
    </row>
    <row r="3044" spans="1:8" s="318" customFormat="1" ht="12.75" customHeight="1">
      <c r="A3044" s="106"/>
      <c r="B3044" s="628" t="s">
        <v>607</v>
      </c>
      <c r="C3044" s="628"/>
      <c r="D3044" s="103" t="s">
        <v>579</v>
      </c>
      <c r="E3044" s="103" t="s">
        <v>580</v>
      </c>
      <c r="F3044" s="103" t="s">
        <v>581</v>
      </c>
      <c r="G3044" s="103" t="s">
        <v>582</v>
      </c>
      <c r="H3044" s="103" t="s">
        <v>583</v>
      </c>
    </row>
    <row r="3045" spans="1:8" s="318" customFormat="1">
      <c r="A3045" s="106"/>
      <c r="B3045" s="130" t="s">
        <v>1296</v>
      </c>
      <c r="C3045" s="229" t="s">
        <v>611</v>
      </c>
      <c r="D3045" s="130" t="s">
        <v>119</v>
      </c>
      <c r="E3045" s="130" t="s">
        <v>121</v>
      </c>
      <c r="F3045" s="230">
        <v>0.44440000000000002</v>
      </c>
      <c r="G3045" s="494">
        <v>24.02</v>
      </c>
      <c r="H3045" s="494">
        <v>10.67</v>
      </c>
    </row>
    <row r="3046" spans="1:8" s="318" customFormat="1">
      <c r="A3046" s="106"/>
      <c r="B3046" s="130" t="s">
        <v>1297</v>
      </c>
      <c r="C3046" s="229" t="s">
        <v>612</v>
      </c>
      <c r="D3046" s="130" t="s">
        <v>119</v>
      </c>
      <c r="E3046" s="130" t="s">
        <v>121</v>
      </c>
      <c r="F3046" s="230">
        <v>0.44440000000000002</v>
      </c>
      <c r="G3046" s="494">
        <v>30.62</v>
      </c>
      <c r="H3046" s="494">
        <v>13.61</v>
      </c>
    </row>
    <row r="3047" spans="1:8" s="318" customFormat="1" ht="12.75" customHeight="1">
      <c r="A3047" s="106"/>
      <c r="B3047" s="105"/>
      <c r="C3047" s="105"/>
      <c r="D3047" s="105"/>
      <c r="E3047" s="105"/>
      <c r="F3047" s="629" t="s">
        <v>610</v>
      </c>
      <c r="G3047" s="629"/>
      <c r="H3047" s="495">
        <v>24.28</v>
      </c>
    </row>
    <row r="3048" spans="1:8" s="318" customFormat="1" ht="12.75" customHeight="1">
      <c r="A3048" s="106"/>
      <c r="B3048" s="105"/>
      <c r="C3048" s="105"/>
      <c r="D3048" s="105"/>
      <c r="E3048" s="105"/>
      <c r="F3048" s="630" t="s">
        <v>464</v>
      </c>
      <c r="G3048" s="630"/>
      <c r="H3048" s="102">
        <v>41.03</v>
      </c>
    </row>
    <row r="3049" spans="1:8" s="318" customFormat="1">
      <c r="A3049" s="106"/>
      <c r="B3049" s="105"/>
      <c r="C3049" s="105"/>
      <c r="D3049" s="105"/>
      <c r="E3049" s="105"/>
      <c r="F3049" s="634"/>
      <c r="G3049" s="634"/>
      <c r="H3049" s="634"/>
    </row>
    <row r="3050" spans="1:8" s="220" customFormat="1" ht="27" customHeight="1">
      <c r="A3050" s="178" t="str">
        <f>'3 - PLAN. ORÇAMENTÁRIA'!A502</f>
        <v>5.4.2.4</v>
      </c>
      <c r="B3050" s="178">
        <f>VLOOKUP(A3050,'3 - PLAN. ORÇAMENTÁRIA'!$A$16:$B$721,2,FALSE)</f>
        <v>89849</v>
      </c>
      <c r="C3050" s="631" t="str">
        <f>VLOOKUP(A3050,'3 - PLAN. ORÇAMENTÁRIA'!$A$16:$C$721,3,FALSE)</f>
        <v>TUBO PVC, SERIE NORMAL, ESGOTO PREDIAL, DN 150 MM, FORNECIDO E INSTALADO</v>
      </c>
      <c r="D3050" s="632"/>
      <c r="E3050" s="632"/>
      <c r="F3050" s="632"/>
      <c r="G3050" s="633"/>
      <c r="H3050" s="437" t="str">
        <f>VLOOKUP(A3050,'3 - PLAN. ORÇAMENTÁRIA'!$A$17:$E$721,5,FALSE)</f>
        <v>M</v>
      </c>
    </row>
    <row r="3051" spans="1:8" s="318" customFormat="1">
      <c r="A3051" s="106"/>
      <c r="B3051" s="628" t="s">
        <v>593</v>
      </c>
      <c r="C3051" s="628"/>
      <c r="D3051" s="103" t="s">
        <v>579</v>
      </c>
      <c r="E3051" s="103" t="s">
        <v>580</v>
      </c>
      <c r="F3051" s="103" t="s">
        <v>581</v>
      </c>
      <c r="G3051" s="103" t="s">
        <v>582</v>
      </c>
      <c r="H3051" s="103" t="s">
        <v>583</v>
      </c>
    </row>
    <row r="3052" spans="1:8" s="318" customFormat="1">
      <c r="A3052" s="106"/>
      <c r="B3052" s="130" t="s">
        <v>673</v>
      </c>
      <c r="C3052" s="229" t="s">
        <v>3789</v>
      </c>
      <c r="D3052" s="130" t="s">
        <v>119</v>
      </c>
      <c r="E3052" s="130" t="s">
        <v>144</v>
      </c>
      <c r="F3052" s="230">
        <v>1.7299999999999999E-2</v>
      </c>
      <c r="G3052" s="494">
        <v>2.57</v>
      </c>
      <c r="H3052" s="494">
        <v>0.04</v>
      </c>
    </row>
    <row r="3053" spans="1:8" s="318" customFormat="1">
      <c r="A3053" s="106"/>
      <c r="B3053" s="130" t="s">
        <v>2852</v>
      </c>
      <c r="C3053" s="229" t="s">
        <v>3080</v>
      </c>
      <c r="D3053" s="130" t="s">
        <v>119</v>
      </c>
      <c r="E3053" s="130" t="s">
        <v>173</v>
      </c>
      <c r="F3053" s="230">
        <v>1.0548999999999999</v>
      </c>
      <c r="G3053" s="494">
        <v>41.4</v>
      </c>
      <c r="H3053" s="494">
        <v>43.67</v>
      </c>
    </row>
    <row r="3054" spans="1:8" s="318" customFormat="1">
      <c r="A3054" s="106"/>
      <c r="B3054" s="105"/>
      <c r="C3054" s="105"/>
      <c r="D3054" s="105"/>
      <c r="E3054" s="105"/>
      <c r="F3054" s="629" t="s">
        <v>604</v>
      </c>
      <c r="G3054" s="629"/>
      <c r="H3054" s="495">
        <v>43.71</v>
      </c>
    </row>
    <row r="3055" spans="1:8" s="318" customFormat="1" ht="12.75" customHeight="1">
      <c r="A3055" s="106"/>
      <c r="B3055" s="628" t="s">
        <v>607</v>
      </c>
      <c r="C3055" s="628"/>
      <c r="D3055" s="103" t="s">
        <v>579</v>
      </c>
      <c r="E3055" s="103" t="s">
        <v>580</v>
      </c>
      <c r="F3055" s="103" t="s">
        <v>581</v>
      </c>
      <c r="G3055" s="103" t="s">
        <v>582</v>
      </c>
      <c r="H3055" s="103" t="s">
        <v>583</v>
      </c>
    </row>
    <row r="3056" spans="1:8" s="318" customFormat="1">
      <c r="A3056" s="106"/>
      <c r="B3056" s="130" t="s">
        <v>1296</v>
      </c>
      <c r="C3056" s="229" t="s">
        <v>611</v>
      </c>
      <c r="D3056" s="130" t="s">
        <v>119</v>
      </c>
      <c r="E3056" s="130" t="s">
        <v>121</v>
      </c>
      <c r="F3056" s="230">
        <v>0.31140000000000001</v>
      </c>
      <c r="G3056" s="494">
        <v>24.02</v>
      </c>
      <c r="H3056" s="494">
        <v>7.48</v>
      </c>
    </row>
    <row r="3057" spans="1:8" s="318" customFormat="1">
      <c r="A3057" s="106"/>
      <c r="B3057" s="130" t="s">
        <v>1297</v>
      </c>
      <c r="C3057" s="229" t="s">
        <v>612</v>
      </c>
      <c r="D3057" s="130" t="s">
        <v>119</v>
      </c>
      <c r="E3057" s="130" t="s">
        <v>121</v>
      </c>
      <c r="F3057" s="230">
        <v>0.31140000000000001</v>
      </c>
      <c r="G3057" s="494">
        <v>30.62</v>
      </c>
      <c r="H3057" s="494">
        <v>9.5399999999999991</v>
      </c>
    </row>
    <row r="3058" spans="1:8" s="318" customFormat="1" ht="12.75" customHeight="1">
      <c r="A3058" s="106"/>
      <c r="B3058" s="105"/>
      <c r="C3058" s="105"/>
      <c r="D3058" s="105"/>
      <c r="E3058" s="105"/>
      <c r="F3058" s="629" t="s">
        <v>610</v>
      </c>
      <c r="G3058" s="629"/>
      <c r="H3058" s="495">
        <v>17.02</v>
      </c>
    </row>
    <row r="3059" spans="1:8" s="318" customFormat="1" ht="12.75" customHeight="1">
      <c r="A3059" s="106"/>
      <c r="B3059" s="105"/>
      <c r="C3059" s="105"/>
      <c r="D3059" s="105"/>
      <c r="E3059" s="105"/>
      <c r="F3059" s="630" t="s">
        <v>464</v>
      </c>
      <c r="G3059" s="630"/>
      <c r="H3059" s="102">
        <v>60.71</v>
      </c>
    </row>
    <row r="3060" spans="1:8" s="318" customFormat="1">
      <c r="A3060" s="106"/>
      <c r="B3060" s="105"/>
      <c r="C3060" s="105"/>
      <c r="D3060" s="105"/>
      <c r="E3060" s="105"/>
      <c r="F3060" s="366"/>
      <c r="G3060" s="366"/>
      <c r="H3060" s="366"/>
    </row>
    <row r="3061" spans="1:8" s="220" customFormat="1" ht="27" customHeight="1">
      <c r="A3061" s="178" t="str">
        <f>'3 - PLAN. ORÇAMENTÁRIA'!A504</f>
        <v>5.4.3.1</v>
      </c>
      <c r="B3061" s="178">
        <f>VLOOKUP(A3061,'3 - PLAN. ORÇAMENTÁRIA'!$A$16:$B$721,2,FALSE)</f>
        <v>98110</v>
      </c>
      <c r="C3061" s="631" t="str">
        <f>VLOOKUP(A3061,'3 - PLAN. ORÇAMENTÁRIA'!$A$16:$C$721,3,FALSE)</f>
        <v>CAIXA DE GORDURA PEQUENA (CAPACIDADE: 18 L), CIRCULAR, EM PVC, DIÂMETRO INTERNO= 0,3 M. AF_12/2020</v>
      </c>
      <c r="D3061" s="632"/>
      <c r="E3061" s="632"/>
      <c r="F3061" s="632"/>
      <c r="G3061" s="633"/>
      <c r="H3061" s="433" t="str">
        <f>VLOOKUP(A3061,'3 - PLAN. ORÇAMENTÁRIA'!$A$17:$E$721,5,FALSE)</f>
        <v>UN</v>
      </c>
    </row>
    <row r="3062" spans="1:8" s="318" customFormat="1">
      <c r="A3062" s="106"/>
      <c r="B3062" s="628" t="s">
        <v>593</v>
      </c>
      <c r="C3062" s="628"/>
      <c r="D3062" s="103" t="s">
        <v>579</v>
      </c>
      <c r="E3062" s="103" t="s">
        <v>580</v>
      </c>
      <c r="F3062" s="103" t="s">
        <v>581</v>
      </c>
      <c r="G3062" s="103" t="s">
        <v>582</v>
      </c>
      <c r="H3062" s="103" t="s">
        <v>583</v>
      </c>
    </row>
    <row r="3063" spans="1:8" s="318" customFormat="1" ht="25.5">
      <c r="A3063" s="106"/>
      <c r="B3063" s="130" t="s">
        <v>1675</v>
      </c>
      <c r="C3063" s="229" t="s">
        <v>1676</v>
      </c>
      <c r="D3063" s="130" t="s">
        <v>119</v>
      </c>
      <c r="E3063" s="130" t="s">
        <v>144</v>
      </c>
      <c r="F3063" s="230">
        <v>1</v>
      </c>
      <c r="G3063" s="494">
        <v>481.21</v>
      </c>
      <c r="H3063" s="494">
        <v>481.21</v>
      </c>
    </row>
    <row r="3064" spans="1:8" s="318" customFormat="1">
      <c r="A3064" s="106"/>
      <c r="B3064" s="105"/>
      <c r="C3064" s="105"/>
      <c r="D3064" s="105"/>
      <c r="E3064" s="105"/>
      <c r="F3064" s="629" t="s">
        <v>604</v>
      </c>
      <c r="G3064" s="629"/>
      <c r="H3064" s="495">
        <v>481.21</v>
      </c>
    </row>
    <row r="3065" spans="1:8" s="318" customFormat="1" ht="12.75" customHeight="1">
      <c r="A3065" s="106"/>
      <c r="B3065" s="628" t="s">
        <v>607</v>
      </c>
      <c r="C3065" s="628"/>
      <c r="D3065" s="103" t="s">
        <v>579</v>
      </c>
      <c r="E3065" s="103" t="s">
        <v>580</v>
      </c>
      <c r="F3065" s="103" t="s">
        <v>581</v>
      </c>
      <c r="G3065" s="103" t="s">
        <v>582</v>
      </c>
      <c r="H3065" s="103" t="s">
        <v>583</v>
      </c>
    </row>
    <row r="3066" spans="1:8" s="318" customFormat="1">
      <c r="A3066" s="106"/>
      <c r="B3066" s="130" t="s">
        <v>639</v>
      </c>
      <c r="C3066" s="229" t="s">
        <v>640</v>
      </c>
      <c r="D3066" s="130" t="s">
        <v>119</v>
      </c>
      <c r="E3066" s="130" t="s">
        <v>121</v>
      </c>
      <c r="F3066" s="230">
        <v>0.28399999999999997</v>
      </c>
      <c r="G3066" s="494">
        <v>31.34</v>
      </c>
      <c r="H3066" s="494">
        <v>8.9</v>
      </c>
    </row>
    <row r="3067" spans="1:8" s="318" customFormat="1">
      <c r="A3067" s="106"/>
      <c r="B3067" s="130" t="s">
        <v>625</v>
      </c>
      <c r="C3067" s="229" t="s">
        <v>626</v>
      </c>
      <c r="D3067" s="130" t="s">
        <v>119</v>
      </c>
      <c r="E3067" s="130" t="s">
        <v>121</v>
      </c>
      <c r="F3067" s="230">
        <v>0.22309999999999999</v>
      </c>
      <c r="G3067" s="494">
        <v>23.75</v>
      </c>
      <c r="H3067" s="494">
        <v>5.3</v>
      </c>
    </row>
    <row r="3068" spans="1:8" s="318" customFormat="1" ht="12.75" customHeight="1">
      <c r="A3068" s="106"/>
      <c r="B3068" s="105"/>
      <c r="C3068" s="105"/>
      <c r="D3068" s="105"/>
      <c r="E3068" s="105"/>
      <c r="F3068" s="629" t="s">
        <v>610</v>
      </c>
      <c r="G3068" s="629"/>
      <c r="H3068" s="495">
        <v>14.2</v>
      </c>
    </row>
    <row r="3069" spans="1:8" s="318" customFormat="1">
      <c r="A3069" s="106"/>
      <c r="B3069" s="628" t="s">
        <v>586</v>
      </c>
      <c r="C3069" s="628"/>
      <c r="D3069" s="103" t="s">
        <v>579</v>
      </c>
      <c r="E3069" s="103" t="s">
        <v>580</v>
      </c>
      <c r="F3069" s="103" t="s">
        <v>581</v>
      </c>
      <c r="G3069" s="103" t="s">
        <v>582</v>
      </c>
      <c r="H3069" s="103" t="s">
        <v>583</v>
      </c>
    </row>
    <row r="3070" spans="1:8" s="318" customFormat="1" ht="25.5">
      <c r="A3070" s="106"/>
      <c r="B3070" s="130" t="s">
        <v>1677</v>
      </c>
      <c r="C3070" s="229" t="s">
        <v>1298</v>
      </c>
      <c r="D3070" s="130" t="s">
        <v>119</v>
      </c>
      <c r="E3070" s="130" t="s">
        <v>167</v>
      </c>
      <c r="F3070" s="230">
        <v>1.41E-2</v>
      </c>
      <c r="G3070" s="494">
        <v>252.42</v>
      </c>
      <c r="H3070" s="494">
        <v>3.56</v>
      </c>
    </row>
    <row r="3071" spans="1:8" s="318" customFormat="1">
      <c r="A3071" s="106"/>
      <c r="B3071" s="105"/>
      <c r="C3071" s="105"/>
      <c r="D3071" s="105"/>
      <c r="E3071" s="105"/>
      <c r="F3071" s="629" t="s">
        <v>587</v>
      </c>
      <c r="G3071" s="629"/>
      <c r="H3071" s="495">
        <v>3.56</v>
      </c>
    </row>
    <row r="3072" spans="1:8" s="318" customFormat="1" ht="12.75" customHeight="1">
      <c r="A3072" s="106"/>
      <c r="B3072" s="105"/>
      <c r="C3072" s="105"/>
      <c r="D3072" s="105"/>
      <c r="E3072" s="105"/>
      <c r="F3072" s="630" t="s">
        <v>464</v>
      </c>
      <c r="G3072" s="630"/>
      <c r="H3072" s="102">
        <v>498.97</v>
      </c>
    </row>
    <row r="3073" spans="1:8" s="318" customFormat="1">
      <c r="A3073" s="106"/>
      <c r="B3073" s="156"/>
      <c r="C3073" s="156"/>
      <c r="D3073" s="156"/>
      <c r="E3073" s="156"/>
      <c r="F3073" s="635"/>
      <c r="G3073" s="635"/>
      <c r="H3073" s="635"/>
    </row>
    <row r="3074" spans="1:8" s="318" customFormat="1" ht="30.75" customHeight="1">
      <c r="A3074" s="178" t="str">
        <f>'3 - PLAN. ORÇAMENTÁRIA'!A505</f>
        <v>5.4.3.2</v>
      </c>
      <c r="B3074" s="242">
        <f>VLOOKUP(A3074,'3 - PLAN. ORÇAMENTÁRIA'!$A$16:$B$721,2,FALSE)</f>
        <v>97902</v>
      </c>
      <c r="C3074" s="631" t="str">
        <f>VLOOKUP(A3074,'3 - PLAN. ORÇAMENTÁRIA'!$A$16:$C$721,3,FALSE)</f>
        <v>CAIXA DE PASSAGEM EM ALVENARIA DE TIJOLOS MACIÇOS ESP = 0,12M, DIM. INT. = 0,50 X 0,50 X 0,60 M, COM GRELHA DE FERRO FUNDIDO</v>
      </c>
      <c r="D3074" s="632"/>
      <c r="E3074" s="632"/>
      <c r="F3074" s="632"/>
      <c r="G3074" s="633"/>
      <c r="H3074" s="370" t="str">
        <f>VLOOKUP(A3074,'3 - PLAN. ORÇAMENTÁRIA'!$A$17:$E$721,5,FALSE)</f>
        <v>UN</v>
      </c>
    </row>
    <row r="3075" spans="1:8" s="318" customFormat="1" ht="12.75" customHeight="1">
      <c r="A3075" s="106"/>
      <c r="B3075" s="628" t="s">
        <v>1301</v>
      </c>
      <c r="C3075" s="628"/>
      <c r="D3075" s="103" t="s">
        <v>579</v>
      </c>
      <c r="E3075" s="103" t="s">
        <v>580</v>
      </c>
      <c r="F3075" s="103" t="s">
        <v>581</v>
      </c>
      <c r="G3075" s="103" t="s">
        <v>582</v>
      </c>
      <c r="H3075" s="103" t="s">
        <v>583</v>
      </c>
    </row>
    <row r="3076" spans="1:8" s="318" customFormat="1" ht="38.25">
      <c r="A3076" s="106"/>
      <c r="B3076" s="130" t="s">
        <v>1679</v>
      </c>
      <c r="C3076" s="229" t="s">
        <v>1680</v>
      </c>
      <c r="D3076" s="130" t="s">
        <v>119</v>
      </c>
      <c r="E3076" s="130" t="s">
        <v>1304</v>
      </c>
      <c r="F3076" s="230">
        <v>1.78E-2</v>
      </c>
      <c r="G3076" s="494">
        <v>62.96</v>
      </c>
      <c r="H3076" s="494">
        <v>1.1200000000000001</v>
      </c>
    </row>
    <row r="3077" spans="1:8" s="318" customFormat="1" ht="38.25">
      <c r="A3077" s="106"/>
      <c r="B3077" s="130" t="s">
        <v>1681</v>
      </c>
      <c r="C3077" s="229" t="s">
        <v>1682</v>
      </c>
      <c r="D3077" s="130" t="s">
        <v>119</v>
      </c>
      <c r="E3077" s="130" t="s">
        <v>1307</v>
      </c>
      <c r="F3077" s="230">
        <v>8.6999999999999994E-3</v>
      </c>
      <c r="G3077" s="494">
        <v>146.19</v>
      </c>
      <c r="H3077" s="494">
        <v>1.27</v>
      </c>
    </row>
    <row r="3078" spans="1:8" s="318" customFormat="1" ht="12.75" customHeight="1">
      <c r="A3078" s="106"/>
      <c r="B3078" s="105"/>
      <c r="C3078" s="105"/>
      <c r="D3078" s="105"/>
      <c r="E3078" s="105"/>
      <c r="F3078" s="629" t="s">
        <v>1308</v>
      </c>
      <c r="G3078" s="629"/>
      <c r="H3078" s="495">
        <v>2.39</v>
      </c>
    </row>
    <row r="3079" spans="1:8" s="318" customFormat="1">
      <c r="A3079" s="106"/>
      <c r="B3079" s="628" t="s">
        <v>593</v>
      </c>
      <c r="C3079" s="628"/>
      <c r="D3079" s="103" t="s">
        <v>579</v>
      </c>
      <c r="E3079" s="103" t="s">
        <v>580</v>
      </c>
      <c r="F3079" s="103" t="s">
        <v>581</v>
      </c>
      <c r="G3079" s="103" t="s">
        <v>582</v>
      </c>
      <c r="H3079" s="103" t="s">
        <v>583</v>
      </c>
    </row>
    <row r="3080" spans="1:8" s="318" customFormat="1">
      <c r="A3080" s="106"/>
      <c r="B3080" s="130" t="s">
        <v>643</v>
      </c>
      <c r="C3080" s="229" t="s">
        <v>644</v>
      </c>
      <c r="D3080" s="130" t="s">
        <v>119</v>
      </c>
      <c r="E3080" s="130" t="s">
        <v>107</v>
      </c>
      <c r="F3080" s="230">
        <v>5.4000000000000003E-3</v>
      </c>
      <c r="G3080" s="494">
        <v>7.16</v>
      </c>
      <c r="H3080" s="494">
        <v>0.04</v>
      </c>
    </row>
    <row r="3081" spans="1:8" s="318" customFormat="1">
      <c r="A3081" s="106"/>
      <c r="B3081" s="130" t="s">
        <v>1309</v>
      </c>
      <c r="C3081" s="229" t="s">
        <v>1310</v>
      </c>
      <c r="D3081" s="130" t="s">
        <v>119</v>
      </c>
      <c r="E3081" s="130" t="s">
        <v>173</v>
      </c>
      <c r="F3081" s="230">
        <v>0.11840000000000001</v>
      </c>
      <c r="G3081" s="494">
        <v>7.78</v>
      </c>
      <c r="H3081" s="494">
        <v>0.92</v>
      </c>
    </row>
    <row r="3082" spans="1:8" s="318" customFormat="1">
      <c r="A3082" s="106"/>
      <c r="B3082" s="130" t="s">
        <v>1323</v>
      </c>
      <c r="C3082" s="229" t="s">
        <v>1324</v>
      </c>
      <c r="D3082" s="130" t="s">
        <v>119</v>
      </c>
      <c r="E3082" s="130" t="s">
        <v>200</v>
      </c>
      <c r="F3082" s="230">
        <v>1.2500000000000001E-2</v>
      </c>
      <c r="G3082" s="494">
        <v>19.079999999999998</v>
      </c>
      <c r="H3082" s="494">
        <v>0.24</v>
      </c>
    </row>
    <row r="3083" spans="1:8" s="318" customFormat="1">
      <c r="A3083" s="106"/>
      <c r="B3083" s="130" t="s">
        <v>1397</v>
      </c>
      <c r="C3083" s="229" t="s">
        <v>1398</v>
      </c>
      <c r="D3083" s="130" t="s">
        <v>119</v>
      </c>
      <c r="E3083" s="130" t="s">
        <v>173</v>
      </c>
      <c r="F3083" s="230">
        <v>0.14080000000000001</v>
      </c>
      <c r="G3083" s="494">
        <v>2.72</v>
      </c>
      <c r="H3083" s="494">
        <v>0.38</v>
      </c>
    </row>
    <row r="3084" spans="1:8" s="318" customFormat="1" ht="25.5">
      <c r="A3084" s="106"/>
      <c r="B3084" s="130" t="s">
        <v>1429</v>
      </c>
      <c r="C3084" s="229" t="s">
        <v>1430</v>
      </c>
      <c r="D3084" s="130" t="s">
        <v>119</v>
      </c>
      <c r="E3084" s="130" t="s">
        <v>173</v>
      </c>
      <c r="F3084" s="230">
        <v>0.44159999999999999</v>
      </c>
      <c r="G3084" s="494">
        <v>18.37</v>
      </c>
      <c r="H3084" s="494">
        <v>8.11</v>
      </c>
    </row>
    <row r="3085" spans="1:8" s="318" customFormat="1">
      <c r="A3085" s="106"/>
      <c r="B3085" s="130" t="s">
        <v>1472</v>
      </c>
      <c r="C3085" s="229" t="s">
        <v>1473</v>
      </c>
      <c r="D3085" s="130" t="s">
        <v>119</v>
      </c>
      <c r="E3085" s="130" t="s">
        <v>144</v>
      </c>
      <c r="F3085" s="230">
        <v>131.81880000000001</v>
      </c>
      <c r="G3085" s="494">
        <v>0.61</v>
      </c>
      <c r="H3085" s="494">
        <v>80.41</v>
      </c>
    </row>
    <row r="3086" spans="1:8" s="318" customFormat="1">
      <c r="A3086" s="106"/>
      <c r="B3086" s="105"/>
      <c r="C3086" s="105"/>
      <c r="D3086" s="105"/>
      <c r="E3086" s="105"/>
      <c r="F3086" s="629" t="s">
        <v>604</v>
      </c>
      <c r="G3086" s="629"/>
      <c r="H3086" s="495">
        <v>90.1</v>
      </c>
    </row>
    <row r="3087" spans="1:8" s="318" customFormat="1" ht="12.75" customHeight="1">
      <c r="A3087" s="106"/>
      <c r="B3087" s="628" t="s">
        <v>607</v>
      </c>
      <c r="C3087" s="628"/>
      <c r="D3087" s="103" t="s">
        <v>579</v>
      </c>
      <c r="E3087" s="103" t="s">
        <v>580</v>
      </c>
      <c r="F3087" s="103" t="s">
        <v>581</v>
      </c>
      <c r="G3087" s="103" t="s">
        <v>582</v>
      </c>
      <c r="H3087" s="103" t="s">
        <v>583</v>
      </c>
    </row>
    <row r="3088" spans="1:8" s="318" customFormat="1">
      <c r="A3088" s="106"/>
      <c r="B3088" s="130" t="s">
        <v>639</v>
      </c>
      <c r="C3088" s="229" t="s">
        <v>640</v>
      </c>
      <c r="D3088" s="130" t="s">
        <v>119</v>
      </c>
      <c r="E3088" s="130" t="s">
        <v>121</v>
      </c>
      <c r="F3088" s="230">
        <v>5.0944000000000003</v>
      </c>
      <c r="G3088" s="494">
        <v>31.34</v>
      </c>
      <c r="H3088" s="494">
        <v>159.66</v>
      </c>
    </row>
    <row r="3089" spans="1:8" s="318" customFormat="1">
      <c r="A3089" s="106"/>
      <c r="B3089" s="130" t="s">
        <v>625</v>
      </c>
      <c r="C3089" s="229" t="s">
        <v>626</v>
      </c>
      <c r="D3089" s="130" t="s">
        <v>119</v>
      </c>
      <c r="E3089" s="130" t="s">
        <v>121</v>
      </c>
      <c r="F3089" s="230">
        <v>4.0027999999999997</v>
      </c>
      <c r="G3089" s="494">
        <v>23.75</v>
      </c>
      <c r="H3089" s="494">
        <v>95.07</v>
      </c>
    </row>
    <row r="3090" spans="1:8" s="318" customFormat="1" ht="12.75" customHeight="1">
      <c r="A3090" s="106"/>
      <c r="B3090" s="105"/>
      <c r="C3090" s="105"/>
      <c r="D3090" s="105"/>
      <c r="E3090" s="105"/>
      <c r="F3090" s="629" t="s">
        <v>610</v>
      </c>
      <c r="G3090" s="629"/>
      <c r="H3090" s="495">
        <v>254.73</v>
      </c>
    </row>
    <row r="3091" spans="1:8" s="318" customFormat="1">
      <c r="A3091" s="106"/>
      <c r="B3091" s="628" t="s">
        <v>586</v>
      </c>
      <c r="C3091" s="628"/>
      <c r="D3091" s="103" t="s">
        <v>579</v>
      </c>
      <c r="E3091" s="103" t="s">
        <v>580</v>
      </c>
      <c r="F3091" s="103" t="s">
        <v>581</v>
      </c>
      <c r="G3091" s="103" t="s">
        <v>582</v>
      </c>
      <c r="H3091" s="103" t="s">
        <v>583</v>
      </c>
    </row>
    <row r="3092" spans="1:8" s="318" customFormat="1" ht="25.5">
      <c r="A3092" s="106"/>
      <c r="B3092" s="130" t="s">
        <v>1708</v>
      </c>
      <c r="C3092" s="229" t="s">
        <v>1709</v>
      </c>
      <c r="D3092" s="130" t="s">
        <v>119</v>
      </c>
      <c r="E3092" s="130" t="s">
        <v>167</v>
      </c>
      <c r="F3092" s="230">
        <v>0.11559999999999999</v>
      </c>
      <c r="G3092" s="494">
        <v>671.48</v>
      </c>
      <c r="H3092" s="494">
        <v>77.62</v>
      </c>
    </row>
    <row r="3093" spans="1:8" s="318" customFormat="1" ht="25.5">
      <c r="A3093" s="106"/>
      <c r="B3093" s="130" t="s">
        <v>1683</v>
      </c>
      <c r="C3093" s="229" t="s">
        <v>1684</v>
      </c>
      <c r="D3093" s="130" t="s">
        <v>119</v>
      </c>
      <c r="E3093" s="130" t="s">
        <v>167</v>
      </c>
      <c r="F3093" s="230">
        <v>1.4800000000000001E-2</v>
      </c>
      <c r="G3093" s="494">
        <v>558.9</v>
      </c>
      <c r="H3093" s="494">
        <v>8.27</v>
      </c>
    </row>
    <row r="3094" spans="1:8" s="318" customFormat="1" ht="25.5">
      <c r="A3094" s="106"/>
      <c r="B3094" s="130" t="s">
        <v>1451</v>
      </c>
      <c r="C3094" s="229" t="s">
        <v>1452</v>
      </c>
      <c r="D3094" s="130" t="s">
        <v>119</v>
      </c>
      <c r="E3094" s="130" t="s">
        <v>167</v>
      </c>
      <c r="F3094" s="230">
        <v>7.4399999999999994E-2</v>
      </c>
      <c r="G3094" s="494">
        <v>491.53</v>
      </c>
      <c r="H3094" s="494">
        <v>36.57</v>
      </c>
    </row>
    <row r="3095" spans="1:8" s="318" customFormat="1" ht="25.5">
      <c r="A3095" s="106"/>
      <c r="B3095" s="130" t="s">
        <v>1710</v>
      </c>
      <c r="C3095" s="229" t="s">
        <v>1711</v>
      </c>
      <c r="D3095" s="130" t="s">
        <v>119</v>
      </c>
      <c r="E3095" s="130" t="s">
        <v>167</v>
      </c>
      <c r="F3095" s="230">
        <v>4.48E-2</v>
      </c>
      <c r="G3095" s="494">
        <v>2587.48</v>
      </c>
      <c r="H3095" s="494">
        <v>115.92</v>
      </c>
    </row>
    <row r="3096" spans="1:8" s="318" customFormat="1" ht="25.5">
      <c r="A3096" s="106"/>
      <c r="B3096" s="130" t="s">
        <v>210</v>
      </c>
      <c r="C3096" s="229" t="s">
        <v>211</v>
      </c>
      <c r="D3096" s="130" t="s">
        <v>119</v>
      </c>
      <c r="E3096" s="130" t="s">
        <v>139</v>
      </c>
      <c r="F3096" s="230">
        <v>0.81</v>
      </c>
      <c r="G3096" s="494">
        <v>7.03</v>
      </c>
      <c r="H3096" s="494">
        <v>5.69</v>
      </c>
    </row>
    <row r="3097" spans="1:8" s="318" customFormat="1">
      <c r="A3097" s="106"/>
      <c r="B3097" s="105"/>
      <c r="C3097" s="105"/>
      <c r="D3097" s="105"/>
      <c r="E3097" s="105"/>
      <c r="F3097" s="629" t="s">
        <v>587</v>
      </c>
      <c r="G3097" s="629"/>
      <c r="H3097" s="495">
        <v>244.07</v>
      </c>
    </row>
    <row r="3098" spans="1:8" s="318" customFormat="1" ht="12.75" customHeight="1">
      <c r="A3098" s="106"/>
      <c r="B3098" s="105"/>
      <c r="C3098" s="105"/>
      <c r="D3098" s="105"/>
      <c r="E3098" s="105"/>
      <c r="F3098" s="630" t="s">
        <v>464</v>
      </c>
      <c r="G3098" s="630"/>
      <c r="H3098" s="102">
        <v>591.29</v>
      </c>
    </row>
    <row r="3099" spans="1:8" s="318" customFormat="1">
      <c r="A3099" s="106"/>
      <c r="B3099" s="105"/>
      <c r="C3099" s="105"/>
      <c r="D3099" s="105"/>
      <c r="E3099" s="105"/>
      <c r="F3099" s="366"/>
      <c r="G3099" s="366"/>
      <c r="H3099" s="366"/>
    </row>
    <row r="3100" spans="1:8" s="318" customFormat="1" ht="30.75" customHeight="1">
      <c r="A3100" s="178" t="str">
        <f>'3 - PLAN. ORÇAMENTÁRIA'!A508</f>
        <v>5.5.1</v>
      </c>
      <c r="B3100" s="242">
        <f>VLOOKUP(A3100,'3 - PLAN. ORÇAMENTÁRIA'!$A$16:$B$721,2,FALSE)</f>
        <v>91222</v>
      </c>
      <c r="C3100" s="631" t="str">
        <f>VLOOKUP(A3100,'3 - PLAN. ORÇAMENTÁRIA'!$A$16:$C$721,3,FALSE)</f>
        <v>RASGO LINEAR MANUAL EM ALVENARIA, PARA RAMAIS/ DISTRIBUIÇÃO DE INSTALAÇÕES HIDRÁULICAS, DIÂMETROS MAIORES QUE 40 MM E MENORES OU IGUAIS A 150 MM. AF_09/2023</v>
      </c>
      <c r="D3100" s="632"/>
      <c r="E3100" s="632"/>
      <c r="F3100" s="632"/>
      <c r="G3100" s="633"/>
      <c r="H3100" s="432" t="str">
        <f>VLOOKUP(A3100,'3 - PLAN. ORÇAMENTÁRIA'!$A$17:$E$721,5,FALSE)</f>
        <v>M</v>
      </c>
    </row>
    <row r="3101" spans="1:8" s="318" customFormat="1" ht="12.75" customHeight="1">
      <c r="A3101" s="106"/>
      <c r="B3101" s="628" t="s">
        <v>607</v>
      </c>
      <c r="C3101" s="628"/>
      <c r="D3101" s="103" t="s">
        <v>579</v>
      </c>
      <c r="E3101" s="103" t="s">
        <v>580</v>
      </c>
      <c r="F3101" s="103" t="s">
        <v>581</v>
      </c>
      <c r="G3101" s="103" t="s">
        <v>582</v>
      </c>
      <c r="H3101" s="103" t="s">
        <v>583</v>
      </c>
    </row>
    <row r="3102" spans="1:8" s="318" customFormat="1">
      <c r="A3102" s="106"/>
      <c r="B3102" s="130" t="s">
        <v>1296</v>
      </c>
      <c r="C3102" s="229" t="s">
        <v>611</v>
      </c>
      <c r="D3102" s="130" t="s">
        <v>119</v>
      </c>
      <c r="E3102" s="130" t="s">
        <v>121</v>
      </c>
      <c r="F3102" s="230">
        <v>7.3400000000000007E-2</v>
      </c>
      <c r="G3102" s="494">
        <v>24.02</v>
      </c>
      <c r="H3102" s="494">
        <v>1.76</v>
      </c>
    </row>
    <row r="3103" spans="1:8" s="318" customFormat="1">
      <c r="A3103" s="106"/>
      <c r="B3103" s="130" t="s">
        <v>1297</v>
      </c>
      <c r="C3103" s="229" t="s">
        <v>612</v>
      </c>
      <c r="D3103" s="130" t="s">
        <v>119</v>
      </c>
      <c r="E3103" s="130" t="s">
        <v>121</v>
      </c>
      <c r="F3103" s="230">
        <v>0.26090000000000002</v>
      </c>
      <c r="G3103" s="494">
        <v>30.62</v>
      </c>
      <c r="H3103" s="494">
        <v>7.99</v>
      </c>
    </row>
    <row r="3104" spans="1:8" s="318" customFormat="1" ht="12.75" customHeight="1">
      <c r="A3104" s="106"/>
      <c r="B3104" s="105"/>
      <c r="C3104" s="105"/>
      <c r="D3104" s="105"/>
      <c r="E3104" s="105"/>
      <c r="F3104" s="629" t="s">
        <v>610</v>
      </c>
      <c r="G3104" s="629"/>
      <c r="H3104" s="495">
        <v>9.75</v>
      </c>
    </row>
    <row r="3105" spans="1:8" s="318" customFormat="1" ht="12.75" customHeight="1">
      <c r="A3105" s="106"/>
      <c r="B3105" s="105"/>
      <c r="C3105" s="105"/>
      <c r="D3105" s="105"/>
      <c r="E3105" s="105"/>
      <c r="F3105" s="630" t="s">
        <v>464</v>
      </c>
      <c r="G3105" s="630"/>
      <c r="H3105" s="102">
        <v>9.74</v>
      </c>
    </row>
    <row r="3106" spans="1:8" s="318" customFormat="1">
      <c r="A3106" s="106"/>
      <c r="B3106" s="105"/>
      <c r="C3106" s="105"/>
      <c r="D3106" s="105"/>
      <c r="E3106" s="105"/>
      <c r="F3106" s="634"/>
      <c r="G3106" s="634"/>
      <c r="H3106" s="634"/>
    </row>
    <row r="3107" spans="1:8" s="318" customFormat="1" ht="30.75" customHeight="1">
      <c r="A3107" s="178" t="str">
        <f>'3 - PLAN. ORÇAMENTÁRIA'!A509</f>
        <v>5.5.2</v>
      </c>
      <c r="B3107" s="242">
        <f>VLOOKUP(A3107,'3 - PLAN. ORÇAMENTÁRIA'!$A$16:$B$721,2,FALSE)</f>
        <v>90443</v>
      </c>
      <c r="C3107" s="631" t="str">
        <f>VLOOKUP(A3107,'3 - PLAN. ORÇAMENTÁRIA'!$A$16:$C$721,3,FALSE)</f>
        <v>RASGO LINEAR MANUAL EM ALVENARIA, PARA RAMAIS/ DISTRIBUIÇÃO DE INSTALAÇÕES HIDRÁULICAS, DIÂMETROS MENORES OU IGUAIS A 40 MM. AF_09/2023</v>
      </c>
      <c r="D3107" s="632"/>
      <c r="E3107" s="632"/>
      <c r="F3107" s="632"/>
      <c r="G3107" s="633"/>
      <c r="H3107" s="493" t="str">
        <f>VLOOKUP(A3107,'3 - PLAN. ORÇAMENTÁRIA'!$A$17:$E$721,5,FALSE)</f>
        <v>M</v>
      </c>
    </row>
    <row r="3108" spans="1:8" s="318" customFormat="1" ht="12.75" customHeight="1">
      <c r="A3108" s="106"/>
      <c r="B3108" s="628" t="s">
        <v>607</v>
      </c>
      <c r="C3108" s="628"/>
      <c r="D3108" s="103" t="s">
        <v>579</v>
      </c>
      <c r="E3108" s="103" t="s">
        <v>580</v>
      </c>
      <c r="F3108" s="103" t="s">
        <v>581</v>
      </c>
      <c r="G3108" s="103" t="s">
        <v>582</v>
      </c>
      <c r="H3108" s="103" t="s">
        <v>583</v>
      </c>
    </row>
    <row r="3109" spans="1:8" s="318" customFormat="1">
      <c r="A3109" s="106"/>
      <c r="B3109" s="130" t="s">
        <v>1296</v>
      </c>
      <c r="C3109" s="229" t="s">
        <v>611</v>
      </c>
      <c r="D3109" s="130" t="s">
        <v>119</v>
      </c>
      <c r="E3109" s="130" t="s">
        <v>121</v>
      </c>
      <c r="F3109" s="230">
        <v>6.6000000000000003E-2</v>
      </c>
      <c r="G3109" s="494">
        <v>24.02</v>
      </c>
      <c r="H3109" s="494">
        <v>1.59</v>
      </c>
    </row>
    <row r="3110" spans="1:8" s="318" customFormat="1">
      <c r="A3110" s="106"/>
      <c r="B3110" s="130" t="s">
        <v>1297</v>
      </c>
      <c r="C3110" s="229" t="s">
        <v>612</v>
      </c>
      <c r="D3110" s="130" t="s">
        <v>119</v>
      </c>
      <c r="E3110" s="130" t="s">
        <v>121</v>
      </c>
      <c r="F3110" s="230">
        <v>0.23480000000000001</v>
      </c>
      <c r="G3110" s="494">
        <v>30.62</v>
      </c>
      <c r="H3110" s="494">
        <v>7.19</v>
      </c>
    </row>
    <row r="3111" spans="1:8" s="318" customFormat="1" ht="12.75" customHeight="1">
      <c r="A3111" s="106"/>
      <c r="B3111" s="105"/>
      <c r="C3111" s="105"/>
      <c r="D3111" s="105"/>
      <c r="E3111" s="105"/>
      <c r="F3111" s="629" t="s">
        <v>610</v>
      </c>
      <c r="G3111" s="629"/>
      <c r="H3111" s="495">
        <v>8.7799999999999994</v>
      </c>
    </row>
    <row r="3112" spans="1:8" s="318" customFormat="1" ht="12.75" customHeight="1">
      <c r="A3112" s="106"/>
      <c r="B3112" s="105"/>
      <c r="C3112" s="105"/>
      <c r="D3112" s="105"/>
      <c r="E3112" s="105"/>
      <c r="F3112" s="630" t="s">
        <v>464</v>
      </c>
      <c r="G3112" s="630"/>
      <c r="H3112" s="102">
        <v>8.76</v>
      </c>
    </row>
    <row r="3113" spans="1:8" s="318" customFormat="1">
      <c r="A3113" s="106"/>
      <c r="B3113" s="105"/>
      <c r="C3113" s="105"/>
      <c r="D3113" s="105"/>
      <c r="E3113" s="105"/>
      <c r="F3113" s="634"/>
      <c r="G3113" s="634"/>
      <c r="H3113" s="634"/>
    </row>
    <row r="3114" spans="1:8" s="318" customFormat="1" ht="30.75" customHeight="1">
      <c r="A3114" s="178" t="str">
        <f>'3 - PLAN. ORÇAMENTÁRIA'!A510</f>
        <v>5.5.3</v>
      </c>
      <c r="B3114" s="242">
        <f>VLOOKUP(A3114,'3 - PLAN. ORÇAMENTÁRIA'!$A$16:$B$721,2,FALSE)</f>
        <v>90467</v>
      </c>
      <c r="C3114" s="631" t="str">
        <f>VLOOKUP(A3114,'3 - PLAN. ORÇAMENTÁRIA'!$A$16:$C$721,3,FALSE)</f>
        <v>CHUMBAMENTO LINEAR EM ALVENARIA PARA RAMAIS/DISTRIBUIÇÃO DE INSTALAÇÕES HIDRÁULICAS COM DIÂMETROS MAIORES QUE 40 MM E MENORES OU IGUAIS A 150 MM. AF_09/2023</v>
      </c>
      <c r="D3114" s="632"/>
      <c r="E3114" s="632"/>
      <c r="F3114" s="632"/>
      <c r="G3114" s="633"/>
      <c r="H3114" s="493" t="str">
        <f>VLOOKUP(A3114,'3 - PLAN. ORÇAMENTÁRIA'!$A$17:$E$721,5,FALSE)</f>
        <v>M</v>
      </c>
    </row>
    <row r="3115" spans="1:8" s="318" customFormat="1" ht="12.75" customHeight="1">
      <c r="A3115" s="106"/>
      <c r="B3115" s="628" t="s">
        <v>607</v>
      </c>
      <c r="C3115" s="628"/>
      <c r="D3115" s="103" t="s">
        <v>579</v>
      </c>
      <c r="E3115" s="103" t="s">
        <v>580</v>
      </c>
      <c r="F3115" s="103" t="s">
        <v>581</v>
      </c>
      <c r="G3115" s="103" t="s">
        <v>582</v>
      </c>
      <c r="H3115" s="103" t="s">
        <v>583</v>
      </c>
    </row>
    <row r="3116" spans="1:8" s="318" customFormat="1">
      <c r="A3116" s="106"/>
      <c r="B3116" s="130" t="s">
        <v>1296</v>
      </c>
      <c r="C3116" s="229" t="s">
        <v>611</v>
      </c>
      <c r="D3116" s="130" t="s">
        <v>119</v>
      </c>
      <c r="E3116" s="130" t="s">
        <v>121</v>
      </c>
      <c r="F3116" s="230">
        <v>0.1236</v>
      </c>
      <c r="G3116" s="494">
        <v>24.02</v>
      </c>
      <c r="H3116" s="494">
        <v>2.97</v>
      </c>
    </row>
    <row r="3117" spans="1:8" s="318" customFormat="1">
      <c r="A3117" s="106"/>
      <c r="B3117" s="130" t="s">
        <v>1297</v>
      </c>
      <c r="C3117" s="229" t="s">
        <v>612</v>
      </c>
      <c r="D3117" s="130" t="s">
        <v>119</v>
      </c>
      <c r="E3117" s="130" t="s">
        <v>121</v>
      </c>
      <c r="F3117" s="230">
        <v>0.54390000000000005</v>
      </c>
      <c r="G3117" s="494">
        <v>30.62</v>
      </c>
      <c r="H3117" s="494">
        <v>16.649999999999999</v>
      </c>
    </row>
    <row r="3118" spans="1:8" s="318" customFormat="1" ht="12.75" customHeight="1">
      <c r="A3118" s="106"/>
      <c r="B3118" s="105"/>
      <c r="C3118" s="105"/>
      <c r="D3118" s="105"/>
      <c r="E3118" s="105"/>
      <c r="F3118" s="629" t="s">
        <v>610</v>
      </c>
      <c r="G3118" s="629"/>
      <c r="H3118" s="495">
        <v>19.62</v>
      </c>
    </row>
    <row r="3119" spans="1:8" s="318" customFormat="1">
      <c r="A3119" s="106"/>
      <c r="B3119" s="628" t="s">
        <v>586</v>
      </c>
      <c r="C3119" s="628"/>
      <c r="D3119" s="103" t="s">
        <v>579</v>
      </c>
      <c r="E3119" s="103" t="s">
        <v>580</v>
      </c>
      <c r="F3119" s="103" t="s">
        <v>581</v>
      </c>
      <c r="G3119" s="103" t="s">
        <v>582</v>
      </c>
      <c r="H3119" s="103" t="s">
        <v>583</v>
      </c>
    </row>
    <row r="3120" spans="1:8" s="318" customFormat="1" ht="25.5">
      <c r="A3120" s="106"/>
      <c r="B3120" s="130" t="s">
        <v>1702</v>
      </c>
      <c r="C3120" s="229" t="s">
        <v>1703</v>
      </c>
      <c r="D3120" s="130" t="s">
        <v>119</v>
      </c>
      <c r="E3120" s="130" t="s">
        <v>167</v>
      </c>
      <c r="F3120" s="230">
        <v>7.9000000000000008E-3</v>
      </c>
      <c r="G3120" s="494">
        <v>627.14</v>
      </c>
      <c r="H3120" s="494">
        <v>4.95</v>
      </c>
    </row>
    <row r="3121" spans="1:8" s="318" customFormat="1">
      <c r="A3121" s="106"/>
      <c r="B3121" s="105"/>
      <c r="C3121" s="105"/>
      <c r="D3121" s="105"/>
      <c r="E3121" s="105"/>
      <c r="F3121" s="629" t="s">
        <v>587</v>
      </c>
      <c r="G3121" s="629"/>
      <c r="H3121" s="495">
        <v>4.95</v>
      </c>
    </row>
    <row r="3122" spans="1:8" s="318" customFormat="1" ht="12.75" customHeight="1">
      <c r="A3122" s="106"/>
      <c r="B3122" s="105"/>
      <c r="C3122" s="105"/>
      <c r="D3122" s="105"/>
      <c r="E3122" s="105"/>
      <c r="F3122" s="630" t="s">
        <v>464</v>
      </c>
      <c r="G3122" s="630"/>
      <c r="H3122" s="102">
        <v>24.57</v>
      </c>
    </row>
    <row r="3123" spans="1:8" s="318" customFormat="1">
      <c r="A3123" s="106"/>
      <c r="B3123" s="105"/>
      <c r="C3123" s="105"/>
      <c r="D3123" s="105"/>
      <c r="E3123" s="105"/>
      <c r="F3123" s="634"/>
      <c r="G3123" s="634"/>
      <c r="H3123" s="634"/>
    </row>
    <row r="3124" spans="1:8" s="318" customFormat="1" ht="30.75" customHeight="1">
      <c r="A3124" s="178" t="str">
        <f>'3 - PLAN. ORÇAMENTÁRIA'!A511</f>
        <v>5.5.4</v>
      </c>
      <c r="B3124" s="242">
        <f>VLOOKUP(A3124,'3 - PLAN. ORÇAMENTÁRIA'!$A$16:$B$721,2,FALSE)</f>
        <v>90466</v>
      </c>
      <c r="C3124" s="631" t="str">
        <f>VLOOKUP(A3124,'3 - PLAN. ORÇAMENTÁRIA'!$A$16:$C$721,3,FALSE)</f>
        <v>CHUMBAMENTO LINEAR EM ALVENARIA PARA RAMAIS/DISTRIBUIÇÃO DE INSTALAÇÕES HIDRÁULICAS COM DIÂMETROS MENORES OU IGUAIS A 40 MM. AF_09/2023</v>
      </c>
      <c r="D3124" s="632"/>
      <c r="E3124" s="632"/>
      <c r="F3124" s="632"/>
      <c r="G3124" s="633"/>
      <c r="H3124" s="493" t="str">
        <f>VLOOKUP(A3124,'3 - PLAN. ORÇAMENTÁRIA'!$A$17:$E$721,5,FALSE)</f>
        <v>M</v>
      </c>
    </row>
    <row r="3125" spans="1:8" s="318" customFormat="1" ht="12.75" customHeight="1">
      <c r="A3125" s="106"/>
      <c r="B3125" s="628" t="s">
        <v>607</v>
      </c>
      <c r="C3125" s="628"/>
      <c r="D3125" s="103" t="s">
        <v>579</v>
      </c>
      <c r="E3125" s="103" t="s">
        <v>580</v>
      </c>
      <c r="F3125" s="103" t="s">
        <v>581</v>
      </c>
      <c r="G3125" s="103" t="s">
        <v>582</v>
      </c>
      <c r="H3125" s="103" t="s">
        <v>583</v>
      </c>
    </row>
    <row r="3126" spans="1:8" s="318" customFormat="1">
      <c r="A3126" s="106"/>
      <c r="B3126" s="130" t="s">
        <v>1296</v>
      </c>
      <c r="C3126" s="229" t="s">
        <v>611</v>
      </c>
      <c r="D3126" s="130" t="s">
        <v>119</v>
      </c>
      <c r="E3126" s="130" t="s">
        <v>121</v>
      </c>
      <c r="F3126" s="230">
        <v>8.3000000000000004E-2</v>
      </c>
      <c r="G3126" s="494">
        <v>24.02</v>
      </c>
      <c r="H3126" s="494">
        <v>1.99</v>
      </c>
    </row>
    <row r="3127" spans="1:8" s="318" customFormat="1">
      <c r="A3127" s="106"/>
      <c r="B3127" s="130" t="s">
        <v>1297</v>
      </c>
      <c r="C3127" s="229" t="s">
        <v>612</v>
      </c>
      <c r="D3127" s="130" t="s">
        <v>119</v>
      </c>
      <c r="E3127" s="130" t="s">
        <v>121</v>
      </c>
      <c r="F3127" s="230">
        <v>0.36499999999999999</v>
      </c>
      <c r="G3127" s="494">
        <v>30.62</v>
      </c>
      <c r="H3127" s="494">
        <v>11.18</v>
      </c>
    </row>
    <row r="3128" spans="1:8" s="318" customFormat="1" ht="12.75" customHeight="1">
      <c r="A3128" s="106"/>
      <c r="B3128" s="105"/>
      <c r="C3128" s="105"/>
      <c r="D3128" s="105"/>
      <c r="E3128" s="105"/>
      <c r="F3128" s="629" t="s">
        <v>610</v>
      </c>
      <c r="G3128" s="629"/>
      <c r="H3128" s="495">
        <v>13.17</v>
      </c>
    </row>
    <row r="3129" spans="1:8" s="318" customFormat="1">
      <c r="A3129" s="106"/>
      <c r="B3129" s="628" t="s">
        <v>586</v>
      </c>
      <c r="C3129" s="628"/>
      <c r="D3129" s="103" t="s">
        <v>579</v>
      </c>
      <c r="E3129" s="103" t="s">
        <v>580</v>
      </c>
      <c r="F3129" s="103" t="s">
        <v>581</v>
      </c>
      <c r="G3129" s="103" t="s">
        <v>582</v>
      </c>
      <c r="H3129" s="103" t="s">
        <v>583</v>
      </c>
    </row>
    <row r="3130" spans="1:8" s="318" customFormat="1" ht="25.5">
      <c r="A3130" s="106"/>
      <c r="B3130" s="130" t="s">
        <v>1702</v>
      </c>
      <c r="C3130" s="229" t="s">
        <v>1703</v>
      </c>
      <c r="D3130" s="130" t="s">
        <v>119</v>
      </c>
      <c r="E3130" s="130" t="s">
        <v>167</v>
      </c>
      <c r="F3130" s="230">
        <v>5.1000000000000004E-3</v>
      </c>
      <c r="G3130" s="494">
        <v>627.14</v>
      </c>
      <c r="H3130" s="494">
        <v>3.2</v>
      </c>
    </row>
    <row r="3131" spans="1:8" s="318" customFormat="1">
      <c r="A3131" s="106"/>
      <c r="B3131" s="105"/>
      <c r="C3131" s="105"/>
      <c r="D3131" s="105"/>
      <c r="E3131" s="105"/>
      <c r="F3131" s="629" t="s">
        <v>587</v>
      </c>
      <c r="G3131" s="629"/>
      <c r="H3131" s="495">
        <v>3.2</v>
      </c>
    </row>
    <row r="3132" spans="1:8" s="318" customFormat="1" ht="12.75" customHeight="1">
      <c r="A3132" s="106"/>
      <c r="B3132" s="105"/>
      <c r="C3132" s="105"/>
      <c r="D3132" s="105"/>
      <c r="E3132" s="105"/>
      <c r="F3132" s="630" t="s">
        <v>464</v>
      </c>
      <c r="G3132" s="630"/>
      <c r="H3132" s="102">
        <v>16.37</v>
      </c>
    </row>
    <row r="3133" spans="1:8" s="318" customFormat="1">
      <c r="A3133" s="106"/>
      <c r="B3133" s="105"/>
      <c r="C3133" s="105"/>
      <c r="D3133" s="105"/>
      <c r="E3133" s="105"/>
      <c r="F3133" s="634"/>
      <c r="G3133" s="634"/>
      <c r="H3133" s="634"/>
    </row>
    <row r="3134" spans="1:8" s="318" customFormat="1" ht="30.75" customHeight="1">
      <c r="A3134" s="178" t="str">
        <f>'3 - PLAN. ORÇAMENTÁRIA'!A512</f>
        <v>5.5.5</v>
      </c>
      <c r="B3134" s="242">
        <f>VLOOKUP(A3134,'3 - PLAN. ORÇAMENTÁRIA'!$A$16:$B$721,2,FALSE)</f>
        <v>93358</v>
      </c>
      <c r="C3134" s="631" t="str">
        <f>VLOOKUP(A3134,'3 - PLAN. ORÇAMENTÁRIA'!$A$16:$C$721,3,FALSE)</f>
        <v>ESCAVAÇÃO MANUAL DE VALA. AF_09/2024</v>
      </c>
      <c r="D3134" s="632"/>
      <c r="E3134" s="632"/>
      <c r="F3134" s="632"/>
      <c r="G3134" s="633"/>
      <c r="H3134" s="493" t="str">
        <f>VLOOKUP(A3134,'3 - PLAN. ORÇAMENTÁRIA'!$A$17:$E$721,5,FALSE)</f>
        <v>M3</v>
      </c>
    </row>
    <row r="3135" spans="1:8" s="318" customFormat="1" ht="12.75" customHeight="1">
      <c r="A3135" s="106"/>
      <c r="B3135" s="628" t="s">
        <v>607</v>
      </c>
      <c r="C3135" s="628"/>
      <c r="D3135" s="103" t="s">
        <v>579</v>
      </c>
      <c r="E3135" s="103" t="s">
        <v>580</v>
      </c>
      <c r="F3135" s="103" t="s">
        <v>581</v>
      </c>
      <c r="G3135" s="103" t="s">
        <v>582</v>
      </c>
      <c r="H3135" s="103" t="s">
        <v>583</v>
      </c>
    </row>
    <row r="3136" spans="1:8" s="318" customFormat="1">
      <c r="A3136" s="106"/>
      <c r="B3136" s="130" t="s">
        <v>625</v>
      </c>
      <c r="C3136" s="229" t="s">
        <v>626</v>
      </c>
      <c r="D3136" s="130" t="s">
        <v>119</v>
      </c>
      <c r="E3136" s="130" t="s">
        <v>121</v>
      </c>
      <c r="F3136" s="230">
        <v>3.9557666999999999</v>
      </c>
      <c r="G3136" s="494">
        <v>23.75</v>
      </c>
      <c r="H3136" s="494">
        <v>93.95</v>
      </c>
    </row>
    <row r="3137" spans="1:8" s="318" customFormat="1" ht="12.75" customHeight="1">
      <c r="A3137" s="106"/>
      <c r="B3137" s="105"/>
      <c r="C3137" s="105"/>
      <c r="D3137" s="105"/>
      <c r="E3137" s="105"/>
      <c r="F3137" s="629" t="s">
        <v>610</v>
      </c>
      <c r="G3137" s="629"/>
      <c r="H3137" s="495">
        <v>93.95</v>
      </c>
    </row>
    <row r="3138" spans="1:8" s="318" customFormat="1" ht="12.75" customHeight="1">
      <c r="A3138" s="106"/>
      <c r="B3138" s="105"/>
      <c r="C3138" s="105"/>
      <c r="D3138" s="105"/>
      <c r="E3138" s="105"/>
      <c r="F3138" s="630" t="s">
        <v>464</v>
      </c>
      <c r="G3138" s="630"/>
      <c r="H3138" s="102">
        <v>93.94</v>
      </c>
    </row>
    <row r="3139" spans="1:8" s="318" customFormat="1">
      <c r="A3139" s="106"/>
      <c r="B3139" s="105"/>
      <c r="C3139" s="105"/>
      <c r="D3139" s="105"/>
      <c r="E3139" s="105"/>
      <c r="F3139" s="634"/>
      <c r="G3139" s="634"/>
      <c r="H3139" s="634"/>
    </row>
    <row r="3140" spans="1:8" s="318" customFormat="1" ht="30.75" customHeight="1">
      <c r="A3140" s="178" t="str">
        <f>'3 - PLAN. ORÇAMENTÁRIA'!A513</f>
        <v>5.5.6</v>
      </c>
      <c r="B3140" s="242">
        <f>VLOOKUP(A3140,'3 - PLAN. ORÇAMENTÁRIA'!$A$16:$B$721,2,FALSE)</f>
        <v>101616</v>
      </c>
      <c r="C3140" s="631" t="str">
        <f>VLOOKUP(A3140,'3 - PLAN. ORÇAMENTÁRIA'!$A$16:$C$721,3,FALSE)</f>
        <v>PREPARO DE FUNDO DE VALA COM LARGURA MENOR QUE 1,5 M (ACERTO DO SOLO NATURAL). AF_08/2020</v>
      </c>
      <c r="D3140" s="632"/>
      <c r="E3140" s="632"/>
      <c r="F3140" s="632"/>
      <c r="G3140" s="633"/>
      <c r="H3140" s="493" t="str">
        <f>VLOOKUP(A3140,'3 - PLAN. ORÇAMENTÁRIA'!$A$17:$E$721,5,FALSE)</f>
        <v>M2</v>
      </c>
    </row>
    <row r="3141" spans="1:8" s="318" customFormat="1" ht="12.75" customHeight="1">
      <c r="A3141" s="106"/>
      <c r="B3141" s="628" t="s">
        <v>1301</v>
      </c>
      <c r="C3141" s="628"/>
      <c r="D3141" s="103" t="s">
        <v>579</v>
      </c>
      <c r="E3141" s="103" t="s">
        <v>580</v>
      </c>
      <c r="F3141" s="103" t="s">
        <v>581</v>
      </c>
      <c r="G3141" s="103" t="s">
        <v>582</v>
      </c>
      <c r="H3141" s="103" t="s">
        <v>583</v>
      </c>
    </row>
    <row r="3142" spans="1:8" s="318" customFormat="1" ht="25.5">
      <c r="A3142" s="106"/>
      <c r="B3142" s="130" t="s">
        <v>1385</v>
      </c>
      <c r="C3142" s="229" t="s">
        <v>1386</v>
      </c>
      <c r="D3142" s="130" t="s">
        <v>119</v>
      </c>
      <c r="E3142" s="130" t="s">
        <v>1304</v>
      </c>
      <c r="F3142" s="230">
        <v>3.5999999999999999E-3</v>
      </c>
      <c r="G3142" s="494">
        <v>27.12</v>
      </c>
      <c r="H3142" s="494">
        <v>0.1</v>
      </c>
    </row>
    <row r="3143" spans="1:8" s="318" customFormat="1" ht="25.5">
      <c r="A3143" s="106"/>
      <c r="B3143" s="130" t="s">
        <v>1387</v>
      </c>
      <c r="C3143" s="229" t="s">
        <v>1388</v>
      </c>
      <c r="D3143" s="130" t="s">
        <v>119</v>
      </c>
      <c r="E3143" s="130" t="s">
        <v>1307</v>
      </c>
      <c r="F3143" s="230">
        <v>3.5999999999999999E-3</v>
      </c>
      <c r="G3143" s="494">
        <v>34.299999999999997</v>
      </c>
      <c r="H3143" s="494">
        <v>0.12</v>
      </c>
    </row>
    <row r="3144" spans="1:8" s="318" customFormat="1" ht="12.75" customHeight="1">
      <c r="A3144" s="106"/>
      <c r="B3144" s="105"/>
      <c r="C3144" s="105"/>
      <c r="D3144" s="105"/>
      <c r="E3144" s="105"/>
      <c r="F3144" s="629" t="s">
        <v>1308</v>
      </c>
      <c r="G3144" s="629"/>
      <c r="H3144" s="495">
        <v>0.22</v>
      </c>
    </row>
    <row r="3145" spans="1:8" s="318" customFormat="1" ht="12.75" customHeight="1">
      <c r="A3145" s="106"/>
      <c r="B3145" s="628" t="s">
        <v>607</v>
      </c>
      <c r="C3145" s="628"/>
      <c r="D3145" s="103" t="s">
        <v>579</v>
      </c>
      <c r="E3145" s="103" t="s">
        <v>580</v>
      </c>
      <c r="F3145" s="103" t="s">
        <v>581</v>
      </c>
      <c r="G3145" s="103" t="s">
        <v>582</v>
      </c>
      <c r="H3145" s="103" t="s">
        <v>583</v>
      </c>
    </row>
    <row r="3146" spans="1:8" s="318" customFormat="1">
      <c r="A3146" s="106"/>
      <c r="B3146" s="130" t="s">
        <v>639</v>
      </c>
      <c r="C3146" s="229" t="s">
        <v>640</v>
      </c>
      <c r="D3146" s="130" t="s">
        <v>119</v>
      </c>
      <c r="E3146" s="130" t="s">
        <v>121</v>
      </c>
      <c r="F3146" s="230">
        <v>0.10199999999999999</v>
      </c>
      <c r="G3146" s="494">
        <v>31.34</v>
      </c>
      <c r="H3146" s="494">
        <v>3.2</v>
      </c>
    </row>
    <row r="3147" spans="1:8" s="318" customFormat="1">
      <c r="A3147" s="106"/>
      <c r="B3147" s="130" t="s">
        <v>625</v>
      </c>
      <c r="C3147" s="229" t="s">
        <v>626</v>
      </c>
      <c r="D3147" s="130" t="s">
        <v>119</v>
      </c>
      <c r="E3147" s="130" t="s">
        <v>121</v>
      </c>
      <c r="F3147" s="230">
        <v>0.15310000000000001</v>
      </c>
      <c r="G3147" s="494">
        <v>23.75</v>
      </c>
      <c r="H3147" s="494">
        <v>3.64</v>
      </c>
    </row>
    <row r="3148" spans="1:8" s="318" customFormat="1" ht="12.75" customHeight="1">
      <c r="A3148" s="106"/>
      <c r="B3148" s="105"/>
      <c r="C3148" s="105"/>
      <c r="D3148" s="105"/>
      <c r="E3148" s="105"/>
      <c r="F3148" s="629" t="s">
        <v>610</v>
      </c>
      <c r="G3148" s="629"/>
      <c r="H3148" s="495">
        <v>6.84</v>
      </c>
    </row>
    <row r="3149" spans="1:8" s="318" customFormat="1" ht="12.75" customHeight="1">
      <c r="A3149" s="106"/>
      <c r="B3149" s="105"/>
      <c r="C3149" s="105"/>
      <c r="D3149" s="105"/>
      <c r="E3149" s="105"/>
      <c r="F3149" s="630" t="s">
        <v>464</v>
      </c>
      <c r="G3149" s="630"/>
      <c r="H3149" s="102">
        <v>7.03</v>
      </c>
    </row>
    <row r="3150" spans="1:8" s="318" customFormat="1">
      <c r="A3150" s="106"/>
      <c r="B3150" s="105"/>
      <c r="C3150" s="105"/>
      <c r="D3150" s="105"/>
      <c r="E3150" s="105"/>
      <c r="F3150" s="634"/>
      <c r="G3150" s="634"/>
      <c r="H3150" s="634"/>
    </row>
    <row r="3151" spans="1:8" s="318" customFormat="1" ht="30.75" customHeight="1">
      <c r="A3151" s="178" t="str">
        <f>'3 - PLAN. ORÇAMENTÁRIA'!A514</f>
        <v>5.5.7</v>
      </c>
      <c r="B3151" s="242">
        <f>VLOOKUP(A3151,'3 - PLAN. ORÇAMENTÁRIA'!$A$16:$B$721,2,FALSE)</f>
        <v>93382</v>
      </c>
      <c r="C3151" s="631" t="str">
        <f>VLOOKUP(A3151,'3 - PLAN. ORÇAMENTÁRIA'!$A$16:$C$721,3,FALSE)</f>
        <v>REATERRO MANUAL DE VALAS, COM COMPACTADOR DE SOLOS DE PERCUSSÃO. AF_08/2023</v>
      </c>
      <c r="D3151" s="632"/>
      <c r="E3151" s="632"/>
      <c r="F3151" s="632"/>
      <c r="G3151" s="633"/>
      <c r="H3151" s="493" t="str">
        <f>VLOOKUP(A3151,'3 - PLAN. ORÇAMENTÁRIA'!$A$17:$E$721,5,FALSE)</f>
        <v>M3</v>
      </c>
    </row>
    <row r="3152" spans="1:8" s="318" customFormat="1" ht="12.75" customHeight="1">
      <c r="A3152" s="106"/>
      <c r="B3152" s="628" t="s">
        <v>1301</v>
      </c>
      <c r="C3152" s="628"/>
      <c r="D3152" s="103" t="s">
        <v>579</v>
      </c>
      <c r="E3152" s="103" t="s">
        <v>580</v>
      </c>
      <c r="F3152" s="103" t="s">
        <v>581</v>
      </c>
      <c r="G3152" s="103" t="s">
        <v>582</v>
      </c>
      <c r="H3152" s="103" t="s">
        <v>583</v>
      </c>
    </row>
    <row r="3153" spans="1:8" s="318" customFormat="1" ht="38.25">
      <c r="A3153" s="106"/>
      <c r="B3153" s="130" t="s">
        <v>1350</v>
      </c>
      <c r="C3153" s="229" t="s">
        <v>1351</v>
      </c>
      <c r="D3153" s="130" t="s">
        <v>119</v>
      </c>
      <c r="E3153" s="130" t="s">
        <v>1304</v>
      </c>
      <c r="F3153" s="230">
        <v>5.9999999999999995E-4</v>
      </c>
      <c r="G3153" s="494">
        <v>75.08</v>
      </c>
      <c r="H3153" s="494">
        <v>0.05</v>
      </c>
    </row>
    <row r="3154" spans="1:8" s="318" customFormat="1" ht="38.25">
      <c r="A3154" s="106"/>
      <c r="B3154" s="130" t="s">
        <v>1352</v>
      </c>
      <c r="C3154" s="229" t="s">
        <v>1353</v>
      </c>
      <c r="D3154" s="130" t="s">
        <v>119</v>
      </c>
      <c r="E3154" s="130" t="s">
        <v>1307</v>
      </c>
      <c r="F3154" s="230">
        <v>5.4000000000000003E-3</v>
      </c>
      <c r="G3154" s="494">
        <v>317.85000000000002</v>
      </c>
      <c r="H3154" s="494">
        <v>1.72</v>
      </c>
    </row>
    <row r="3155" spans="1:8" s="318" customFormat="1" ht="25.5">
      <c r="A3155" s="106"/>
      <c r="B3155" s="130" t="s">
        <v>1387</v>
      </c>
      <c r="C3155" s="229" t="s">
        <v>1388</v>
      </c>
      <c r="D3155" s="130" t="s">
        <v>119</v>
      </c>
      <c r="E3155" s="130" t="s">
        <v>1307</v>
      </c>
      <c r="F3155" s="230">
        <v>0.19620000000000001</v>
      </c>
      <c r="G3155" s="494">
        <v>34.299999999999997</v>
      </c>
      <c r="H3155" s="494">
        <v>6.73</v>
      </c>
    </row>
    <row r="3156" spans="1:8" s="318" customFormat="1" ht="12.75" customHeight="1">
      <c r="A3156" s="106"/>
      <c r="B3156" s="105"/>
      <c r="C3156" s="105"/>
      <c r="D3156" s="105"/>
      <c r="E3156" s="105"/>
      <c r="F3156" s="629" t="s">
        <v>1308</v>
      </c>
      <c r="G3156" s="629"/>
      <c r="H3156" s="495">
        <v>8.5</v>
      </c>
    </row>
    <row r="3157" spans="1:8" s="318" customFormat="1" ht="12.75" customHeight="1">
      <c r="A3157" s="106"/>
      <c r="B3157" s="628" t="s">
        <v>607</v>
      </c>
      <c r="C3157" s="628"/>
      <c r="D3157" s="103" t="s">
        <v>579</v>
      </c>
      <c r="E3157" s="103" t="s">
        <v>580</v>
      </c>
      <c r="F3157" s="103" t="s">
        <v>581</v>
      </c>
      <c r="G3157" s="103" t="s">
        <v>582</v>
      </c>
      <c r="H3157" s="103" t="s">
        <v>583</v>
      </c>
    </row>
    <row r="3158" spans="1:8" s="318" customFormat="1">
      <c r="A3158" s="106"/>
      <c r="B3158" s="130" t="s">
        <v>625</v>
      </c>
      <c r="C3158" s="229" t="s">
        <v>626</v>
      </c>
      <c r="D3158" s="130" t="s">
        <v>119</v>
      </c>
      <c r="E3158" s="130" t="s">
        <v>121</v>
      </c>
      <c r="F3158" s="230">
        <v>0.78659999999999997</v>
      </c>
      <c r="G3158" s="494">
        <v>23.75</v>
      </c>
      <c r="H3158" s="494">
        <v>18.68</v>
      </c>
    </row>
    <row r="3159" spans="1:8" s="318" customFormat="1" ht="12.75" customHeight="1">
      <c r="A3159" s="106"/>
      <c r="B3159" s="105"/>
      <c r="C3159" s="105"/>
      <c r="D3159" s="105"/>
      <c r="E3159" s="105"/>
      <c r="F3159" s="629" t="s">
        <v>610</v>
      </c>
      <c r="G3159" s="629"/>
      <c r="H3159" s="495">
        <v>18.68</v>
      </c>
    </row>
    <row r="3160" spans="1:8" s="318" customFormat="1" ht="12.75" customHeight="1">
      <c r="A3160" s="106"/>
      <c r="B3160" s="105"/>
      <c r="C3160" s="105"/>
      <c r="D3160" s="105"/>
      <c r="E3160" s="105"/>
      <c r="F3160" s="630" t="s">
        <v>464</v>
      </c>
      <c r="G3160" s="630"/>
      <c r="H3160" s="102">
        <v>27.15</v>
      </c>
    </row>
    <row r="3161" spans="1:8" s="318" customFormat="1">
      <c r="A3161" s="106"/>
      <c r="B3161" s="105"/>
      <c r="C3161" s="105"/>
      <c r="D3161" s="105"/>
      <c r="E3161" s="105"/>
      <c r="F3161" s="366"/>
      <c r="G3161" s="366"/>
      <c r="H3161" s="366"/>
    </row>
    <row r="3162" spans="1:8" s="318" customFormat="1" ht="30.75" customHeight="1">
      <c r="A3162" s="178" t="str">
        <f>'3 - PLAN. ORÇAMENTÁRIA'!A518</f>
        <v>6.1.1.1</v>
      </c>
      <c r="B3162" s="242">
        <f>VLOOKUP(A3162,'3 - PLAN. ORÇAMENTÁRIA'!$A$16:$B$721,2,FALSE)</f>
        <v>97669</v>
      </c>
      <c r="C3162" s="631" t="str">
        <f>VLOOKUP(A3162,'3 - PLAN. ORÇAMENTÁRIA'!$A$16:$C$721,3,FALSE)</f>
        <v>ELETRODUTO FLEXÍVEL CORRUGADO, PEAD, DN 90 (3") - FORNECIMENTO E INSTALAÇÃO. AF_12/2021</v>
      </c>
      <c r="D3162" s="632"/>
      <c r="E3162" s="632"/>
      <c r="F3162" s="632"/>
      <c r="G3162" s="633"/>
      <c r="H3162" s="432" t="str">
        <f>VLOOKUP(A3162,'3 - PLAN. ORÇAMENTÁRIA'!$A$17:$E$721,5,FALSE)</f>
        <v>M</v>
      </c>
    </row>
    <row r="3163" spans="1:8">
      <c r="B3163" s="628" t="s">
        <v>593</v>
      </c>
      <c r="C3163" s="628"/>
      <c r="D3163" s="103" t="s">
        <v>579</v>
      </c>
      <c r="E3163" s="103" t="s">
        <v>580</v>
      </c>
      <c r="F3163" s="103" t="s">
        <v>581</v>
      </c>
      <c r="G3163" s="103" t="s">
        <v>582</v>
      </c>
      <c r="H3163" s="103" t="s">
        <v>583</v>
      </c>
    </row>
    <row r="3164" spans="1:8" ht="25.5">
      <c r="B3164" s="130" t="s">
        <v>1691</v>
      </c>
      <c r="C3164" s="229" t="s">
        <v>1692</v>
      </c>
      <c r="D3164" s="130" t="s">
        <v>119</v>
      </c>
      <c r="E3164" s="130" t="s">
        <v>173</v>
      </c>
      <c r="F3164" s="230">
        <v>1.1000000000000001</v>
      </c>
      <c r="G3164" s="494">
        <v>9.1</v>
      </c>
      <c r="H3164" s="494">
        <v>10.01</v>
      </c>
    </row>
    <row r="3165" spans="1:8">
      <c r="B3165" s="105"/>
      <c r="C3165" s="105"/>
      <c r="D3165" s="105"/>
      <c r="E3165" s="105"/>
      <c r="F3165" s="629" t="s">
        <v>604</v>
      </c>
      <c r="G3165" s="629"/>
      <c r="H3165" s="495">
        <v>10.01</v>
      </c>
    </row>
    <row r="3166" spans="1:8" ht="12.75" customHeight="1">
      <c r="B3166" s="628" t="s">
        <v>607</v>
      </c>
      <c r="C3166" s="628"/>
      <c r="D3166" s="103" t="s">
        <v>579</v>
      </c>
      <c r="E3166" s="103" t="s">
        <v>580</v>
      </c>
      <c r="F3166" s="103" t="s">
        <v>581</v>
      </c>
      <c r="G3166" s="103" t="s">
        <v>582</v>
      </c>
      <c r="H3166" s="103" t="s">
        <v>583</v>
      </c>
    </row>
    <row r="3167" spans="1:8">
      <c r="B3167" s="130" t="s">
        <v>1256</v>
      </c>
      <c r="C3167" s="229" t="s">
        <v>608</v>
      </c>
      <c r="D3167" s="130" t="s">
        <v>119</v>
      </c>
      <c r="E3167" s="130" t="s">
        <v>121</v>
      </c>
      <c r="F3167" s="230">
        <v>0.15110000000000001</v>
      </c>
      <c r="G3167" s="494">
        <v>25</v>
      </c>
      <c r="H3167" s="494">
        <v>3.78</v>
      </c>
    </row>
    <row r="3168" spans="1:8">
      <c r="B3168" s="130" t="s">
        <v>1257</v>
      </c>
      <c r="C3168" s="229" t="s">
        <v>609</v>
      </c>
      <c r="D3168" s="130" t="s">
        <v>119</v>
      </c>
      <c r="E3168" s="130" t="s">
        <v>121</v>
      </c>
      <c r="F3168" s="230">
        <v>0.15110000000000001</v>
      </c>
      <c r="G3168" s="494">
        <v>31.72</v>
      </c>
      <c r="H3168" s="494">
        <v>4.79</v>
      </c>
    </row>
    <row r="3169" spans="1:8" ht="12.75" customHeight="1">
      <c r="B3169" s="105"/>
      <c r="C3169" s="105"/>
      <c r="D3169" s="105"/>
      <c r="E3169" s="105"/>
      <c r="F3169" s="629" t="s">
        <v>610</v>
      </c>
      <c r="G3169" s="629"/>
      <c r="H3169" s="495">
        <v>8.57</v>
      </c>
    </row>
    <row r="3170" spans="1:8" ht="12.75" customHeight="1">
      <c r="B3170" s="105"/>
      <c r="C3170" s="105"/>
      <c r="D3170" s="105"/>
      <c r="E3170" s="105"/>
      <c r="F3170" s="630" t="s">
        <v>464</v>
      </c>
      <c r="G3170" s="630"/>
      <c r="H3170" s="102">
        <v>18.57</v>
      </c>
    </row>
    <row r="3171" spans="1:8">
      <c r="B3171" s="105"/>
      <c r="C3171" s="105"/>
      <c r="D3171" s="105"/>
      <c r="E3171" s="105"/>
      <c r="F3171" s="634"/>
      <c r="G3171" s="634"/>
      <c r="H3171" s="634"/>
    </row>
    <row r="3172" spans="1:8" s="318" customFormat="1" ht="30.75" customHeight="1">
      <c r="A3172" s="178" t="str">
        <f>'3 - PLAN. ORÇAMENTÁRIA'!A519</f>
        <v>6.1.1.2</v>
      </c>
      <c r="B3172" s="242">
        <f>VLOOKUP(A3172,'3 - PLAN. ORÇAMENTÁRIA'!$A$16:$B$721,2,FALSE)</f>
        <v>91850</v>
      </c>
      <c r="C3172" s="631" t="str">
        <f>VLOOKUP(A3172,'3 - PLAN. ORÇAMENTÁRIA'!$A$16:$C$721,3,FALSE)</f>
        <v>ELETRODUTO FLEXÍVEL CORRUGADO, PEAD, DN 32 MM (1") - FORNECIMENTO E INSTALAÇÃO. AF_03/2023</v>
      </c>
      <c r="D3172" s="632"/>
      <c r="E3172" s="632"/>
      <c r="F3172" s="632"/>
      <c r="G3172" s="633"/>
      <c r="H3172" s="493" t="str">
        <f>VLOOKUP(A3172,'3 - PLAN. ORÇAMENTÁRIA'!$A$17:$E$721,5,FALSE)</f>
        <v>M</v>
      </c>
    </row>
    <row r="3173" spans="1:8">
      <c r="B3173" s="628" t="s">
        <v>593</v>
      </c>
      <c r="C3173" s="628"/>
      <c r="D3173" s="103" t="s">
        <v>579</v>
      </c>
      <c r="E3173" s="103" t="s">
        <v>580</v>
      </c>
      <c r="F3173" s="103" t="s">
        <v>581</v>
      </c>
      <c r="G3173" s="103" t="s">
        <v>582</v>
      </c>
      <c r="H3173" s="103" t="s">
        <v>583</v>
      </c>
    </row>
    <row r="3174" spans="1:8">
      <c r="B3174" s="130" t="s">
        <v>635</v>
      </c>
      <c r="C3174" s="229" t="s">
        <v>636</v>
      </c>
      <c r="D3174" s="130" t="s">
        <v>119</v>
      </c>
      <c r="E3174" s="130" t="s">
        <v>200</v>
      </c>
      <c r="F3174" s="230">
        <v>2.3E-3</v>
      </c>
      <c r="G3174" s="494">
        <v>19.38</v>
      </c>
      <c r="H3174" s="494">
        <v>0.04</v>
      </c>
    </row>
    <row r="3175" spans="1:8" ht="25.5">
      <c r="B3175" s="130" t="s">
        <v>1695</v>
      </c>
      <c r="C3175" s="229" t="s">
        <v>1696</v>
      </c>
      <c r="D3175" s="130" t="s">
        <v>119</v>
      </c>
      <c r="E3175" s="130" t="s">
        <v>173</v>
      </c>
      <c r="F3175" s="230">
        <v>1.1000000000000001</v>
      </c>
      <c r="G3175" s="494">
        <v>3.94</v>
      </c>
      <c r="H3175" s="494">
        <v>4.33</v>
      </c>
    </row>
    <row r="3176" spans="1:8">
      <c r="B3176" s="105"/>
      <c r="C3176" s="105"/>
      <c r="D3176" s="105"/>
      <c r="E3176" s="105"/>
      <c r="F3176" s="629" t="s">
        <v>604</v>
      </c>
      <c r="G3176" s="629"/>
      <c r="H3176" s="495">
        <v>4.37</v>
      </c>
    </row>
    <row r="3177" spans="1:8" ht="12.75" customHeight="1">
      <c r="B3177" s="628" t="s">
        <v>607</v>
      </c>
      <c r="C3177" s="628"/>
      <c r="D3177" s="103" t="s">
        <v>579</v>
      </c>
      <c r="E3177" s="103" t="s">
        <v>580</v>
      </c>
      <c r="F3177" s="103" t="s">
        <v>581</v>
      </c>
      <c r="G3177" s="103" t="s">
        <v>582</v>
      </c>
      <c r="H3177" s="103" t="s">
        <v>583</v>
      </c>
    </row>
    <row r="3178" spans="1:8">
      <c r="B3178" s="130" t="s">
        <v>1256</v>
      </c>
      <c r="C3178" s="229" t="s">
        <v>608</v>
      </c>
      <c r="D3178" s="130" t="s">
        <v>119</v>
      </c>
      <c r="E3178" s="130" t="s">
        <v>121</v>
      </c>
      <c r="F3178" s="230">
        <v>0.10299999999999999</v>
      </c>
      <c r="G3178" s="494">
        <v>25</v>
      </c>
      <c r="H3178" s="494">
        <v>2.58</v>
      </c>
    </row>
    <row r="3179" spans="1:8">
      <c r="B3179" s="130" t="s">
        <v>1257</v>
      </c>
      <c r="C3179" s="229" t="s">
        <v>609</v>
      </c>
      <c r="D3179" s="130" t="s">
        <v>119</v>
      </c>
      <c r="E3179" s="130" t="s">
        <v>121</v>
      </c>
      <c r="F3179" s="230">
        <v>0.10299999999999999</v>
      </c>
      <c r="G3179" s="494">
        <v>31.72</v>
      </c>
      <c r="H3179" s="494">
        <v>3.27</v>
      </c>
    </row>
    <row r="3180" spans="1:8" ht="12.75" customHeight="1">
      <c r="B3180" s="105"/>
      <c r="C3180" s="105"/>
      <c r="D3180" s="105"/>
      <c r="E3180" s="105"/>
      <c r="F3180" s="629" t="s">
        <v>610</v>
      </c>
      <c r="G3180" s="629"/>
      <c r="H3180" s="495">
        <v>5.85</v>
      </c>
    </row>
    <row r="3181" spans="1:8" ht="12.75" customHeight="1">
      <c r="B3181" s="105"/>
      <c r="C3181" s="105"/>
      <c r="D3181" s="105"/>
      <c r="E3181" s="105"/>
      <c r="F3181" s="630" t="s">
        <v>464</v>
      </c>
      <c r="G3181" s="630"/>
      <c r="H3181" s="102">
        <v>10.199999999999999</v>
      </c>
    </row>
    <row r="3182" spans="1:8">
      <c r="B3182" s="105"/>
      <c r="C3182" s="105"/>
      <c r="D3182" s="105"/>
      <c r="E3182" s="105"/>
      <c r="F3182" s="634"/>
      <c r="G3182" s="634"/>
      <c r="H3182" s="634"/>
    </row>
    <row r="3183" spans="1:8" s="318" customFormat="1" ht="30.75" customHeight="1">
      <c r="A3183" s="178" t="str">
        <f>'3 - PLAN. ORÇAMENTÁRIA'!A520</f>
        <v>6.1.1.3</v>
      </c>
      <c r="B3183" s="242">
        <f>VLOOKUP(A3183,'3 - PLAN. ORÇAMENTÁRIA'!$A$16:$B$721,2,FALSE)</f>
        <v>91865</v>
      </c>
      <c r="C3183" s="631" t="str">
        <f>VLOOKUP(A3183,'3 - PLAN. ORÇAMENTÁRIA'!$A$16:$C$721,3,FALSE)</f>
        <v>ELETRODUTO FLEXÍVEL CORRUGADO, PVC, DN 40 MM (1 1/4") - FORNECIMENTO E INSTALAÇÃO. AF_03/2023</v>
      </c>
      <c r="D3183" s="632"/>
      <c r="E3183" s="632"/>
      <c r="F3183" s="632"/>
      <c r="G3183" s="633"/>
      <c r="H3183" s="493" t="str">
        <f>VLOOKUP(A3183,'3 - PLAN. ORÇAMENTÁRIA'!$A$17:$E$721,5,FALSE)</f>
        <v>M</v>
      </c>
    </row>
    <row r="3184" spans="1:8">
      <c r="B3184" s="628" t="s">
        <v>593</v>
      </c>
      <c r="C3184" s="628"/>
      <c r="D3184" s="103" t="s">
        <v>579</v>
      </c>
      <c r="E3184" s="103" t="s">
        <v>580</v>
      </c>
      <c r="F3184" s="103" t="s">
        <v>581</v>
      </c>
      <c r="G3184" s="103" t="s">
        <v>582</v>
      </c>
      <c r="H3184" s="103" t="s">
        <v>583</v>
      </c>
    </row>
    <row r="3185" spans="1:8">
      <c r="B3185" s="130" t="s">
        <v>675</v>
      </c>
      <c r="C3185" s="229" t="s">
        <v>1697</v>
      </c>
      <c r="D3185" s="130" t="s">
        <v>119</v>
      </c>
      <c r="E3185" s="130" t="s">
        <v>173</v>
      </c>
      <c r="F3185" s="230">
        <v>1.0169999999999999</v>
      </c>
      <c r="G3185" s="494">
        <v>12.64</v>
      </c>
      <c r="H3185" s="494">
        <v>12.85</v>
      </c>
    </row>
    <row r="3186" spans="1:8">
      <c r="B3186" s="105"/>
      <c r="C3186" s="105"/>
      <c r="D3186" s="105"/>
      <c r="E3186" s="105"/>
      <c r="F3186" s="629" t="s">
        <v>604</v>
      </c>
      <c r="G3186" s="629"/>
      <c r="H3186" s="495">
        <v>12.85</v>
      </c>
    </row>
    <row r="3187" spans="1:8" ht="12.75" customHeight="1">
      <c r="B3187" s="628" t="s">
        <v>607</v>
      </c>
      <c r="C3187" s="628"/>
      <c r="D3187" s="103" t="s">
        <v>579</v>
      </c>
      <c r="E3187" s="103" t="s">
        <v>580</v>
      </c>
      <c r="F3187" s="103" t="s">
        <v>581</v>
      </c>
      <c r="G3187" s="103" t="s">
        <v>582</v>
      </c>
      <c r="H3187" s="103" t="s">
        <v>583</v>
      </c>
    </row>
    <row r="3188" spans="1:8">
      <c r="B3188" s="130" t="s">
        <v>1256</v>
      </c>
      <c r="C3188" s="229" t="s">
        <v>608</v>
      </c>
      <c r="D3188" s="130" t="s">
        <v>119</v>
      </c>
      <c r="E3188" s="130" t="s">
        <v>121</v>
      </c>
      <c r="F3188" s="230">
        <v>0.16200000000000001</v>
      </c>
      <c r="G3188" s="494">
        <v>25</v>
      </c>
      <c r="H3188" s="494">
        <v>4.05</v>
      </c>
    </row>
    <row r="3189" spans="1:8">
      <c r="B3189" s="130" t="s">
        <v>1257</v>
      </c>
      <c r="C3189" s="229" t="s">
        <v>609</v>
      </c>
      <c r="D3189" s="130" t="s">
        <v>119</v>
      </c>
      <c r="E3189" s="130" t="s">
        <v>121</v>
      </c>
      <c r="F3189" s="230">
        <v>0.16200000000000001</v>
      </c>
      <c r="G3189" s="494">
        <v>31.72</v>
      </c>
      <c r="H3189" s="494">
        <v>5.14</v>
      </c>
    </row>
    <row r="3190" spans="1:8" ht="12.75" customHeight="1">
      <c r="B3190" s="105"/>
      <c r="C3190" s="105"/>
      <c r="D3190" s="105"/>
      <c r="E3190" s="105"/>
      <c r="F3190" s="629" t="s">
        <v>610</v>
      </c>
      <c r="G3190" s="629"/>
      <c r="H3190" s="495">
        <v>9.19</v>
      </c>
    </row>
    <row r="3191" spans="1:8" ht="12.75" customHeight="1">
      <c r="B3191" s="105"/>
      <c r="C3191" s="105"/>
      <c r="D3191" s="105"/>
      <c r="E3191" s="105"/>
      <c r="F3191" s="630" t="s">
        <v>464</v>
      </c>
      <c r="G3191" s="630"/>
      <c r="H3191" s="102">
        <v>22.03</v>
      </c>
    </row>
    <row r="3192" spans="1:8">
      <c r="B3192" s="105"/>
      <c r="C3192" s="105"/>
      <c r="D3192" s="105"/>
      <c r="E3192" s="105"/>
      <c r="F3192" s="634"/>
      <c r="G3192" s="634"/>
      <c r="H3192" s="634"/>
    </row>
    <row r="3193" spans="1:8" s="318" customFormat="1" ht="30.75" customHeight="1">
      <c r="A3193" s="178" t="str">
        <f>'3 - PLAN. ORÇAMENTÁRIA'!A521</f>
        <v>6.1.1.4</v>
      </c>
      <c r="B3193" s="242">
        <f>VLOOKUP(A3193,'3 - PLAN. ORÇAMENTÁRIA'!$A$16:$B$721,2,FALSE)</f>
        <v>91856</v>
      </c>
      <c r="C3193" s="631" t="str">
        <f>VLOOKUP(A3193,'3 - PLAN. ORÇAMENTÁRIA'!$A$16:$C$721,3,FALSE)</f>
        <v>ELETRODUTO FLEXÍVEL CORRUGADO, PVC, DN 32 MM (1") - FORNECIMENTO E INSTALAÇÃO. AF_03/2023</v>
      </c>
      <c r="D3193" s="632"/>
      <c r="E3193" s="632"/>
      <c r="F3193" s="632"/>
      <c r="G3193" s="633"/>
      <c r="H3193" s="493" t="str">
        <f>VLOOKUP(A3193,'3 - PLAN. ORÇAMENTÁRIA'!$A$17:$E$721,5,FALSE)</f>
        <v>M</v>
      </c>
    </row>
    <row r="3194" spans="1:8">
      <c r="B3194" s="628" t="s">
        <v>593</v>
      </c>
      <c r="C3194" s="628"/>
      <c r="D3194" s="103" t="s">
        <v>579</v>
      </c>
      <c r="E3194" s="103" t="s">
        <v>580</v>
      </c>
      <c r="F3194" s="103" t="s">
        <v>581</v>
      </c>
      <c r="G3194" s="103" t="s">
        <v>582</v>
      </c>
      <c r="H3194" s="103" t="s">
        <v>583</v>
      </c>
    </row>
    <row r="3195" spans="1:8">
      <c r="B3195" s="130" t="s">
        <v>1698</v>
      </c>
      <c r="C3195" s="229" t="s">
        <v>1699</v>
      </c>
      <c r="D3195" s="130" t="s">
        <v>119</v>
      </c>
      <c r="E3195" s="130" t="s">
        <v>173</v>
      </c>
      <c r="F3195" s="230">
        <v>1.0169999999999999</v>
      </c>
      <c r="G3195" s="494">
        <v>5.47</v>
      </c>
      <c r="H3195" s="494">
        <v>5.56</v>
      </c>
    </row>
    <row r="3196" spans="1:8">
      <c r="B3196" s="105"/>
      <c r="C3196" s="105"/>
      <c r="D3196" s="105"/>
      <c r="E3196" s="105"/>
      <c r="F3196" s="629" t="s">
        <v>604</v>
      </c>
      <c r="G3196" s="629"/>
      <c r="H3196" s="495">
        <v>5.56</v>
      </c>
    </row>
    <row r="3197" spans="1:8" ht="12.75" customHeight="1">
      <c r="B3197" s="628" t="s">
        <v>607</v>
      </c>
      <c r="C3197" s="628"/>
      <c r="D3197" s="103" t="s">
        <v>579</v>
      </c>
      <c r="E3197" s="103" t="s">
        <v>580</v>
      </c>
      <c r="F3197" s="103" t="s">
        <v>581</v>
      </c>
      <c r="G3197" s="103" t="s">
        <v>582</v>
      </c>
      <c r="H3197" s="103" t="s">
        <v>583</v>
      </c>
    </row>
    <row r="3198" spans="1:8">
      <c r="B3198" s="130" t="s">
        <v>1256</v>
      </c>
      <c r="C3198" s="229" t="s">
        <v>608</v>
      </c>
      <c r="D3198" s="130" t="s">
        <v>119</v>
      </c>
      <c r="E3198" s="130" t="s">
        <v>121</v>
      </c>
      <c r="F3198" s="230">
        <v>0.14899999999999999</v>
      </c>
      <c r="G3198" s="494">
        <v>25</v>
      </c>
      <c r="H3198" s="494">
        <v>3.73</v>
      </c>
    </row>
    <row r="3199" spans="1:8">
      <c r="B3199" s="130" t="s">
        <v>1257</v>
      </c>
      <c r="C3199" s="229" t="s">
        <v>609</v>
      </c>
      <c r="D3199" s="130" t="s">
        <v>119</v>
      </c>
      <c r="E3199" s="130" t="s">
        <v>121</v>
      </c>
      <c r="F3199" s="230">
        <v>0.14899999999999999</v>
      </c>
      <c r="G3199" s="494">
        <v>31.72</v>
      </c>
      <c r="H3199" s="494">
        <v>4.7300000000000004</v>
      </c>
    </row>
    <row r="3200" spans="1:8" ht="12.75" customHeight="1">
      <c r="B3200" s="105"/>
      <c r="C3200" s="105"/>
      <c r="D3200" s="105"/>
      <c r="E3200" s="105"/>
      <c r="F3200" s="629" t="s">
        <v>610</v>
      </c>
      <c r="G3200" s="629"/>
      <c r="H3200" s="495">
        <v>8.4600000000000009</v>
      </c>
    </row>
    <row r="3201" spans="1:8" ht="12.75" customHeight="1">
      <c r="B3201" s="105"/>
      <c r="C3201" s="105"/>
      <c r="D3201" s="105"/>
      <c r="E3201" s="105"/>
      <c r="F3201" s="630" t="s">
        <v>464</v>
      </c>
      <c r="G3201" s="630"/>
      <c r="H3201" s="102">
        <v>14</v>
      </c>
    </row>
    <row r="3202" spans="1:8">
      <c r="B3202" s="105"/>
      <c r="C3202" s="105"/>
      <c r="D3202" s="105"/>
      <c r="E3202" s="105"/>
      <c r="F3202" s="634"/>
      <c r="G3202" s="634"/>
      <c r="H3202" s="634"/>
    </row>
    <row r="3203" spans="1:8" s="318" customFormat="1" ht="30.75" customHeight="1">
      <c r="A3203" s="178" t="str">
        <f>'3 - PLAN. ORÇAMENTÁRIA'!A522</f>
        <v>6.1.1.5</v>
      </c>
      <c r="B3203" s="242">
        <f>VLOOKUP(A3203,'3 - PLAN. ORÇAMENTÁRIA'!$A$16:$B$721,2,FALSE)</f>
        <v>91854</v>
      </c>
      <c r="C3203" s="631" t="str">
        <f>VLOOKUP(A3203,'3 - PLAN. ORÇAMENTÁRIA'!$A$16:$C$721,3,FALSE)</f>
        <v>ELETRODUTO FLEXÍVEL CORRUGADO, PVC, DN 25 MM (3/4") - FORNECIMENTO E INSTALAÇÃO. AF_03/2023</v>
      </c>
      <c r="D3203" s="632"/>
      <c r="E3203" s="632"/>
      <c r="F3203" s="632"/>
      <c r="G3203" s="633"/>
      <c r="H3203" s="493" t="str">
        <f>VLOOKUP(A3203,'3 - PLAN. ORÇAMENTÁRIA'!$A$17:$E$721,5,FALSE)</f>
        <v>M</v>
      </c>
    </row>
    <row r="3204" spans="1:8">
      <c r="B3204" s="628" t="s">
        <v>593</v>
      </c>
      <c r="C3204" s="628"/>
      <c r="D3204" s="103" t="s">
        <v>579</v>
      </c>
      <c r="E3204" s="103" t="s">
        <v>580</v>
      </c>
      <c r="F3204" s="103" t="s">
        <v>581</v>
      </c>
      <c r="G3204" s="103" t="s">
        <v>582</v>
      </c>
      <c r="H3204" s="103" t="s">
        <v>583</v>
      </c>
    </row>
    <row r="3205" spans="1:8">
      <c r="B3205" s="130" t="s">
        <v>1700</v>
      </c>
      <c r="C3205" s="229" t="s">
        <v>1701</v>
      </c>
      <c r="D3205" s="130" t="s">
        <v>119</v>
      </c>
      <c r="E3205" s="130" t="s">
        <v>173</v>
      </c>
      <c r="F3205" s="230">
        <v>1.0169999999999999</v>
      </c>
      <c r="G3205" s="494">
        <v>3.19</v>
      </c>
      <c r="H3205" s="494">
        <v>3.24</v>
      </c>
    </row>
    <row r="3206" spans="1:8">
      <c r="B3206" s="105"/>
      <c r="C3206" s="105"/>
      <c r="D3206" s="105"/>
      <c r="E3206" s="105"/>
      <c r="F3206" s="629" t="s">
        <v>604</v>
      </c>
      <c r="G3206" s="629"/>
      <c r="H3206" s="495">
        <v>3.24</v>
      </c>
    </row>
    <row r="3207" spans="1:8" ht="12.75" customHeight="1">
      <c r="B3207" s="628" t="s">
        <v>607</v>
      </c>
      <c r="C3207" s="628"/>
      <c r="D3207" s="103" t="s">
        <v>579</v>
      </c>
      <c r="E3207" s="103" t="s">
        <v>580</v>
      </c>
      <c r="F3207" s="103" t="s">
        <v>581</v>
      </c>
      <c r="G3207" s="103" t="s">
        <v>582</v>
      </c>
      <c r="H3207" s="103" t="s">
        <v>583</v>
      </c>
    </row>
    <row r="3208" spans="1:8">
      <c r="B3208" s="130" t="s">
        <v>1256</v>
      </c>
      <c r="C3208" s="229" t="s">
        <v>608</v>
      </c>
      <c r="D3208" s="130" t="s">
        <v>119</v>
      </c>
      <c r="E3208" s="130" t="s">
        <v>121</v>
      </c>
      <c r="F3208" s="230">
        <v>0.13400000000000001</v>
      </c>
      <c r="G3208" s="494">
        <v>25</v>
      </c>
      <c r="H3208" s="494">
        <v>3.35</v>
      </c>
    </row>
    <row r="3209" spans="1:8">
      <c r="B3209" s="130" t="s">
        <v>1257</v>
      </c>
      <c r="C3209" s="229" t="s">
        <v>609</v>
      </c>
      <c r="D3209" s="130" t="s">
        <v>119</v>
      </c>
      <c r="E3209" s="130" t="s">
        <v>121</v>
      </c>
      <c r="F3209" s="230">
        <v>0.13400000000000001</v>
      </c>
      <c r="G3209" s="494">
        <v>31.72</v>
      </c>
      <c r="H3209" s="494">
        <v>4.25</v>
      </c>
    </row>
    <row r="3210" spans="1:8" ht="12.75" customHeight="1">
      <c r="B3210" s="105"/>
      <c r="C3210" s="105"/>
      <c r="D3210" s="105"/>
      <c r="E3210" s="105"/>
      <c r="F3210" s="629" t="s">
        <v>610</v>
      </c>
      <c r="G3210" s="629"/>
      <c r="H3210" s="495">
        <v>7.6</v>
      </c>
    </row>
    <row r="3211" spans="1:8" ht="12.75" customHeight="1">
      <c r="B3211" s="105"/>
      <c r="C3211" s="105"/>
      <c r="D3211" s="105"/>
      <c r="E3211" s="105"/>
      <c r="F3211" s="630" t="s">
        <v>464</v>
      </c>
      <c r="G3211" s="630"/>
      <c r="H3211" s="102">
        <v>10.84</v>
      </c>
    </row>
    <row r="3212" spans="1:8">
      <c r="B3212" s="105"/>
      <c r="C3212" s="105"/>
      <c r="D3212" s="105"/>
      <c r="E3212" s="105"/>
      <c r="F3212" s="634"/>
      <c r="G3212" s="634"/>
      <c r="H3212" s="634"/>
    </row>
    <row r="3213" spans="1:8" s="220" customFormat="1" ht="27" customHeight="1">
      <c r="A3213" s="178" t="str">
        <f>'3 - PLAN. ORÇAMENTÁRIA'!A529</f>
        <v>6.1.2.1</v>
      </c>
      <c r="B3213" s="178">
        <f>VLOOKUP(A3213,'3 - PLAN. ORÇAMENTÁRIA'!$A$16:$B$721,2,FALSE)</f>
        <v>91940</v>
      </c>
      <c r="C3213" s="631" t="str">
        <f>VLOOKUP(A3213,'3 - PLAN. ORÇAMENTÁRIA'!$A$16:$C$721,3,FALSE)</f>
        <v>CAIXA RETANGULAR 4" X 2", PVC - FORNECIMENTO E INSTALAÇÃO. AF_03/2023</v>
      </c>
      <c r="D3213" s="632"/>
      <c r="E3213" s="632"/>
      <c r="F3213" s="632"/>
      <c r="G3213" s="633"/>
      <c r="H3213" s="433" t="str">
        <f>VLOOKUP(A3213,'3 - PLAN. ORÇAMENTÁRIA'!$A$17:$E$721,5,FALSE)</f>
        <v>UN</v>
      </c>
    </row>
    <row r="3214" spans="1:8">
      <c r="B3214" s="628" t="s">
        <v>593</v>
      </c>
      <c r="C3214" s="628"/>
      <c r="D3214" s="103" t="s">
        <v>579</v>
      </c>
      <c r="E3214" s="103" t="s">
        <v>580</v>
      </c>
      <c r="F3214" s="103" t="s">
        <v>581</v>
      </c>
      <c r="G3214" s="103" t="s">
        <v>582</v>
      </c>
      <c r="H3214" s="103" t="s">
        <v>583</v>
      </c>
    </row>
    <row r="3215" spans="1:8">
      <c r="B3215" s="130" t="s">
        <v>686</v>
      </c>
      <c r="C3215" s="229" t="s">
        <v>687</v>
      </c>
      <c r="D3215" s="130" t="s">
        <v>119</v>
      </c>
      <c r="E3215" s="130" t="s">
        <v>144</v>
      </c>
      <c r="F3215" s="230">
        <v>1</v>
      </c>
      <c r="G3215" s="494">
        <v>2.81</v>
      </c>
      <c r="H3215" s="494">
        <v>2.81</v>
      </c>
    </row>
    <row r="3216" spans="1:8" ht="12.75" customHeight="1">
      <c r="B3216" s="105"/>
      <c r="C3216" s="105"/>
      <c r="D3216" s="105"/>
      <c r="E3216" s="105"/>
      <c r="F3216" s="629" t="s">
        <v>604</v>
      </c>
      <c r="G3216" s="629"/>
      <c r="H3216" s="495">
        <v>2.81</v>
      </c>
    </row>
    <row r="3217" spans="1:8" ht="12.75" customHeight="1">
      <c r="B3217" s="628" t="s">
        <v>607</v>
      </c>
      <c r="C3217" s="628"/>
      <c r="D3217" s="103" t="s">
        <v>579</v>
      </c>
      <c r="E3217" s="103" t="s">
        <v>580</v>
      </c>
      <c r="F3217" s="103" t="s">
        <v>581</v>
      </c>
      <c r="G3217" s="103" t="s">
        <v>582</v>
      </c>
      <c r="H3217" s="103" t="s">
        <v>583</v>
      </c>
    </row>
    <row r="3218" spans="1:8">
      <c r="B3218" s="130" t="s">
        <v>1256</v>
      </c>
      <c r="C3218" s="229" t="s">
        <v>608</v>
      </c>
      <c r="D3218" s="130" t="s">
        <v>119</v>
      </c>
      <c r="E3218" s="130" t="s">
        <v>121</v>
      </c>
      <c r="F3218" s="230">
        <v>0.29099999999999998</v>
      </c>
      <c r="G3218" s="494">
        <v>25</v>
      </c>
      <c r="H3218" s="494">
        <v>7.28</v>
      </c>
    </row>
    <row r="3219" spans="1:8" ht="12.75" customHeight="1">
      <c r="B3219" s="130" t="s">
        <v>1257</v>
      </c>
      <c r="C3219" s="229" t="s">
        <v>609</v>
      </c>
      <c r="D3219" s="130" t="s">
        <v>119</v>
      </c>
      <c r="E3219" s="130" t="s">
        <v>121</v>
      </c>
      <c r="F3219" s="230">
        <v>0.29099999999999998</v>
      </c>
      <c r="G3219" s="494">
        <v>31.72</v>
      </c>
      <c r="H3219" s="494">
        <v>9.23</v>
      </c>
    </row>
    <row r="3220" spans="1:8" ht="12.75" customHeight="1">
      <c r="B3220" s="105"/>
      <c r="C3220" s="105"/>
      <c r="D3220" s="105"/>
      <c r="E3220" s="105"/>
      <c r="F3220" s="629" t="s">
        <v>610</v>
      </c>
      <c r="G3220" s="629"/>
      <c r="H3220" s="495">
        <v>16.510000000000002</v>
      </c>
    </row>
    <row r="3221" spans="1:8">
      <c r="B3221" s="628" t="s">
        <v>586</v>
      </c>
      <c r="C3221" s="628"/>
      <c r="D3221" s="103" t="s">
        <v>579</v>
      </c>
      <c r="E3221" s="103" t="s">
        <v>580</v>
      </c>
      <c r="F3221" s="103" t="s">
        <v>581</v>
      </c>
      <c r="G3221" s="103" t="s">
        <v>582</v>
      </c>
      <c r="H3221" s="103" t="s">
        <v>583</v>
      </c>
    </row>
    <row r="3222" spans="1:8" ht="25.5">
      <c r="B3222" s="130" t="s">
        <v>1702</v>
      </c>
      <c r="C3222" s="229" t="s">
        <v>1703</v>
      </c>
      <c r="D3222" s="130" t="s">
        <v>119</v>
      </c>
      <c r="E3222" s="130" t="s">
        <v>167</v>
      </c>
      <c r="F3222" s="230">
        <v>8.9999999999999998E-4</v>
      </c>
      <c r="G3222" s="494">
        <v>627.14</v>
      </c>
      <c r="H3222" s="494">
        <v>0.56000000000000005</v>
      </c>
    </row>
    <row r="3223" spans="1:8" ht="12.75" customHeight="1">
      <c r="B3223" s="105"/>
      <c r="C3223" s="105"/>
      <c r="D3223" s="105"/>
      <c r="E3223" s="105"/>
      <c r="F3223" s="629" t="s">
        <v>587</v>
      </c>
      <c r="G3223" s="629"/>
      <c r="H3223" s="495">
        <v>0.56000000000000005</v>
      </c>
    </row>
    <row r="3224" spans="1:8" ht="12.75" customHeight="1">
      <c r="B3224" s="105"/>
      <c r="C3224" s="105"/>
      <c r="D3224" s="105"/>
      <c r="E3224" s="105"/>
      <c r="F3224" s="630" t="s">
        <v>464</v>
      </c>
      <c r="G3224" s="630"/>
      <c r="H3224" s="102">
        <v>19.88</v>
      </c>
    </row>
    <row r="3225" spans="1:8" ht="12.75" customHeight="1">
      <c r="B3225" s="105"/>
      <c r="C3225" s="105"/>
      <c r="D3225" s="105"/>
      <c r="E3225" s="105"/>
      <c r="F3225" s="634"/>
      <c r="G3225" s="634"/>
      <c r="H3225" s="634"/>
    </row>
    <row r="3226" spans="1:8" s="220" customFormat="1" ht="27" customHeight="1">
      <c r="A3226" s="178" t="str">
        <f>'3 - PLAN. ORÇAMENTÁRIA'!A530</f>
        <v>6.1.2.2</v>
      </c>
      <c r="B3226" s="178">
        <f>VLOOKUP(A3226,'3 - PLAN. ORÇAMENTÁRIA'!$A$16:$B$721,2,FALSE)</f>
        <v>91943</v>
      </c>
      <c r="C3226" s="631" t="str">
        <f>VLOOKUP(A3226,'3 - PLAN. ORÇAMENTÁRIA'!$A$16:$C$721,3,FALSE)</f>
        <v>CAIXA RETANGULAR 4" X 4" , PVC - FORNECIMENTO E INSTALAÇÃO. AF_03/2023</v>
      </c>
      <c r="D3226" s="632"/>
      <c r="E3226" s="632"/>
      <c r="F3226" s="632"/>
      <c r="G3226" s="633"/>
      <c r="H3226" s="437" t="str">
        <f>VLOOKUP(A3226,'3 - PLAN. ORÇAMENTÁRIA'!$A$17:$E$721,5,FALSE)</f>
        <v>UN</v>
      </c>
    </row>
    <row r="3227" spans="1:8">
      <c r="B3227" s="628" t="s">
        <v>593</v>
      </c>
      <c r="C3227" s="628"/>
      <c r="D3227" s="103" t="s">
        <v>579</v>
      </c>
      <c r="E3227" s="103" t="s">
        <v>580</v>
      </c>
      <c r="F3227" s="103" t="s">
        <v>581</v>
      </c>
      <c r="G3227" s="103" t="s">
        <v>582</v>
      </c>
      <c r="H3227" s="103" t="s">
        <v>583</v>
      </c>
    </row>
    <row r="3228" spans="1:8">
      <c r="B3228" s="130" t="s">
        <v>1704</v>
      </c>
      <c r="C3228" s="229" t="s">
        <v>1705</v>
      </c>
      <c r="D3228" s="130" t="s">
        <v>119</v>
      </c>
      <c r="E3228" s="130" t="s">
        <v>144</v>
      </c>
      <c r="F3228" s="230">
        <v>1</v>
      </c>
      <c r="G3228" s="494">
        <v>5.59</v>
      </c>
      <c r="H3228" s="494">
        <v>5.59</v>
      </c>
    </row>
    <row r="3229" spans="1:8" ht="12.75" customHeight="1">
      <c r="B3229" s="105"/>
      <c r="C3229" s="105"/>
      <c r="D3229" s="105"/>
      <c r="E3229" s="105"/>
      <c r="F3229" s="629" t="s">
        <v>604</v>
      </c>
      <c r="G3229" s="629"/>
      <c r="H3229" s="495">
        <v>5.59</v>
      </c>
    </row>
    <row r="3230" spans="1:8" ht="12.75" customHeight="1">
      <c r="B3230" s="628" t="s">
        <v>607</v>
      </c>
      <c r="C3230" s="628"/>
      <c r="D3230" s="103" t="s">
        <v>579</v>
      </c>
      <c r="E3230" s="103" t="s">
        <v>580</v>
      </c>
      <c r="F3230" s="103" t="s">
        <v>581</v>
      </c>
      <c r="G3230" s="103" t="s">
        <v>582</v>
      </c>
      <c r="H3230" s="103" t="s">
        <v>583</v>
      </c>
    </row>
    <row r="3231" spans="1:8">
      <c r="B3231" s="130" t="s">
        <v>1256</v>
      </c>
      <c r="C3231" s="229" t="s">
        <v>608</v>
      </c>
      <c r="D3231" s="130" t="s">
        <v>119</v>
      </c>
      <c r="E3231" s="130" t="s">
        <v>121</v>
      </c>
      <c r="F3231" s="230">
        <v>0.30099999999999999</v>
      </c>
      <c r="G3231" s="494">
        <v>25</v>
      </c>
      <c r="H3231" s="494">
        <v>7.53</v>
      </c>
    </row>
    <row r="3232" spans="1:8" ht="12.75" customHeight="1">
      <c r="B3232" s="130" t="s">
        <v>1257</v>
      </c>
      <c r="C3232" s="229" t="s">
        <v>609</v>
      </c>
      <c r="D3232" s="130" t="s">
        <v>119</v>
      </c>
      <c r="E3232" s="130" t="s">
        <v>121</v>
      </c>
      <c r="F3232" s="230">
        <v>0.30099999999999999</v>
      </c>
      <c r="G3232" s="494">
        <v>31.72</v>
      </c>
      <c r="H3232" s="494">
        <v>9.5500000000000007</v>
      </c>
    </row>
    <row r="3233" spans="1:8" ht="12.75" customHeight="1">
      <c r="B3233" s="105"/>
      <c r="C3233" s="105"/>
      <c r="D3233" s="105"/>
      <c r="E3233" s="105"/>
      <c r="F3233" s="629" t="s">
        <v>610</v>
      </c>
      <c r="G3233" s="629"/>
      <c r="H3233" s="495">
        <v>17.079999999999998</v>
      </c>
    </row>
    <row r="3234" spans="1:8">
      <c r="B3234" s="628" t="s">
        <v>586</v>
      </c>
      <c r="C3234" s="628"/>
      <c r="D3234" s="103" t="s">
        <v>579</v>
      </c>
      <c r="E3234" s="103" t="s">
        <v>580</v>
      </c>
      <c r="F3234" s="103" t="s">
        <v>581</v>
      </c>
      <c r="G3234" s="103" t="s">
        <v>582</v>
      </c>
      <c r="H3234" s="103" t="s">
        <v>583</v>
      </c>
    </row>
    <row r="3235" spans="1:8" ht="25.5">
      <c r="B3235" s="130" t="s">
        <v>1702</v>
      </c>
      <c r="C3235" s="229" t="s">
        <v>1703</v>
      </c>
      <c r="D3235" s="130" t="s">
        <v>119</v>
      </c>
      <c r="E3235" s="130" t="s">
        <v>167</v>
      </c>
      <c r="F3235" s="230">
        <v>1.1999999999999999E-3</v>
      </c>
      <c r="G3235" s="494">
        <v>627.14</v>
      </c>
      <c r="H3235" s="494">
        <v>0.75</v>
      </c>
    </row>
    <row r="3236" spans="1:8" ht="12.75" customHeight="1">
      <c r="B3236" s="105"/>
      <c r="C3236" s="105"/>
      <c r="D3236" s="105"/>
      <c r="E3236" s="105"/>
      <c r="F3236" s="629" t="s">
        <v>587</v>
      </c>
      <c r="G3236" s="629"/>
      <c r="H3236" s="495">
        <v>0.75</v>
      </c>
    </row>
    <row r="3237" spans="1:8" ht="12.75" customHeight="1">
      <c r="B3237" s="105"/>
      <c r="C3237" s="105"/>
      <c r="D3237" s="105"/>
      <c r="E3237" s="105"/>
      <c r="F3237" s="630" t="s">
        <v>464</v>
      </c>
      <c r="G3237" s="630"/>
      <c r="H3237" s="102">
        <v>23.42</v>
      </c>
    </row>
    <row r="3238" spans="1:8" ht="12.75" customHeight="1">
      <c r="B3238" s="105"/>
      <c r="C3238" s="105"/>
      <c r="D3238" s="105"/>
      <c r="E3238" s="105"/>
      <c r="F3238" s="634"/>
      <c r="G3238" s="634"/>
      <c r="H3238" s="634"/>
    </row>
    <row r="3239" spans="1:8" s="220" customFormat="1" ht="27" customHeight="1">
      <c r="A3239" s="178" t="str">
        <f>'3 - PLAN. ORÇAMENTÁRIA'!A531</f>
        <v>6.1.2.3</v>
      </c>
      <c r="B3239" s="178">
        <f>VLOOKUP(A3239,'3 - PLAN. ORÇAMENTÁRIA'!$A$16:$B$721,2,FALSE)</f>
        <v>92865</v>
      </c>
      <c r="C3239" s="631" t="str">
        <f>VLOOKUP(A3239,'3 - PLAN. ORÇAMENTÁRIA'!$A$16:$C$721,3,FALSE)</f>
        <v>CAIXA OCTOGONAL 4" X 4", METÁLICA - FORNECIMENTO E INSTALAÇÃO. AF_03/2023</v>
      </c>
      <c r="D3239" s="632"/>
      <c r="E3239" s="632"/>
      <c r="F3239" s="632"/>
      <c r="G3239" s="633"/>
      <c r="H3239" s="437" t="str">
        <f>VLOOKUP(A3239,'3 - PLAN. ORÇAMENTÁRIA'!$A$17:$E$721,5,FALSE)</f>
        <v>UN</v>
      </c>
    </row>
    <row r="3240" spans="1:8">
      <c r="B3240" s="628" t="s">
        <v>593</v>
      </c>
      <c r="C3240" s="628"/>
      <c r="D3240" s="103" t="s">
        <v>579</v>
      </c>
      <c r="E3240" s="103" t="s">
        <v>580</v>
      </c>
      <c r="F3240" s="103" t="s">
        <v>581</v>
      </c>
      <c r="G3240" s="103" t="s">
        <v>582</v>
      </c>
      <c r="H3240" s="103" t="s">
        <v>583</v>
      </c>
    </row>
    <row r="3241" spans="1:8" ht="25.5">
      <c r="B3241" s="130" t="s">
        <v>1706</v>
      </c>
      <c r="C3241" s="229" t="s">
        <v>1707</v>
      </c>
      <c r="D3241" s="130" t="s">
        <v>119</v>
      </c>
      <c r="E3241" s="130" t="s">
        <v>144</v>
      </c>
      <c r="F3241" s="230">
        <v>1</v>
      </c>
      <c r="G3241" s="494">
        <v>2.83</v>
      </c>
      <c r="H3241" s="494">
        <v>2.83</v>
      </c>
    </row>
    <row r="3242" spans="1:8" ht="12.75" customHeight="1">
      <c r="B3242" s="105"/>
      <c r="C3242" s="105"/>
      <c r="D3242" s="105"/>
      <c r="E3242" s="105"/>
      <c r="F3242" s="629" t="s">
        <v>604</v>
      </c>
      <c r="G3242" s="629"/>
      <c r="H3242" s="495">
        <v>2.83</v>
      </c>
    </row>
    <row r="3243" spans="1:8" ht="12.75" customHeight="1">
      <c r="B3243" s="628" t="s">
        <v>607</v>
      </c>
      <c r="C3243" s="628"/>
      <c r="D3243" s="103" t="s">
        <v>579</v>
      </c>
      <c r="E3243" s="103" t="s">
        <v>580</v>
      </c>
      <c r="F3243" s="103" t="s">
        <v>581</v>
      </c>
      <c r="G3243" s="103" t="s">
        <v>582</v>
      </c>
      <c r="H3243" s="103" t="s">
        <v>583</v>
      </c>
    </row>
    <row r="3244" spans="1:8">
      <c r="B3244" s="130" t="s">
        <v>1256</v>
      </c>
      <c r="C3244" s="229" t="s">
        <v>608</v>
      </c>
      <c r="D3244" s="130" t="s">
        <v>119</v>
      </c>
      <c r="E3244" s="130" t="s">
        <v>121</v>
      </c>
      <c r="F3244" s="230">
        <v>0.222</v>
      </c>
      <c r="G3244" s="494">
        <v>25</v>
      </c>
      <c r="H3244" s="494">
        <v>5.55</v>
      </c>
    </row>
    <row r="3245" spans="1:8" ht="12.75" customHeight="1">
      <c r="B3245" s="130" t="s">
        <v>1257</v>
      </c>
      <c r="C3245" s="229" t="s">
        <v>609</v>
      </c>
      <c r="D3245" s="130" t="s">
        <v>119</v>
      </c>
      <c r="E3245" s="130" t="s">
        <v>121</v>
      </c>
      <c r="F3245" s="230">
        <v>0.222</v>
      </c>
      <c r="G3245" s="494">
        <v>31.72</v>
      </c>
      <c r="H3245" s="494">
        <v>7.04</v>
      </c>
    </row>
    <row r="3246" spans="1:8" ht="12.75" customHeight="1">
      <c r="B3246" s="105"/>
      <c r="C3246" s="105"/>
      <c r="D3246" s="105"/>
      <c r="E3246" s="105"/>
      <c r="F3246" s="629" t="s">
        <v>610</v>
      </c>
      <c r="G3246" s="629"/>
      <c r="H3246" s="495">
        <v>12.59</v>
      </c>
    </row>
    <row r="3247" spans="1:8" ht="12.75" customHeight="1">
      <c r="B3247" s="105"/>
      <c r="C3247" s="105"/>
      <c r="D3247" s="105"/>
      <c r="E3247" s="105"/>
      <c r="F3247" s="630" t="s">
        <v>464</v>
      </c>
      <c r="G3247" s="630"/>
      <c r="H3247" s="102">
        <v>15.42</v>
      </c>
    </row>
    <row r="3248" spans="1:8">
      <c r="B3248" s="105"/>
      <c r="C3248" s="105"/>
      <c r="D3248" s="105"/>
      <c r="E3248" s="105"/>
      <c r="F3248" s="634"/>
      <c r="G3248" s="634"/>
      <c r="H3248" s="634"/>
    </row>
    <row r="3249" spans="1:8" ht="30.75" customHeight="1">
      <c r="A3249" s="178" t="str">
        <f>'3 - PLAN. ORÇAMENTÁRIA'!A533</f>
        <v>6.1.2.5</v>
      </c>
      <c r="B3249" s="242">
        <f>VLOOKUP(A3249,'3 - PLAN. ORÇAMENTÁRIA'!$A$16:$B$721,2,FALSE)</f>
        <v>97892</v>
      </c>
      <c r="C3249" s="631" t="str">
        <f>VLOOKUP(A3249,'3 - PLAN. ORÇAMENTÁRIA'!$A$16:$C$721,3,FALSE)</f>
        <v>CAIXA ENTERRADA ELÉTRICA RETANGULAR, EM ALVENARIA COM BLOCOS DE CONCRETO, FUNDO COM BRITA, DIMENSÕES INTERNAS: 0,6X0,6X0,6 M. AF_12/2020</v>
      </c>
      <c r="D3249" s="632"/>
      <c r="E3249" s="632"/>
      <c r="F3249" s="632"/>
      <c r="G3249" s="633"/>
      <c r="H3249" s="131" t="str">
        <f>VLOOKUP(A3249,'3 - PLAN. ORÇAMENTÁRIA'!$A$17:$E$721,5,FALSE)</f>
        <v>UN</v>
      </c>
    </row>
    <row r="3250" spans="1:8" ht="12.75" customHeight="1">
      <c r="B3250" s="628" t="s">
        <v>1301</v>
      </c>
      <c r="C3250" s="628"/>
      <c r="D3250" s="103" t="s">
        <v>579</v>
      </c>
      <c r="E3250" s="103" t="s">
        <v>580</v>
      </c>
      <c r="F3250" s="103" t="s">
        <v>581</v>
      </c>
      <c r="G3250" s="103" t="s">
        <v>582</v>
      </c>
      <c r="H3250" s="103" t="s">
        <v>583</v>
      </c>
    </row>
    <row r="3251" spans="1:8" ht="38.25">
      <c r="B3251" s="130" t="s">
        <v>1679</v>
      </c>
      <c r="C3251" s="229" t="s">
        <v>1680</v>
      </c>
      <c r="D3251" s="130" t="s">
        <v>119</v>
      </c>
      <c r="E3251" s="130" t="s">
        <v>1304</v>
      </c>
      <c r="F3251" s="230">
        <v>1.78E-2</v>
      </c>
      <c r="G3251" s="494">
        <v>62.96</v>
      </c>
      <c r="H3251" s="494">
        <v>1.1200000000000001</v>
      </c>
    </row>
    <row r="3252" spans="1:8" ht="38.25">
      <c r="B3252" s="130" t="s">
        <v>1681</v>
      </c>
      <c r="C3252" s="229" t="s">
        <v>1682</v>
      </c>
      <c r="D3252" s="130" t="s">
        <v>119</v>
      </c>
      <c r="E3252" s="130" t="s">
        <v>1307</v>
      </c>
      <c r="F3252" s="230">
        <v>8.6999999999999994E-3</v>
      </c>
      <c r="G3252" s="494">
        <v>146.19</v>
      </c>
      <c r="H3252" s="494">
        <v>1.27</v>
      </c>
    </row>
    <row r="3253" spans="1:8" ht="12.75" customHeight="1">
      <c r="B3253" s="105"/>
      <c r="C3253" s="105"/>
      <c r="D3253" s="105"/>
      <c r="E3253" s="105"/>
      <c r="F3253" s="629" t="s">
        <v>1308</v>
      </c>
      <c r="G3253" s="629"/>
      <c r="H3253" s="495">
        <v>2.39</v>
      </c>
    </row>
    <row r="3254" spans="1:8">
      <c r="B3254" s="628" t="s">
        <v>593</v>
      </c>
      <c r="C3254" s="628"/>
      <c r="D3254" s="103" t="s">
        <v>579</v>
      </c>
      <c r="E3254" s="103" t="s">
        <v>580</v>
      </c>
      <c r="F3254" s="103" t="s">
        <v>581</v>
      </c>
      <c r="G3254" s="103" t="s">
        <v>582</v>
      </c>
      <c r="H3254" s="103" t="s">
        <v>583</v>
      </c>
    </row>
    <row r="3255" spans="1:8">
      <c r="B3255" s="130" t="s">
        <v>648</v>
      </c>
      <c r="C3255" s="229" t="s">
        <v>649</v>
      </c>
      <c r="D3255" s="130" t="s">
        <v>119</v>
      </c>
      <c r="E3255" s="130" t="s">
        <v>144</v>
      </c>
      <c r="F3255" s="230">
        <v>21.225300000000001</v>
      </c>
      <c r="G3255" s="494">
        <v>3.59</v>
      </c>
      <c r="H3255" s="494">
        <v>76.2</v>
      </c>
    </row>
    <row r="3256" spans="1:8">
      <c r="B3256" s="105"/>
      <c r="C3256" s="105"/>
      <c r="D3256" s="105"/>
      <c r="E3256" s="105"/>
      <c r="F3256" s="629" t="s">
        <v>604</v>
      </c>
      <c r="G3256" s="629"/>
      <c r="H3256" s="495">
        <v>76.2</v>
      </c>
    </row>
    <row r="3257" spans="1:8" ht="12.75" customHeight="1">
      <c r="B3257" s="628" t="s">
        <v>607</v>
      </c>
      <c r="C3257" s="628"/>
      <c r="D3257" s="103" t="s">
        <v>579</v>
      </c>
      <c r="E3257" s="103" t="s">
        <v>580</v>
      </c>
      <c r="F3257" s="103" t="s">
        <v>581</v>
      </c>
      <c r="G3257" s="103" t="s">
        <v>582</v>
      </c>
      <c r="H3257" s="103" t="s">
        <v>583</v>
      </c>
    </row>
    <row r="3258" spans="1:8">
      <c r="B3258" s="130" t="s">
        <v>639</v>
      </c>
      <c r="C3258" s="229" t="s">
        <v>640</v>
      </c>
      <c r="D3258" s="130" t="s">
        <v>119</v>
      </c>
      <c r="E3258" s="130" t="s">
        <v>121</v>
      </c>
      <c r="F3258" s="230">
        <v>2.9802</v>
      </c>
      <c r="G3258" s="494">
        <v>31.34</v>
      </c>
      <c r="H3258" s="494">
        <v>93.4</v>
      </c>
    </row>
    <row r="3259" spans="1:8">
      <c r="B3259" s="130" t="s">
        <v>625</v>
      </c>
      <c r="C3259" s="229" t="s">
        <v>626</v>
      </c>
      <c r="D3259" s="130" t="s">
        <v>119</v>
      </c>
      <c r="E3259" s="130" t="s">
        <v>121</v>
      </c>
      <c r="F3259" s="230">
        <v>2.3416000000000001</v>
      </c>
      <c r="G3259" s="494">
        <v>23.75</v>
      </c>
      <c r="H3259" s="494">
        <v>55.61</v>
      </c>
    </row>
    <row r="3260" spans="1:8" ht="12.75" customHeight="1">
      <c r="B3260" s="105"/>
      <c r="C3260" s="105"/>
      <c r="D3260" s="105"/>
      <c r="E3260" s="105"/>
      <c r="F3260" s="629" t="s">
        <v>610</v>
      </c>
      <c r="G3260" s="629"/>
      <c r="H3260" s="495">
        <v>149.01</v>
      </c>
    </row>
    <row r="3261" spans="1:8">
      <c r="B3261" s="628" t="s">
        <v>586</v>
      </c>
      <c r="C3261" s="628"/>
      <c r="D3261" s="103" t="s">
        <v>579</v>
      </c>
      <c r="E3261" s="103" t="s">
        <v>580</v>
      </c>
      <c r="F3261" s="103" t="s">
        <v>581</v>
      </c>
      <c r="G3261" s="103" t="s">
        <v>582</v>
      </c>
      <c r="H3261" s="103" t="s">
        <v>583</v>
      </c>
    </row>
    <row r="3262" spans="1:8" ht="25.5">
      <c r="B3262" s="130" t="s">
        <v>1708</v>
      </c>
      <c r="C3262" s="229" t="s">
        <v>1709</v>
      </c>
      <c r="D3262" s="130" t="s">
        <v>119</v>
      </c>
      <c r="E3262" s="130" t="s">
        <v>167</v>
      </c>
      <c r="F3262" s="230">
        <v>5.7500000000000002E-2</v>
      </c>
      <c r="G3262" s="494">
        <v>671.48</v>
      </c>
      <c r="H3262" s="494">
        <v>38.61</v>
      </c>
    </row>
    <row r="3263" spans="1:8" ht="25.5">
      <c r="B3263" s="130" t="s">
        <v>1683</v>
      </c>
      <c r="C3263" s="229" t="s">
        <v>1684</v>
      </c>
      <c r="D3263" s="130" t="s">
        <v>119</v>
      </c>
      <c r="E3263" s="130" t="s">
        <v>167</v>
      </c>
      <c r="F3263" s="230">
        <v>1.3599999999999999E-2</v>
      </c>
      <c r="G3263" s="494">
        <v>558.9</v>
      </c>
      <c r="H3263" s="494">
        <v>7.6</v>
      </c>
    </row>
    <row r="3264" spans="1:8" ht="25.5">
      <c r="B3264" s="130" t="s">
        <v>1710</v>
      </c>
      <c r="C3264" s="229" t="s">
        <v>1711</v>
      </c>
      <c r="D3264" s="130" t="s">
        <v>119</v>
      </c>
      <c r="E3264" s="130" t="s">
        <v>167</v>
      </c>
      <c r="F3264" s="230">
        <v>4.48E-2</v>
      </c>
      <c r="G3264" s="494">
        <v>2587.48</v>
      </c>
      <c r="H3264" s="494">
        <v>115.92</v>
      </c>
    </row>
    <row r="3265" spans="1:8" ht="25.5">
      <c r="B3265" s="130" t="s">
        <v>1712</v>
      </c>
      <c r="C3265" s="229" t="s">
        <v>1713</v>
      </c>
      <c r="D3265" s="130" t="s">
        <v>119</v>
      </c>
      <c r="E3265" s="130" t="s">
        <v>167</v>
      </c>
      <c r="F3265" s="230">
        <v>8.1000000000000003E-2</v>
      </c>
      <c r="G3265" s="494">
        <v>421.92</v>
      </c>
      <c r="H3265" s="494">
        <v>34.18</v>
      </c>
    </row>
    <row r="3266" spans="1:8">
      <c r="B3266" s="105"/>
      <c r="C3266" s="105"/>
      <c r="D3266" s="105"/>
      <c r="E3266" s="105"/>
      <c r="F3266" s="629" t="s">
        <v>587</v>
      </c>
      <c r="G3266" s="629"/>
      <c r="H3266" s="495">
        <v>196.31</v>
      </c>
    </row>
    <row r="3267" spans="1:8" ht="12.75" customHeight="1">
      <c r="B3267" s="105"/>
      <c r="C3267" s="105"/>
      <c r="D3267" s="105"/>
      <c r="E3267" s="105"/>
      <c r="F3267" s="630" t="s">
        <v>464</v>
      </c>
      <c r="G3267" s="630"/>
      <c r="H3267" s="102">
        <v>423.91</v>
      </c>
    </row>
    <row r="3268" spans="1:8">
      <c r="B3268" s="105"/>
      <c r="C3268" s="105"/>
      <c r="D3268" s="105"/>
      <c r="E3268" s="105"/>
      <c r="F3268" s="634"/>
      <c r="G3268" s="634"/>
      <c r="H3268" s="634"/>
    </row>
    <row r="3269" spans="1:8" ht="30.75" customHeight="1">
      <c r="A3269" s="178" t="str">
        <f>'3 - PLAN. ORÇAMENTÁRIA'!A536</f>
        <v>6.1.2.8</v>
      </c>
      <c r="B3269" s="242">
        <f>VLOOKUP(A3269,'3 - PLAN. ORÇAMENTÁRIA'!$A$16:$B$721,2,FALSE)</f>
        <v>95781</v>
      </c>
      <c r="C3269" s="631" t="str">
        <f>VLOOKUP(A3269,'3 - PLAN. ORÇAMENTÁRIA'!$A$16:$C$721,3,FALSE)</f>
        <v>CONDULETE DE ALUMÍNIO, TIPO C, PARA ELETRODUTO DE AÇO GALVANIZADO DN 25 MM (1''), APARENTE - FORNECIMENTO E INSTALAÇÃO. AF_10/2022</v>
      </c>
      <c r="D3269" s="632"/>
      <c r="E3269" s="632"/>
      <c r="F3269" s="632"/>
      <c r="G3269" s="633"/>
      <c r="H3269" s="432" t="str">
        <f>VLOOKUP(A3269,'3 - PLAN. ORÇAMENTÁRIA'!$A$17:$E$721,5,FALSE)</f>
        <v>UN</v>
      </c>
    </row>
    <row r="3270" spans="1:8">
      <c r="B3270" s="628" t="s">
        <v>593</v>
      </c>
      <c r="C3270" s="628"/>
      <c r="D3270" s="103" t="s">
        <v>579</v>
      </c>
      <c r="E3270" s="103" t="s">
        <v>580</v>
      </c>
      <c r="F3270" s="103" t="s">
        <v>581</v>
      </c>
      <c r="G3270" s="103" t="s">
        <v>582</v>
      </c>
      <c r="H3270" s="103" t="s">
        <v>583</v>
      </c>
    </row>
    <row r="3271" spans="1:8" ht="25.5">
      <c r="B3271" s="130" t="s">
        <v>2656</v>
      </c>
      <c r="C3271" s="229" t="s">
        <v>2657</v>
      </c>
      <c r="D3271" s="130" t="s">
        <v>119</v>
      </c>
      <c r="E3271" s="130" t="s">
        <v>144</v>
      </c>
      <c r="F3271" s="230">
        <v>2</v>
      </c>
      <c r="G3271" s="494">
        <v>0.39</v>
      </c>
      <c r="H3271" s="494">
        <v>0.78</v>
      </c>
    </row>
    <row r="3272" spans="1:8">
      <c r="B3272" s="130" t="s">
        <v>2731</v>
      </c>
      <c r="C3272" s="229" t="s">
        <v>2732</v>
      </c>
      <c r="D3272" s="130" t="s">
        <v>119</v>
      </c>
      <c r="E3272" s="130" t="s">
        <v>144</v>
      </c>
      <c r="F3272" s="230">
        <v>1</v>
      </c>
      <c r="G3272" s="494">
        <v>15.78</v>
      </c>
      <c r="H3272" s="494">
        <v>15.78</v>
      </c>
    </row>
    <row r="3273" spans="1:8">
      <c r="B3273" s="105"/>
      <c r="C3273" s="105"/>
      <c r="D3273" s="105"/>
      <c r="E3273" s="105"/>
      <c r="F3273" s="629" t="s">
        <v>604</v>
      </c>
      <c r="G3273" s="629"/>
      <c r="H3273" s="495">
        <v>16.559999999999999</v>
      </c>
    </row>
    <row r="3274" spans="1:8" ht="12.75" customHeight="1">
      <c r="B3274" s="628" t="s">
        <v>607</v>
      </c>
      <c r="C3274" s="628"/>
      <c r="D3274" s="103" t="s">
        <v>579</v>
      </c>
      <c r="E3274" s="103" t="s">
        <v>580</v>
      </c>
      <c r="F3274" s="103" t="s">
        <v>581</v>
      </c>
      <c r="G3274" s="103" t="s">
        <v>582</v>
      </c>
      <c r="H3274" s="103" t="s">
        <v>583</v>
      </c>
    </row>
    <row r="3275" spans="1:8">
      <c r="B3275" s="130" t="s">
        <v>1256</v>
      </c>
      <c r="C3275" s="229" t="s">
        <v>608</v>
      </c>
      <c r="D3275" s="130" t="s">
        <v>119</v>
      </c>
      <c r="E3275" s="130" t="s">
        <v>121</v>
      </c>
      <c r="F3275" s="230">
        <v>0.3226</v>
      </c>
      <c r="G3275" s="494">
        <v>25</v>
      </c>
      <c r="H3275" s="494">
        <v>8.07</v>
      </c>
    </row>
    <row r="3276" spans="1:8">
      <c r="B3276" s="130" t="s">
        <v>1257</v>
      </c>
      <c r="C3276" s="229" t="s">
        <v>609</v>
      </c>
      <c r="D3276" s="130" t="s">
        <v>119</v>
      </c>
      <c r="E3276" s="130" t="s">
        <v>121</v>
      </c>
      <c r="F3276" s="230">
        <v>0.3226</v>
      </c>
      <c r="G3276" s="494">
        <v>31.72</v>
      </c>
      <c r="H3276" s="494">
        <v>10.23</v>
      </c>
    </row>
    <row r="3277" spans="1:8" ht="12.75" customHeight="1">
      <c r="B3277" s="105"/>
      <c r="C3277" s="105"/>
      <c r="D3277" s="105"/>
      <c r="E3277" s="105"/>
      <c r="F3277" s="629" t="s">
        <v>610</v>
      </c>
      <c r="G3277" s="629"/>
      <c r="H3277" s="495">
        <v>18.3</v>
      </c>
    </row>
    <row r="3278" spans="1:8" ht="12.75" customHeight="1">
      <c r="B3278" s="105"/>
      <c r="C3278" s="105"/>
      <c r="D3278" s="105"/>
      <c r="E3278" s="105"/>
      <c r="F3278" s="630" t="s">
        <v>464</v>
      </c>
      <c r="G3278" s="630"/>
      <c r="H3278" s="102">
        <v>34.85</v>
      </c>
    </row>
    <row r="3279" spans="1:8">
      <c r="B3279" s="105"/>
      <c r="C3279" s="105"/>
      <c r="D3279" s="105"/>
      <c r="E3279" s="105"/>
      <c r="F3279" s="634"/>
      <c r="G3279" s="634"/>
      <c r="H3279" s="634"/>
    </row>
    <row r="3280" spans="1:8" ht="30.75" customHeight="1">
      <c r="A3280" s="178" t="str">
        <f>'3 - PLAN. ORÇAMENTÁRIA'!A537</f>
        <v>6.1.2.9</v>
      </c>
      <c r="B3280" s="242">
        <f>VLOOKUP(A3280,'3 - PLAN. ORÇAMENTÁRIA'!$A$16:$B$721,2,FALSE)</f>
        <v>95789</v>
      </c>
      <c r="C3280" s="631" t="str">
        <f>VLOOKUP(A3280,'3 - PLAN. ORÇAMENTÁRIA'!$A$16:$C$721,3,FALSE)</f>
        <v>CONDULETE DE ALUMÍNIO, TIPO LR, PARA ELETRODUTO DE AÇO GALVANIZADO DN 25 MM (1''), APARENTE - FORNECIMENTO E INSTALAÇÃO. AF_10/2022</v>
      </c>
      <c r="D3280" s="632"/>
      <c r="E3280" s="632"/>
      <c r="F3280" s="632"/>
      <c r="G3280" s="633"/>
      <c r="H3280" s="437" t="str">
        <f>VLOOKUP(A3280,'3 - PLAN. ORÇAMENTÁRIA'!$A$17:$E$721,5,FALSE)</f>
        <v>UN</v>
      </c>
    </row>
    <row r="3281" spans="1:8">
      <c r="B3281" s="628" t="s">
        <v>593</v>
      </c>
      <c r="C3281" s="628"/>
      <c r="D3281" s="103" t="s">
        <v>579</v>
      </c>
      <c r="E3281" s="103" t="s">
        <v>580</v>
      </c>
      <c r="F3281" s="103" t="s">
        <v>581</v>
      </c>
      <c r="G3281" s="103" t="s">
        <v>582</v>
      </c>
      <c r="H3281" s="103" t="s">
        <v>583</v>
      </c>
    </row>
    <row r="3282" spans="1:8" ht="25.5">
      <c r="B3282" s="130" t="s">
        <v>2656</v>
      </c>
      <c r="C3282" s="229" t="s">
        <v>2657</v>
      </c>
      <c r="D3282" s="130" t="s">
        <v>119</v>
      </c>
      <c r="E3282" s="130" t="s">
        <v>144</v>
      </c>
      <c r="F3282" s="230">
        <v>2</v>
      </c>
      <c r="G3282" s="494">
        <v>0.39</v>
      </c>
      <c r="H3282" s="494">
        <v>0.78</v>
      </c>
    </row>
    <row r="3283" spans="1:8">
      <c r="B3283" s="130" t="s">
        <v>2733</v>
      </c>
      <c r="C3283" s="229" t="s">
        <v>2734</v>
      </c>
      <c r="D3283" s="130" t="s">
        <v>119</v>
      </c>
      <c r="E3283" s="130" t="s">
        <v>144</v>
      </c>
      <c r="F3283" s="230">
        <v>1</v>
      </c>
      <c r="G3283" s="494">
        <v>16.600000000000001</v>
      </c>
      <c r="H3283" s="494">
        <v>16.600000000000001</v>
      </c>
    </row>
    <row r="3284" spans="1:8">
      <c r="B3284" s="105"/>
      <c r="C3284" s="105"/>
      <c r="D3284" s="105"/>
      <c r="E3284" s="105"/>
      <c r="F3284" s="629" t="s">
        <v>604</v>
      </c>
      <c r="G3284" s="629"/>
      <c r="H3284" s="495">
        <v>17.38</v>
      </c>
    </row>
    <row r="3285" spans="1:8" ht="12.75" customHeight="1">
      <c r="B3285" s="628" t="s">
        <v>607</v>
      </c>
      <c r="C3285" s="628"/>
      <c r="D3285" s="103" t="s">
        <v>579</v>
      </c>
      <c r="E3285" s="103" t="s">
        <v>580</v>
      </c>
      <c r="F3285" s="103" t="s">
        <v>581</v>
      </c>
      <c r="G3285" s="103" t="s">
        <v>582</v>
      </c>
      <c r="H3285" s="103" t="s">
        <v>583</v>
      </c>
    </row>
    <row r="3286" spans="1:8">
      <c r="B3286" s="130" t="s">
        <v>1256</v>
      </c>
      <c r="C3286" s="229" t="s">
        <v>608</v>
      </c>
      <c r="D3286" s="130" t="s">
        <v>119</v>
      </c>
      <c r="E3286" s="130" t="s">
        <v>121</v>
      </c>
      <c r="F3286" s="230">
        <v>0.39019999999999999</v>
      </c>
      <c r="G3286" s="494">
        <v>25</v>
      </c>
      <c r="H3286" s="494">
        <v>9.76</v>
      </c>
    </row>
    <row r="3287" spans="1:8">
      <c r="B3287" s="130" t="s">
        <v>1257</v>
      </c>
      <c r="C3287" s="229" t="s">
        <v>609</v>
      </c>
      <c r="D3287" s="130" t="s">
        <v>119</v>
      </c>
      <c r="E3287" s="130" t="s">
        <v>121</v>
      </c>
      <c r="F3287" s="230">
        <v>0.39019999999999999</v>
      </c>
      <c r="G3287" s="494">
        <v>31.72</v>
      </c>
      <c r="H3287" s="494">
        <v>12.38</v>
      </c>
    </row>
    <row r="3288" spans="1:8" ht="12.75" customHeight="1">
      <c r="B3288" s="105"/>
      <c r="C3288" s="105"/>
      <c r="D3288" s="105"/>
      <c r="E3288" s="105"/>
      <c r="F3288" s="629" t="s">
        <v>610</v>
      </c>
      <c r="G3288" s="629"/>
      <c r="H3288" s="495">
        <v>22.14</v>
      </c>
    </row>
    <row r="3289" spans="1:8" ht="12.75" customHeight="1">
      <c r="B3289" s="105"/>
      <c r="C3289" s="105"/>
      <c r="D3289" s="105"/>
      <c r="E3289" s="105"/>
      <c r="F3289" s="630" t="s">
        <v>464</v>
      </c>
      <c r="G3289" s="630"/>
      <c r="H3289" s="102">
        <v>39.5</v>
      </c>
    </row>
    <row r="3290" spans="1:8">
      <c r="B3290" s="105"/>
      <c r="C3290" s="105"/>
      <c r="D3290" s="105"/>
      <c r="E3290" s="105"/>
      <c r="F3290" s="634"/>
      <c r="G3290" s="634"/>
      <c r="H3290" s="634"/>
    </row>
    <row r="3291" spans="1:8" ht="30.75" customHeight="1">
      <c r="A3291" s="178" t="str">
        <f>'3 - PLAN. ORÇAMENTÁRIA'!A538</f>
        <v>6.1.2.10</v>
      </c>
      <c r="B3291" s="242">
        <f>VLOOKUP(A3291,'3 - PLAN. ORÇAMENTÁRIA'!$A$16:$B$721,2,FALSE)</f>
        <v>95796</v>
      </c>
      <c r="C3291" s="631" t="str">
        <f>VLOOKUP(A3291,'3 - PLAN. ORÇAMENTÁRIA'!$A$16:$C$721,3,FALSE)</f>
        <v>CONDULETE DE ALUMÍNIO, TIPO T, PARA ELETRODUTO DE AÇO GALVANIZADO DN 25 MM (1''), APARENTE - FORNECIMENTO E INSTALAÇÃO. AF_10/2022</v>
      </c>
      <c r="D3291" s="632"/>
      <c r="E3291" s="632"/>
      <c r="F3291" s="632"/>
      <c r="G3291" s="633"/>
      <c r="H3291" s="437" t="str">
        <f>VLOOKUP(A3291,'3 - PLAN. ORÇAMENTÁRIA'!$A$17:$E$721,5,FALSE)</f>
        <v>UN</v>
      </c>
    </row>
    <row r="3292" spans="1:8">
      <c r="B3292" s="628" t="s">
        <v>593</v>
      </c>
      <c r="C3292" s="628"/>
      <c r="D3292" s="103" t="s">
        <v>579</v>
      </c>
      <c r="E3292" s="103" t="s">
        <v>580</v>
      </c>
      <c r="F3292" s="103" t="s">
        <v>581</v>
      </c>
      <c r="G3292" s="103" t="s">
        <v>582</v>
      </c>
      <c r="H3292" s="103" t="s">
        <v>583</v>
      </c>
    </row>
    <row r="3293" spans="1:8" ht="25.5">
      <c r="B3293" s="130" t="s">
        <v>2656</v>
      </c>
      <c r="C3293" s="229" t="s">
        <v>2657</v>
      </c>
      <c r="D3293" s="130" t="s">
        <v>119</v>
      </c>
      <c r="E3293" s="130" t="s">
        <v>144</v>
      </c>
      <c r="F3293" s="230">
        <v>2</v>
      </c>
      <c r="G3293" s="494">
        <v>0.39</v>
      </c>
      <c r="H3293" s="494">
        <v>0.78</v>
      </c>
    </row>
    <row r="3294" spans="1:8">
      <c r="B3294" s="130" t="s">
        <v>2735</v>
      </c>
      <c r="C3294" s="229" t="s">
        <v>2736</v>
      </c>
      <c r="D3294" s="130" t="s">
        <v>119</v>
      </c>
      <c r="E3294" s="130" t="s">
        <v>144</v>
      </c>
      <c r="F3294" s="230">
        <v>1</v>
      </c>
      <c r="G3294" s="494">
        <v>19.62</v>
      </c>
      <c r="H3294" s="494">
        <v>19.62</v>
      </c>
    </row>
    <row r="3295" spans="1:8">
      <c r="B3295" s="105"/>
      <c r="C3295" s="105"/>
      <c r="D3295" s="105"/>
      <c r="E3295" s="105"/>
      <c r="F3295" s="629" t="s">
        <v>604</v>
      </c>
      <c r="G3295" s="629"/>
      <c r="H3295" s="495">
        <v>20.399999999999999</v>
      </c>
    </row>
    <row r="3296" spans="1:8" ht="12.75" customHeight="1">
      <c r="B3296" s="628" t="s">
        <v>607</v>
      </c>
      <c r="C3296" s="628"/>
      <c r="D3296" s="103" t="s">
        <v>579</v>
      </c>
      <c r="E3296" s="103" t="s">
        <v>580</v>
      </c>
      <c r="F3296" s="103" t="s">
        <v>581</v>
      </c>
      <c r="G3296" s="103" t="s">
        <v>582</v>
      </c>
      <c r="H3296" s="103" t="s">
        <v>583</v>
      </c>
    </row>
    <row r="3297" spans="1:8">
      <c r="B3297" s="130" t="s">
        <v>1256</v>
      </c>
      <c r="C3297" s="229" t="s">
        <v>608</v>
      </c>
      <c r="D3297" s="130" t="s">
        <v>119</v>
      </c>
      <c r="E3297" s="130" t="s">
        <v>121</v>
      </c>
      <c r="F3297" s="230">
        <v>0.45779999999999998</v>
      </c>
      <c r="G3297" s="494">
        <v>25</v>
      </c>
      <c r="H3297" s="494">
        <v>11.45</v>
      </c>
    </row>
    <row r="3298" spans="1:8">
      <c r="B3298" s="130" t="s">
        <v>1257</v>
      </c>
      <c r="C3298" s="229" t="s">
        <v>609</v>
      </c>
      <c r="D3298" s="130" t="s">
        <v>119</v>
      </c>
      <c r="E3298" s="130" t="s">
        <v>121</v>
      </c>
      <c r="F3298" s="230">
        <v>0.45779999999999998</v>
      </c>
      <c r="G3298" s="494">
        <v>31.72</v>
      </c>
      <c r="H3298" s="494">
        <v>14.52</v>
      </c>
    </row>
    <row r="3299" spans="1:8" ht="12.75" customHeight="1">
      <c r="B3299" s="105"/>
      <c r="C3299" s="105"/>
      <c r="D3299" s="105"/>
      <c r="E3299" s="105"/>
      <c r="F3299" s="629" t="s">
        <v>610</v>
      </c>
      <c r="G3299" s="629"/>
      <c r="H3299" s="495">
        <v>25.97</v>
      </c>
    </row>
    <row r="3300" spans="1:8" ht="12.75" customHeight="1">
      <c r="B3300" s="105"/>
      <c r="C3300" s="105"/>
      <c r="D3300" s="105"/>
      <c r="E3300" s="105"/>
      <c r="F3300" s="630" t="s">
        <v>464</v>
      </c>
      <c r="G3300" s="630"/>
      <c r="H3300" s="102">
        <v>46.36</v>
      </c>
    </row>
    <row r="3301" spans="1:8">
      <c r="B3301" s="105"/>
      <c r="C3301" s="105"/>
      <c r="D3301" s="105"/>
      <c r="E3301" s="105"/>
      <c r="F3301" s="634"/>
      <c r="G3301" s="634"/>
      <c r="H3301" s="634"/>
    </row>
    <row r="3302" spans="1:8" ht="30.75" customHeight="1">
      <c r="A3302" s="178" t="str">
        <f>'3 - PLAN. ORÇAMENTÁRIA'!A543</f>
        <v>6.1.3.2</v>
      </c>
      <c r="B3302" s="242">
        <f>VLOOKUP(A3302,'3 - PLAN. ORÇAMENTÁRIA'!$A$16:$B$721,2,FALSE)</f>
        <v>93653</v>
      </c>
      <c r="C3302" s="631" t="str">
        <f>VLOOKUP(A3302,'3 - PLAN. ORÇAMENTÁRIA'!$A$16:$C$721,3,FALSE)</f>
        <v>DISJUNTOR MONOPOLAR TIPO DIN, CORRENTE NOMINAL DE 10A - FORNECIMENTO E INSTALAÇÃO. AF_10/2020</v>
      </c>
      <c r="D3302" s="632"/>
      <c r="E3302" s="632"/>
      <c r="F3302" s="632"/>
      <c r="G3302" s="633"/>
      <c r="H3302" s="432" t="str">
        <f>VLOOKUP(A3302,'3 - PLAN. ORÇAMENTÁRIA'!$A$17:$E$721,5,FALSE)</f>
        <v>UN</v>
      </c>
    </row>
    <row r="3303" spans="1:8">
      <c r="B3303" s="628" t="s">
        <v>593</v>
      </c>
      <c r="C3303" s="628"/>
      <c r="D3303" s="103" t="s">
        <v>579</v>
      </c>
      <c r="E3303" s="103" t="s">
        <v>580</v>
      </c>
      <c r="F3303" s="103" t="s">
        <v>581</v>
      </c>
      <c r="G3303" s="103" t="s">
        <v>582</v>
      </c>
      <c r="H3303" s="103" t="s">
        <v>583</v>
      </c>
    </row>
    <row r="3304" spans="1:8">
      <c r="B3304" s="130" t="s">
        <v>1714</v>
      </c>
      <c r="C3304" s="229" t="s">
        <v>1715</v>
      </c>
      <c r="D3304" s="130" t="s">
        <v>119</v>
      </c>
      <c r="E3304" s="130" t="s">
        <v>144</v>
      </c>
      <c r="F3304" s="230">
        <v>1</v>
      </c>
      <c r="G3304" s="494">
        <v>13.05</v>
      </c>
      <c r="H3304" s="494">
        <v>13.05</v>
      </c>
    </row>
    <row r="3305" spans="1:8" ht="25.5">
      <c r="B3305" s="130" t="s">
        <v>1716</v>
      </c>
      <c r="C3305" s="229" t="s">
        <v>1717</v>
      </c>
      <c r="D3305" s="130" t="s">
        <v>119</v>
      </c>
      <c r="E3305" s="130" t="s">
        <v>144</v>
      </c>
      <c r="F3305" s="230">
        <v>1</v>
      </c>
      <c r="G3305" s="494">
        <v>1.04</v>
      </c>
      <c r="H3305" s="494">
        <v>1.04</v>
      </c>
    </row>
    <row r="3306" spans="1:8">
      <c r="B3306" s="105"/>
      <c r="C3306" s="105"/>
      <c r="D3306" s="105"/>
      <c r="E3306" s="105"/>
      <c r="F3306" s="629" t="s">
        <v>604</v>
      </c>
      <c r="G3306" s="629"/>
      <c r="H3306" s="495">
        <v>14.09</v>
      </c>
    </row>
    <row r="3307" spans="1:8" ht="12.75" customHeight="1">
      <c r="B3307" s="628" t="s">
        <v>607</v>
      </c>
      <c r="C3307" s="628"/>
      <c r="D3307" s="103" t="s">
        <v>579</v>
      </c>
      <c r="E3307" s="103" t="s">
        <v>580</v>
      </c>
      <c r="F3307" s="103" t="s">
        <v>581</v>
      </c>
      <c r="G3307" s="103" t="s">
        <v>582</v>
      </c>
      <c r="H3307" s="103" t="s">
        <v>583</v>
      </c>
    </row>
    <row r="3308" spans="1:8">
      <c r="B3308" s="130" t="s">
        <v>1256</v>
      </c>
      <c r="C3308" s="229" t="s">
        <v>608</v>
      </c>
      <c r="D3308" s="130" t="s">
        <v>119</v>
      </c>
      <c r="E3308" s="130" t="s">
        <v>121</v>
      </c>
      <c r="F3308" s="230">
        <v>3.5200000000000002E-2</v>
      </c>
      <c r="G3308" s="494">
        <v>25</v>
      </c>
      <c r="H3308" s="494">
        <v>0.88</v>
      </c>
    </row>
    <row r="3309" spans="1:8">
      <c r="B3309" s="130" t="s">
        <v>1257</v>
      </c>
      <c r="C3309" s="229" t="s">
        <v>609</v>
      </c>
      <c r="D3309" s="130" t="s">
        <v>119</v>
      </c>
      <c r="E3309" s="130" t="s">
        <v>121</v>
      </c>
      <c r="F3309" s="230">
        <v>3.5200000000000002E-2</v>
      </c>
      <c r="G3309" s="494">
        <v>31.72</v>
      </c>
      <c r="H3309" s="494">
        <v>1.1200000000000001</v>
      </c>
    </row>
    <row r="3310" spans="1:8" ht="12.75" customHeight="1">
      <c r="B3310" s="105"/>
      <c r="C3310" s="105"/>
      <c r="D3310" s="105"/>
      <c r="E3310" s="105"/>
      <c r="F3310" s="629" t="s">
        <v>610</v>
      </c>
      <c r="G3310" s="629"/>
      <c r="H3310" s="495">
        <v>2</v>
      </c>
    </row>
    <row r="3311" spans="1:8" ht="12.75" customHeight="1">
      <c r="B3311" s="105"/>
      <c r="C3311" s="105"/>
      <c r="D3311" s="105"/>
      <c r="E3311" s="105"/>
      <c r="F3311" s="630" t="s">
        <v>464</v>
      </c>
      <c r="G3311" s="630"/>
      <c r="H3311" s="102">
        <v>16.079999999999998</v>
      </c>
    </row>
    <row r="3312" spans="1:8">
      <c r="B3312" s="105"/>
      <c r="C3312" s="105"/>
      <c r="D3312" s="105"/>
      <c r="E3312" s="105"/>
      <c r="F3312" s="634"/>
      <c r="G3312" s="634"/>
      <c r="H3312" s="634"/>
    </row>
    <row r="3313" spans="1:8" ht="30.75" customHeight="1">
      <c r="A3313" s="178" t="str">
        <f>'3 - PLAN. ORÇAMENTÁRIA'!A544</f>
        <v>6.1.3.3</v>
      </c>
      <c r="B3313" s="242">
        <f>VLOOKUP(A3313,'3 - PLAN. ORÇAMENTÁRIA'!$A$16:$B$721,2,FALSE)</f>
        <v>93654</v>
      </c>
      <c r="C3313" s="631" t="str">
        <f>VLOOKUP(A3313,'3 - PLAN. ORÇAMENTÁRIA'!$A$16:$C$721,3,FALSE)</f>
        <v>DISJUNTOR MONOPOLAR TIPO DIN, CORRENTE NOMINAL DE 16A - FORNECIMENTO E INSTALAÇÃO. AF_10/2020</v>
      </c>
      <c r="D3313" s="632"/>
      <c r="E3313" s="632"/>
      <c r="F3313" s="632"/>
      <c r="G3313" s="633"/>
      <c r="H3313" s="493" t="str">
        <f>VLOOKUP(A3313,'3 - PLAN. ORÇAMENTÁRIA'!$A$17:$E$721,5,FALSE)</f>
        <v>UN</v>
      </c>
    </row>
    <row r="3314" spans="1:8">
      <c r="B3314" s="628" t="s">
        <v>593</v>
      </c>
      <c r="C3314" s="628"/>
      <c r="D3314" s="103" t="s">
        <v>579</v>
      </c>
      <c r="E3314" s="103" t="s">
        <v>580</v>
      </c>
      <c r="F3314" s="103" t="s">
        <v>581</v>
      </c>
      <c r="G3314" s="103" t="s">
        <v>582</v>
      </c>
      <c r="H3314" s="103" t="s">
        <v>583</v>
      </c>
    </row>
    <row r="3315" spans="1:8">
      <c r="B3315" s="130" t="s">
        <v>1714</v>
      </c>
      <c r="C3315" s="229" t="s">
        <v>1715</v>
      </c>
      <c r="D3315" s="130" t="s">
        <v>119</v>
      </c>
      <c r="E3315" s="130" t="s">
        <v>144</v>
      </c>
      <c r="F3315" s="230">
        <v>1</v>
      </c>
      <c r="G3315" s="494">
        <v>13.05</v>
      </c>
      <c r="H3315" s="494">
        <v>13.05</v>
      </c>
    </row>
    <row r="3316" spans="1:8" ht="25.5">
      <c r="B3316" s="130" t="s">
        <v>1716</v>
      </c>
      <c r="C3316" s="229" t="s">
        <v>1717</v>
      </c>
      <c r="D3316" s="130" t="s">
        <v>119</v>
      </c>
      <c r="E3316" s="130" t="s">
        <v>144</v>
      </c>
      <c r="F3316" s="230">
        <v>1</v>
      </c>
      <c r="G3316" s="494">
        <v>1.04</v>
      </c>
      <c r="H3316" s="494">
        <v>1.04</v>
      </c>
    </row>
    <row r="3317" spans="1:8">
      <c r="B3317" s="105"/>
      <c r="C3317" s="105"/>
      <c r="D3317" s="105"/>
      <c r="E3317" s="105"/>
      <c r="F3317" s="629" t="s">
        <v>604</v>
      </c>
      <c r="G3317" s="629"/>
      <c r="H3317" s="495">
        <v>14.09</v>
      </c>
    </row>
    <row r="3318" spans="1:8" ht="12.75" customHeight="1">
      <c r="B3318" s="628" t="s">
        <v>607</v>
      </c>
      <c r="C3318" s="628"/>
      <c r="D3318" s="103" t="s">
        <v>579</v>
      </c>
      <c r="E3318" s="103" t="s">
        <v>580</v>
      </c>
      <c r="F3318" s="103" t="s">
        <v>581</v>
      </c>
      <c r="G3318" s="103" t="s">
        <v>582</v>
      </c>
      <c r="H3318" s="103" t="s">
        <v>583</v>
      </c>
    </row>
    <row r="3319" spans="1:8">
      <c r="B3319" s="130" t="s">
        <v>1256</v>
      </c>
      <c r="C3319" s="229" t="s">
        <v>608</v>
      </c>
      <c r="D3319" s="130" t="s">
        <v>119</v>
      </c>
      <c r="E3319" s="130" t="s">
        <v>121</v>
      </c>
      <c r="F3319" s="230">
        <v>4.7600000000000003E-2</v>
      </c>
      <c r="G3319" s="494">
        <v>25</v>
      </c>
      <c r="H3319" s="494">
        <v>1.19</v>
      </c>
    </row>
    <row r="3320" spans="1:8">
      <c r="B3320" s="130" t="s">
        <v>1257</v>
      </c>
      <c r="C3320" s="229" t="s">
        <v>609</v>
      </c>
      <c r="D3320" s="130" t="s">
        <v>119</v>
      </c>
      <c r="E3320" s="130" t="s">
        <v>121</v>
      </c>
      <c r="F3320" s="230">
        <v>4.7600000000000003E-2</v>
      </c>
      <c r="G3320" s="494">
        <v>31.72</v>
      </c>
      <c r="H3320" s="494">
        <v>1.51</v>
      </c>
    </row>
    <row r="3321" spans="1:8" ht="12.75" customHeight="1">
      <c r="B3321" s="105"/>
      <c r="C3321" s="105"/>
      <c r="D3321" s="105"/>
      <c r="E3321" s="105"/>
      <c r="F3321" s="629" t="s">
        <v>610</v>
      </c>
      <c r="G3321" s="629"/>
      <c r="H3321" s="495">
        <v>2.7</v>
      </c>
    </row>
    <row r="3322" spans="1:8" ht="12.75" customHeight="1">
      <c r="B3322" s="105"/>
      <c r="C3322" s="105"/>
      <c r="D3322" s="105"/>
      <c r="E3322" s="105"/>
      <c r="F3322" s="630" t="s">
        <v>464</v>
      </c>
      <c r="G3322" s="630"/>
      <c r="H3322" s="102">
        <v>16.78</v>
      </c>
    </row>
    <row r="3323" spans="1:8">
      <c r="B3323" s="105"/>
      <c r="C3323" s="105"/>
      <c r="D3323" s="105"/>
      <c r="E3323" s="105"/>
      <c r="F3323" s="634"/>
      <c r="G3323" s="634"/>
      <c r="H3323" s="634"/>
    </row>
    <row r="3324" spans="1:8" ht="30.75" customHeight="1">
      <c r="A3324" s="178" t="str">
        <f>'3 - PLAN. ORÇAMENTÁRIA'!A545</f>
        <v>6.1.3.4</v>
      </c>
      <c r="B3324" s="242">
        <f>VLOOKUP(A3324,'3 - PLAN. ORÇAMENTÁRIA'!$A$16:$B$721,2,FALSE)</f>
        <v>93655</v>
      </c>
      <c r="C3324" s="631" t="str">
        <f>VLOOKUP(A3324,'3 - PLAN. ORÇAMENTÁRIA'!$A$16:$C$721,3,FALSE)</f>
        <v>DISJUNTOR MONOPOLAR TIPO DIN, CORRENTE NOMINAL DE 20A - FORNECIMENTO E INSTALAÇÃO. AF_10/2020</v>
      </c>
      <c r="D3324" s="632"/>
      <c r="E3324" s="632"/>
      <c r="F3324" s="632"/>
      <c r="G3324" s="633"/>
      <c r="H3324" s="493" t="str">
        <f>VLOOKUP(A3324,'3 - PLAN. ORÇAMENTÁRIA'!$A$17:$E$721,5,FALSE)</f>
        <v>UN</v>
      </c>
    </row>
    <row r="3325" spans="1:8">
      <c r="B3325" s="628" t="s">
        <v>593</v>
      </c>
      <c r="C3325" s="628"/>
      <c r="D3325" s="103" t="s">
        <v>579</v>
      </c>
      <c r="E3325" s="103" t="s">
        <v>580</v>
      </c>
      <c r="F3325" s="103" t="s">
        <v>581</v>
      </c>
      <c r="G3325" s="103" t="s">
        <v>582</v>
      </c>
      <c r="H3325" s="103" t="s">
        <v>583</v>
      </c>
    </row>
    <row r="3326" spans="1:8">
      <c r="B3326" s="130" t="s">
        <v>1714</v>
      </c>
      <c r="C3326" s="229" t="s">
        <v>1715</v>
      </c>
      <c r="D3326" s="130" t="s">
        <v>119</v>
      </c>
      <c r="E3326" s="130" t="s">
        <v>144</v>
      </c>
      <c r="F3326" s="230">
        <v>1</v>
      </c>
      <c r="G3326" s="494">
        <v>13.05</v>
      </c>
      <c r="H3326" s="494">
        <v>13.05</v>
      </c>
    </row>
    <row r="3327" spans="1:8" ht="25.5">
      <c r="B3327" s="130" t="s">
        <v>1718</v>
      </c>
      <c r="C3327" s="229" t="s">
        <v>1719</v>
      </c>
      <c r="D3327" s="130" t="s">
        <v>119</v>
      </c>
      <c r="E3327" s="130" t="s">
        <v>144</v>
      </c>
      <c r="F3327" s="230">
        <v>1</v>
      </c>
      <c r="G3327" s="494">
        <v>1.36</v>
      </c>
      <c r="H3327" s="494">
        <v>1.36</v>
      </c>
    </row>
    <row r="3328" spans="1:8">
      <c r="B3328" s="105"/>
      <c r="C3328" s="105"/>
      <c r="D3328" s="105"/>
      <c r="E3328" s="105"/>
      <c r="F3328" s="629" t="s">
        <v>604</v>
      </c>
      <c r="G3328" s="629"/>
      <c r="H3328" s="495">
        <v>14.41</v>
      </c>
    </row>
    <row r="3329" spans="1:8" ht="12.75" customHeight="1">
      <c r="B3329" s="628" t="s">
        <v>607</v>
      </c>
      <c r="C3329" s="628"/>
      <c r="D3329" s="103" t="s">
        <v>579</v>
      </c>
      <c r="E3329" s="103" t="s">
        <v>580</v>
      </c>
      <c r="F3329" s="103" t="s">
        <v>581</v>
      </c>
      <c r="G3329" s="103" t="s">
        <v>582</v>
      </c>
      <c r="H3329" s="103" t="s">
        <v>583</v>
      </c>
    </row>
    <row r="3330" spans="1:8">
      <c r="B3330" s="130" t="s">
        <v>1256</v>
      </c>
      <c r="C3330" s="229" t="s">
        <v>608</v>
      </c>
      <c r="D3330" s="130" t="s">
        <v>119</v>
      </c>
      <c r="E3330" s="130" t="s">
        <v>121</v>
      </c>
      <c r="F3330" s="230">
        <v>6.6299999999999998E-2</v>
      </c>
      <c r="G3330" s="494">
        <v>25</v>
      </c>
      <c r="H3330" s="494">
        <v>1.66</v>
      </c>
    </row>
    <row r="3331" spans="1:8">
      <c r="B3331" s="130" t="s">
        <v>1257</v>
      </c>
      <c r="C3331" s="229" t="s">
        <v>609</v>
      </c>
      <c r="D3331" s="130" t="s">
        <v>119</v>
      </c>
      <c r="E3331" s="130" t="s">
        <v>121</v>
      </c>
      <c r="F3331" s="230">
        <v>6.6299999999999998E-2</v>
      </c>
      <c r="G3331" s="494">
        <v>31.72</v>
      </c>
      <c r="H3331" s="494">
        <v>2.1</v>
      </c>
    </row>
    <row r="3332" spans="1:8" ht="12.75" customHeight="1">
      <c r="B3332" s="105"/>
      <c r="C3332" s="105"/>
      <c r="D3332" s="105"/>
      <c r="E3332" s="105"/>
      <c r="F3332" s="629" t="s">
        <v>610</v>
      </c>
      <c r="G3332" s="629"/>
      <c r="H3332" s="495">
        <v>3.76</v>
      </c>
    </row>
    <row r="3333" spans="1:8" ht="12.75" customHeight="1">
      <c r="B3333" s="105"/>
      <c r="C3333" s="105"/>
      <c r="D3333" s="105"/>
      <c r="E3333" s="105"/>
      <c r="F3333" s="630" t="s">
        <v>464</v>
      </c>
      <c r="G3333" s="630"/>
      <c r="H3333" s="102">
        <v>18.16</v>
      </c>
    </row>
    <row r="3334" spans="1:8">
      <c r="B3334" s="105"/>
      <c r="C3334" s="105"/>
      <c r="D3334" s="105"/>
      <c r="E3334" s="105"/>
      <c r="F3334" s="634"/>
      <c r="G3334" s="634"/>
      <c r="H3334" s="634"/>
    </row>
    <row r="3335" spans="1:8" ht="30.75" customHeight="1">
      <c r="A3335" s="178" t="str">
        <f>'3 - PLAN. ORÇAMENTÁRIA'!A546</f>
        <v>6.1.3.5</v>
      </c>
      <c r="B3335" s="242">
        <f>VLOOKUP(A3335,'3 - PLAN. ORÇAMENTÁRIA'!$A$16:$B$721,2,FALSE)</f>
        <v>93656</v>
      </c>
      <c r="C3335" s="631" t="str">
        <f>VLOOKUP(A3335,'3 - PLAN. ORÇAMENTÁRIA'!$A$16:$C$721,3,FALSE)</f>
        <v>DISJUNTOR MONOPOLAR TIPO DIN, CORRENTE NOMINAL DE 25A - FORNECIMENTO E INSTALAÇÃO. AF_10/2020</v>
      </c>
      <c r="D3335" s="632"/>
      <c r="E3335" s="632"/>
      <c r="F3335" s="632"/>
      <c r="G3335" s="633"/>
      <c r="H3335" s="493" t="str">
        <f>VLOOKUP(A3335,'3 - PLAN. ORÇAMENTÁRIA'!$A$17:$E$721,5,FALSE)</f>
        <v>UN</v>
      </c>
    </row>
    <row r="3336" spans="1:8">
      <c r="B3336" s="628" t="s">
        <v>593</v>
      </c>
      <c r="C3336" s="628"/>
      <c r="D3336" s="103" t="s">
        <v>579</v>
      </c>
      <c r="E3336" s="103" t="s">
        <v>580</v>
      </c>
      <c r="F3336" s="103" t="s">
        <v>581</v>
      </c>
      <c r="G3336" s="103" t="s">
        <v>582</v>
      </c>
      <c r="H3336" s="103" t="s">
        <v>583</v>
      </c>
    </row>
    <row r="3337" spans="1:8">
      <c r="B3337" s="130" t="s">
        <v>1714</v>
      </c>
      <c r="C3337" s="229" t="s">
        <v>1715</v>
      </c>
      <c r="D3337" s="130" t="s">
        <v>119</v>
      </c>
      <c r="E3337" s="130" t="s">
        <v>144</v>
      </c>
      <c r="F3337" s="230">
        <v>1</v>
      </c>
      <c r="G3337" s="494">
        <v>13.05</v>
      </c>
      <c r="H3337" s="494">
        <v>13.05</v>
      </c>
    </row>
    <row r="3338" spans="1:8" ht="25.5">
      <c r="B3338" s="130" t="s">
        <v>1718</v>
      </c>
      <c r="C3338" s="229" t="s">
        <v>1719</v>
      </c>
      <c r="D3338" s="130" t="s">
        <v>119</v>
      </c>
      <c r="E3338" s="130" t="s">
        <v>144</v>
      </c>
      <c r="F3338" s="230">
        <v>1</v>
      </c>
      <c r="G3338" s="494">
        <v>1.36</v>
      </c>
      <c r="H3338" s="494">
        <v>1.36</v>
      </c>
    </row>
    <row r="3339" spans="1:8">
      <c r="B3339" s="105"/>
      <c r="C3339" s="105"/>
      <c r="D3339" s="105"/>
      <c r="E3339" s="105"/>
      <c r="F3339" s="629" t="s">
        <v>604</v>
      </c>
      <c r="G3339" s="629"/>
      <c r="H3339" s="495">
        <v>14.41</v>
      </c>
    </row>
    <row r="3340" spans="1:8" ht="12.75" customHeight="1">
      <c r="B3340" s="628" t="s">
        <v>607</v>
      </c>
      <c r="C3340" s="628"/>
      <c r="D3340" s="103" t="s">
        <v>579</v>
      </c>
      <c r="E3340" s="103" t="s">
        <v>580</v>
      </c>
      <c r="F3340" s="103" t="s">
        <v>581</v>
      </c>
      <c r="G3340" s="103" t="s">
        <v>582</v>
      </c>
      <c r="H3340" s="103" t="s">
        <v>583</v>
      </c>
    </row>
    <row r="3341" spans="1:8">
      <c r="B3341" s="130" t="s">
        <v>1256</v>
      </c>
      <c r="C3341" s="229" t="s">
        <v>608</v>
      </c>
      <c r="D3341" s="130" t="s">
        <v>119</v>
      </c>
      <c r="E3341" s="130" t="s">
        <v>121</v>
      </c>
      <c r="F3341" s="230">
        <v>6.6299999999999998E-2</v>
      </c>
      <c r="G3341" s="494">
        <v>25</v>
      </c>
      <c r="H3341" s="494">
        <v>1.66</v>
      </c>
    </row>
    <row r="3342" spans="1:8">
      <c r="B3342" s="130" t="s">
        <v>1257</v>
      </c>
      <c r="C3342" s="229" t="s">
        <v>609</v>
      </c>
      <c r="D3342" s="130" t="s">
        <v>119</v>
      </c>
      <c r="E3342" s="130" t="s">
        <v>121</v>
      </c>
      <c r="F3342" s="230">
        <v>6.6299999999999998E-2</v>
      </c>
      <c r="G3342" s="494">
        <v>31.72</v>
      </c>
      <c r="H3342" s="494">
        <v>2.1</v>
      </c>
    </row>
    <row r="3343" spans="1:8" ht="12.75" customHeight="1">
      <c r="B3343" s="105"/>
      <c r="C3343" s="105"/>
      <c r="D3343" s="105"/>
      <c r="E3343" s="105"/>
      <c r="F3343" s="629" t="s">
        <v>610</v>
      </c>
      <c r="G3343" s="629"/>
      <c r="H3343" s="495">
        <v>3.76</v>
      </c>
    </row>
    <row r="3344" spans="1:8" ht="12.75" customHeight="1">
      <c r="B3344" s="105"/>
      <c r="C3344" s="105"/>
      <c r="D3344" s="105"/>
      <c r="E3344" s="105"/>
      <c r="F3344" s="630" t="s">
        <v>464</v>
      </c>
      <c r="G3344" s="630"/>
      <c r="H3344" s="102">
        <v>18.16</v>
      </c>
    </row>
    <row r="3345" spans="1:8">
      <c r="B3345" s="105"/>
      <c r="C3345" s="105"/>
      <c r="D3345" s="105"/>
      <c r="E3345" s="105"/>
      <c r="F3345" s="634"/>
      <c r="G3345" s="634"/>
      <c r="H3345" s="634"/>
    </row>
    <row r="3346" spans="1:8" ht="30.75" customHeight="1">
      <c r="A3346" s="178" t="str">
        <f>'3 - PLAN. ORÇAMENTÁRIA'!A547</f>
        <v>6.1.3.6</v>
      </c>
      <c r="B3346" s="242">
        <f>VLOOKUP(A3346,'3 - PLAN. ORÇAMENTÁRIA'!$A$16:$B$721,2,FALSE)</f>
        <v>93657</v>
      </c>
      <c r="C3346" s="631" t="str">
        <f>VLOOKUP(A3346,'3 - PLAN. ORÇAMENTÁRIA'!$A$16:$C$721,3,FALSE)</f>
        <v>DISJUNTOR MONOPOLAR TIPO DIN, CORRENTE NOMINAL DE 32A - FORNECIMENTO E INSTALAÇÃO. AF_10/2020</v>
      </c>
      <c r="D3346" s="632"/>
      <c r="E3346" s="632"/>
      <c r="F3346" s="632"/>
      <c r="G3346" s="633"/>
      <c r="H3346" s="493" t="str">
        <f>VLOOKUP(A3346,'3 - PLAN. ORÇAMENTÁRIA'!$A$17:$E$721,5,FALSE)</f>
        <v>UN</v>
      </c>
    </row>
    <row r="3347" spans="1:8">
      <c r="B3347" s="628" t="s">
        <v>593</v>
      </c>
      <c r="C3347" s="628"/>
      <c r="D3347" s="103" t="s">
        <v>579</v>
      </c>
      <c r="E3347" s="103" t="s">
        <v>580</v>
      </c>
      <c r="F3347" s="103" t="s">
        <v>581</v>
      </c>
      <c r="G3347" s="103" t="s">
        <v>582</v>
      </c>
      <c r="H3347" s="103" t="s">
        <v>583</v>
      </c>
    </row>
    <row r="3348" spans="1:8">
      <c r="B3348" s="130" t="s">
        <v>1714</v>
      </c>
      <c r="C3348" s="229" t="s">
        <v>1715</v>
      </c>
      <c r="D3348" s="130" t="s">
        <v>119</v>
      </c>
      <c r="E3348" s="130" t="s">
        <v>144</v>
      </c>
      <c r="F3348" s="230">
        <v>1</v>
      </c>
      <c r="G3348" s="494">
        <v>13.05</v>
      </c>
      <c r="H3348" s="494">
        <v>13.05</v>
      </c>
    </row>
    <row r="3349" spans="1:8" ht="25.5">
      <c r="B3349" s="130" t="s">
        <v>1722</v>
      </c>
      <c r="C3349" s="229" t="s">
        <v>1723</v>
      </c>
      <c r="D3349" s="130" t="s">
        <v>119</v>
      </c>
      <c r="E3349" s="130" t="s">
        <v>144</v>
      </c>
      <c r="F3349" s="230">
        <v>1</v>
      </c>
      <c r="G3349" s="494">
        <v>1.62</v>
      </c>
      <c r="H3349" s="494">
        <v>1.62</v>
      </c>
    </row>
    <row r="3350" spans="1:8">
      <c r="B3350" s="105"/>
      <c r="C3350" s="105"/>
      <c r="D3350" s="105"/>
      <c r="E3350" s="105"/>
      <c r="F3350" s="629" t="s">
        <v>604</v>
      </c>
      <c r="G3350" s="629"/>
      <c r="H3350" s="495">
        <v>14.67</v>
      </c>
    </row>
    <row r="3351" spans="1:8" ht="12.75" customHeight="1">
      <c r="B3351" s="628" t="s">
        <v>607</v>
      </c>
      <c r="C3351" s="628"/>
      <c r="D3351" s="103" t="s">
        <v>579</v>
      </c>
      <c r="E3351" s="103" t="s">
        <v>580</v>
      </c>
      <c r="F3351" s="103" t="s">
        <v>581</v>
      </c>
      <c r="G3351" s="103" t="s">
        <v>582</v>
      </c>
      <c r="H3351" s="103" t="s">
        <v>583</v>
      </c>
    </row>
    <row r="3352" spans="1:8">
      <c r="B3352" s="130" t="s">
        <v>1256</v>
      </c>
      <c r="C3352" s="229" t="s">
        <v>608</v>
      </c>
      <c r="D3352" s="130" t="s">
        <v>119</v>
      </c>
      <c r="E3352" s="130" t="s">
        <v>121</v>
      </c>
      <c r="F3352" s="230">
        <v>9.11E-2</v>
      </c>
      <c r="G3352" s="494">
        <v>25</v>
      </c>
      <c r="H3352" s="494">
        <v>2.2799999999999998</v>
      </c>
    </row>
    <row r="3353" spans="1:8">
      <c r="B3353" s="130" t="s">
        <v>1257</v>
      </c>
      <c r="C3353" s="229" t="s">
        <v>609</v>
      </c>
      <c r="D3353" s="130" t="s">
        <v>119</v>
      </c>
      <c r="E3353" s="130" t="s">
        <v>121</v>
      </c>
      <c r="F3353" s="230">
        <v>9.11E-2</v>
      </c>
      <c r="G3353" s="494">
        <v>31.72</v>
      </c>
      <c r="H3353" s="494">
        <v>2.89</v>
      </c>
    </row>
    <row r="3354" spans="1:8" ht="12.75" customHeight="1">
      <c r="B3354" s="105"/>
      <c r="C3354" s="105"/>
      <c r="D3354" s="105"/>
      <c r="E3354" s="105"/>
      <c r="F3354" s="629" t="s">
        <v>610</v>
      </c>
      <c r="G3354" s="629"/>
      <c r="H3354" s="495">
        <v>5.17</v>
      </c>
    </row>
    <row r="3355" spans="1:8" ht="12.75" customHeight="1">
      <c r="B3355" s="105"/>
      <c r="C3355" s="105"/>
      <c r="D3355" s="105"/>
      <c r="E3355" s="105"/>
      <c r="F3355" s="630" t="s">
        <v>464</v>
      </c>
      <c r="G3355" s="630"/>
      <c r="H3355" s="102">
        <v>19.82</v>
      </c>
    </row>
    <row r="3356" spans="1:8">
      <c r="B3356" s="105"/>
      <c r="C3356" s="105"/>
      <c r="D3356" s="105"/>
      <c r="E3356" s="105"/>
      <c r="F3356" s="634"/>
      <c r="G3356" s="634"/>
      <c r="H3356" s="634"/>
    </row>
    <row r="3357" spans="1:8" ht="30.75" customHeight="1">
      <c r="A3357" s="178" t="str">
        <f>'3 - PLAN. ORÇAMENTÁRIA'!A548</f>
        <v>6.1.3.7</v>
      </c>
      <c r="B3357" s="242">
        <f>VLOOKUP(A3357,'3 - PLAN. ORÇAMENTÁRIA'!$A$16:$B$721,2,FALSE)</f>
        <v>93664</v>
      </c>
      <c r="C3357" s="631" t="str">
        <f>VLOOKUP(A3357,'3 - PLAN. ORÇAMENTÁRIA'!$A$16:$C$721,3,FALSE)</f>
        <v>DISJUNTOR BIPOLAR TIPO DIN, CORRENTE NOMINAL DE 32A - FORNECIMENTO E INSTALAÇÃO. AF_10/2020</v>
      </c>
      <c r="D3357" s="632"/>
      <c r="E3357" s="632"/>
      <c r="F3357" s="632"/>
      <c r="G3357" s="633"/>
      <c r="H3357" s="493" t="str">
        <f>VLOOKUP(A3357,'3 - PLAN. ORÇAMENTÁRIA'!$A$17:$E$721,5,FALSE)</f>
        <v>UN</v>
      </c>
    </row>
    <row r="3358" spans="1:8">
      <c r="B3358" s="628" t="s">
        <v>593</v>
      </c>
      <c r="C3358" s="628"/>
      <c r="D3358" s="103" t="s">
        <v>579</v>
      </c>
      <c r="E3358" s="103" t="s">
        <v>580</v>
      </c>
      <c r="F3358" s="103" t="s">
        <v>581</v>
      </c>
      <c r="G3358" s="103" t="s">
        <v>582</v>
      </c>
      <c r="H3358" s="103" t="s">
        <v>583</v>
      </c>
    </row>
    <row r="3359" spans="1:8">
      <c r="B3359" s="130" t="s">
        <v>1720</v>
      </c>
      <c r="C3359" s="229" t="s">
        <v>1721</v>
      </c>
      <c r="D3359" s="130" t="s">
        <v>119</v>
      </c>
      <c r="E3359" s="130" t="s">
        <v>144</v>
      </c>
      <c r="F3359" s="230">
        <v>1</v>
      </c>
      <c r="G3359" s="494">
        <v>74.8</v>
      </c>
      <c r="H3359" s="494">
        <v>74.8</v>
      </c>
    </row>
    <row r="3360" spans="1:8" ht="25.5">
      <c r="B3360" s="130" t="s">
        <v>1722</v>
      </c>
      <c r="C3360" s="229" t="s">
        <v>1723</v>
      </c>
      <c r="D3360" s="130" t="s">
        <v>119</v>
      </c>
      <c r="E3360" s="130" t="s">
        <v>144</v>
      </c>
      <c r="F3360" s="230">
        <v>2</v>
      </c>
      <c r="G3360" s="494">
        <v>1.62</v>
      </c>
      <c r="H3360" s="494">
        <v>3.24</v>
      </c>
    </row>
    <row r="3361" spans="1:8">
      <c r="B3361" s="105"/>
      <c r="C3361" s="105"/>
      <c r="D3361" s="105"/>
      <c r="E3361" s="105"/>
      <c r="F3361" s="629" t="s">
        <v>604</v>
      </c>
      <c r="G3361" s="629"/>
      <c r="H3361" s="495">
        <v>78.040000000000006</v>
      </c>
    </row>
    <row r="3362" spans="1:8" ht="12.75" customHeight="1">
      <c r="B3362" s="628" t="s">
        <v>607</v>
      </c>
      <c r="C3362" s="628"/>
      <c r="D3362" s="103" t="s">
        <v>579</v>
      </c>
      <c r="E3362" s="103" t="s">
        <v>580</v>
      </c>
      <c r="F3362" s="103" t="s">
        <v>581</v>
      </c>
      <c r="G3362" s="103" t="s">
        <v>582</v>
      </c>
      <c r="H3362" s="103" t="s">
        <v>583</v>
      </c>
    </row>
    <row r="3363" spans="1:8">
      <c r="B3363" s="130" t="s">
        <v>1256</v>
      </c>
      <c r="C3363" s="229" t="s">
        <v>608</v>
      </c>
      <c r="D3363" s="130" t="s">
        <v>119</v>
      </c>
      <c r="E3363" s="130" t="s">
        <v>121</v>
      </c>
      <c r="F3363" s="230">
        <v>0.18229999999999999</v>
      </c>
      <c r="G3363" s="494">
        <v>25</v>
      </c>
      <c r="H3363" s="494">
        <v>4.5599999999999996</v>
      </c>
    </row>
    <row r="3364" spans="1:8">
      <c r="B3364" s="130" t="s">
        <v>1257</v>
      </c>
      <c r="C3364" s="229" t="s">
        <v>609</v>
      </c>
      <c r="D3364" s="130" t="s">
        <v>119</v>
      </c>
      <c r="E3364" s="130" t="s">
        <v>121</v>
      </c>
      <c r="F3364" s="230">
        <v>0.18229999999999999</v>
      </c>
      <c r="G3364" s="494">
        <v>31.72</v>
      </c>
      <c r="H3364" s="494">
        <v>5.78</v>
      </c>
    </row>
    <row r="3365" spans="1:8" ht="12.75" customHeight="1">
      <c r="B3365" s="105"/>
      <c r="C3365" s="105"/>
      <c r="D3365" s="105"/>
      <c r="E3365" s="105"/>
      <c r="F3365" s="629" t="s">
        <v>610</v>
      </c>
      <c r="G3365" s="629"/>
      <c r="H3365" s="495">
        <v>10.34</v>
      </c>
    </row>
    <row r="3366" spans="1:8" ht="12.75" customHeight="1">
      <c r="B3366" s="105"/>
      <c r="C3366" s="105"/>
      <c r="D3366" s="105"/>
      <c r="E3366" s="105"/>
      <c r="F3366" s="630" t="s">
        <v>464</v>
      </c>
      <c r="G3366" s="630"/>
      <c r="H3366" s="102">
        <v>88.37</v>
      </c>
    </row>
    <row r="3367" spans="1:8">
      <c r="B3367" s="105"/>
      <c r="C3367" s="105"/>
      <c r="D3367" s="105"/>
      <c r="E3367" s="105"/>
      <c r="F3367" s="634"/>
      <c r="G3367" s="634"/>
      <c r="H3367" s="634"/>
    </row>
    <row r="3368" spans="1:8" ht="30.75" customHeight="1">
      <c r="A3368" s="178" t="str">
        <f>'3 - PLAN. ORÇAMENTÁRIA'!A549</f>
        <v>6.1.3.8</v>
      </c>
      <c r="B3368" s="242">
        <f>VLOOKUP(A3368,'3 - PLAN. ORÇAMENTÁRIA'!$A$16:$B$721,2,FALSE)</f>
        <v>93670</v>
      </c>
      <c r="C3368" s="631" t="str">
        <f>VLOOKUP(A3368,'3 - PLAN. ORÇAMENTÁRIA'!$A$16:$C$721,3,FALSE)</f>
        <v>DISJUNTOR TRIPOLAR TIPO DIN, CORRENTE NOMINAL DE 25A - FORNECIMENTO E INSTALAÇÃO. AF_10/2020</v>
      </c>
      <c r="D3368" s="632"/>
      <c r="E3368" s="632"/>
      <c r="F3368" s="632"/>
      <c r="G3368" s="633"/>
      <c r="H3368" s="493" t="str">
        <f>VLOOKUP(A3368,'3 - PLAN. ORÇAMENTÁRIA'!$A$17:$E$721,5,FALSE)</f>
        <v>UN</v>
      </c>
    </row>
    <row r="3369" spans="1:8">
      <c r="B3369" s="628" t="s">
        <v>593</v>
      </c>
      <c r="C3369" s="628"/>
      <c r="D3369" s="103" t="s">
        <v>579</v>
      </c>
      <c r="E3369" s="103" t="s">
        <v>580</v>
      </c>
      <c r="F3369" s="103" t="s">
        <v>581</v>
      </c>
      <c r="G3369" s="103" t="s">
        <v>582</v>
      </c>
      <c r="H3369" s="103" t="s">
        <v>583</v>
      </c>
    </row>
    <row r="3370" spans="1:8">
      <c r="B3370" s="130" t="s">
        <v>1724</v>
      </c>
      <c r="C3370" s="229" t="s">
        <v>1725</v>
      </c>
      <c r="D3370" s="130" t="s">
        <v>119</v>
      </c>
      <c r="E3370" s="130" t="s">
        <v>144</v>
      </c>
      <c r="F3370" s="230">
        <v>1</v>
      </c>
      <c r="G3370" s="494">
        <v>91.64</v>
      </c>
      <c r="H3370" s="494">
        <v>91.64</v>
      </c>
    </row>
    <row r="3371" spans="1:8" ht="25.5">
      <c r="B3371" s="130" t="s">
        <v>1718</v>
      </c>
      <c r="C3371" s="229" t="s">
        <v>1719</v>
      </c>
      <c r="D3371" s="130" t="s">
        <v>119</v>
      </c>
      <c r="E3371" s="130" t="s">
        <v>144</v>
      </c>
      <c r="F3371" s="230">
        <v>3</v>
      </c>
      <c r="G3371" s="494">
        <v>1.36</v>
      </c>
      <c r="H3371" s="494">
        <v>4.08</v>
      </c>
    </row>
    <row r="3372" spans="1:8">
      <c r="B3372" s="105"/>
      <c r="C3372" s="105"/>
      <c r="D3372" s="105"/>
      <c r="E3372" s="105"/>
      <c r="F3372" s="629" t="s">
        <v>604</v>
      </c>
      <c r="G3372" s="629"/>
      <c r="H3372" s="495">
        <v>95.72</v>
      </c>
    </row>
    <row r="3373" spans="1:8" ht="12.75" customHeight="1">
      <c r="B3373" s="628" t="s">
        <v>607</v>
      </c>
      <c r="C3373" s="628"/>
      <c r="D3373" s="103" t="s">
        <v>579</v>
      </c>
      <c r="E3373" s="103" t="s">
        <v>580</v>
      </c>
      <c r="F3373" s="103" t="s">
        <v>581</v>
      </c>
      <c r="G3373" s="103" t="s">
        <v>582</v>
      </c>
      <c r="H3373" s="103" t="s">
        <v>583</v>
      </c>
    </row>
    <row r="3374" spans="1:8">
      <c r="B3374" s="130" t="s">
        <v>1256</v>
      </c>
      <c r="C3374" s="229" t="s">
        <v>608</v>
      </c>
      <c r="D3374" s="130" t="s">
        <v>119</v>
      </c>
      <c r="E3374" s="130" t="s">
        <v>121</v>
      </c>
      <c r="F3374" s="230">
        <v>0.1988</v>
      </c>
      <c r="G3374" s="494">
        <v>25</v>
      </c>
      <c r="H3374" s="494">
        <v>4.97</v>
      </c>
    </row>
    <row r="3375" spans="1:8">
      <c r="B3375" s="130" t="s">
        <v>1257</v>
      </c>
      <c r="C3375" s="229" t="s">
        <v>609</v>
      </c>
      <c r="D3375" s="130" t="s">
        <v>119</v>
      </c>
      <c r="E3375" s="130" t="s">
        <v>121</v>
      </c>
      <c r="F3375" s="230">
        <v>0.1988</v>
      </c>
      <c r="G3375" s="494">
        <v>31.72</v>
      </c>
      <c r="H3375" s="494">
        <v>6.31</v>
      </c>
    </row>
    <row r="3376" spans="1:8" ht="12.75" customHeight="1">
      <c r="B3376" s="105"/>
      <c r="C3376" s="105"/>
      <c r="D3376" s="105"/>
      <c r="E3376" s="105"/>
      <c r="F3376" s="629" t="s">
        <v>610</v>
      </c>
      <c r="G3376" s="629"/>
      <c r="H3376" s="495">
        <v>11.28</v>
      </c>
    </row>
    <row r="3377" spans="1:8" ht="12.75" customHeight="1">
      <c r="B3377" s="105"/>
      <c r="C3377" s="105"/>
      <c r="D3377" s="105"/>
      <c r="E3377" s="105"/>
      <c r="F3377" s="630" t="s">
        <v>464</v>
      </c>
      <c r="G3377" s="630"/>
      <c r="H3377" s="102">
        <v>106.99</v>
      </c>
    </row>
    <row r="3378" spans="1:8">
      <c r="B3378" s="105"/>
      <c r="C3378" s="105"/>
      <c r="D3378" s="105"/>
      <c r="E3378" s="105"/>
      <c r="F3378" s="634"/>
      <c r="G3378" s="634"/>
      <c r="H3378" s="634"/>
    </row>
    <row r="3379" spans="1:8" ht="30.75" customHeight="1">
      <c r="A3379" s="178" t="str">
        <f>'3 - PLAN. ORÇAMENTÁRIA'!A550</f>
        <v>6.1.3.9</v>
      </c>
      <c r="B3379" s="242">
        <f>VLOOKUP(A3379,'3 - PLAN. ORÇAMENTÁRIA'!$A$16:$B$721,2,FALSE)</f>
        <v>93673</v>
      </c>
      <c r="C3379" s="631" t="str">
        <f>VLOOKUP(A3379,'3 - PLAN. ORÇAMENTÁRIA'!$A$16:$C$721,3,FALSE)</f>
        <v>DISJUNTOR TRIPOLAR TIPO DIN, CORRENTE NOMINAL DE 50A - FORNECIMENTO E INSTALAÇÃO. AF_10/2020</v>
      </c>
      <c r="D3379" s="632"/>
      <c r="E3379" s="632"/>
      <c r="F3379" s="632"/>
      <c r="G3379" s="633"/>
      <c r="H3379" s="493" t="str">
        <f>VLOOKUP(A3379,'3 - PLAN. ORÇAMENTÁRIA'!$A$17:$E$721,5,FALSE)</f>
        <v>UN</v>
      </c>
    </row>
    <row r="3380" spans="1:8">
      <c r="B3380" s="628" t="s">
        <v>593</v>
      </c>
      <c r="C3380" s="628"/>
      <c r="D3380" s="103" t="s">
        <v>579</v>
      </c>
      <c r="E3380" s="103" t="s">
        <v>580</v>
      </c>
      <c r="F3380" s="103" t="s">
        <v>581</v>
      </c>
      <c r="G3380" s="103" t="s">
        <v>582</v>
      </c>
      <c r="H3380" s="103" t="s">
        <v>583</v>
      </c>
    </row>
    <row r="3381" spans="1:8">
      <c r="B3381" s="130" t="s">
        <v>1724</v>
      </c>
      <c r="C3381" s="229" t="s">
        <v>1725</v>
      </c>
      <c r="D3381" s="130" t="s">
        <v>119</v>
      </c>
      <c r="E3381" s="130" t="s">
        <v>144</v>
      </c>
      <c r="F3381" s="230">
        <v>1</v>
      </c>
      <c r="G3381" s="494">
        <v>91.64</v>
      </c>
      <c r="H3381" s="494">
        <v>91.64</v>
      </c>
    </row>
    <row r="3382" spans="1:8" ht="25.5">
      <c r="B3382" s="130" t="s">
        <v>2461</v>
      </c>
      <c r="C3382" s="229" t="s">
        <v>2462</v>
      </c>
      <c r="D3382" s="130" t="s">
        <v>119</v>
      </c>
      <c r="E3382" s="130" t="s">
        <v>144</v>
      </c>
      <c r="F3382" s="230">
        <v>3</v>
      </c>
      <c r="G3382" s="494">
        <v>2.08</v>
      </c>
      <c r="H3382" s="494">
        <v>6.24</v>
      </c>
    </row>
    <row r="3383" spans="1:8">
      <c r="B3383" s="105"/>
      <c r="C3383" s="105"/>
      <c r="D3383" s="105"/>
      <c r="E3383" s="105"/>
      <c r="F3383" s="629" t="s">
        <v>604</v>
      </c>
      <c r="G3383" s="629"/>
      <c r="H3383" s="495">
        <v>97.88</v>
      </c>
    </row>
    <row r="3384" spans="1:8" ht="12.75" customHeight="1">
      <c r="B3384" s="628" t="s">
        <v>607</v>
      </c>
      <c r="C3384" s="628"/>
      <c r="D3384" s="103" t="s">
        <v>579</v>
      </c>
      <c r="E3384" s="103" t="s">
        <v>580</v>
      </c>
      <c r="F3384" s="103" t="s">
        <v>581</v>
      </c>
      <c r="G3384" s="103" t="s">
        <v>582</v>
      </c>
      <c r="H3384" s="103" t="s">
        <v>583</v>
      </c>
    </row>
    <row r="3385" spans="1:8">
      <c r="B3385" s="130" t="s">
        <v>1256</v>
      </c>
      <c r="C3385" s="229" t="s">
        <v>608</v>
      </c>
      <c r="D3385" s="130" t="s">
        <v>119</v>
      </c>
      <c r="E3385" s="130" t="s">
        <v>121</v>
      </c>
      <c r="F3385" s="230">
        <v>0.56769999999999998</v>
      </c>
      <c r="G3385" s="494">
        <v>25</v>
      </c>
      <c r="H3385" s="494">
        <v>14.19</v>
      </c>
    </row>
    <row r="3386" spans="1:8">
      <c r="B3386" s="130" t="s">
        <v>1257</v>
      </c>
      <c r="C3386" s="229" t="s">
        <v>609</v>
      </c>
      <c r="D3386" s="130" t="s">
        <v>119</v>
      </c>
      <c r="E3386" s="130" t="s">
        <v>121</v>
      </c>
      <c r="F3386" s="230">
        <v>0.56769999999999998</v>
      </c>
      <c r="G3386" s="494">
        <v>31.72</v>
      </c>
      <c r="H3386" s="494">
        <v>18.010000000000002</v>
      </c>
    </row>
    <row r="3387" spans="1:8" ht="12.75" customHeight="1">
      <c r="B3387" s="105"/>
      <c r="C3387" s="105"/>
      <c r="D3387" s="105"/>
      <c r="E3387" s="105"/>
      <c r="F3387" s="629" t="s">
        <v>610</v>
      </c>
      <c r="G3387" s="629"/>
      <c r="H3387" s="495">
        <v>32.200000000000003</v>
      </c>
    </row>
    <row r="3388" spans="1:8" ht="12.75" customHeight="1">
      <c r="B3388" s="105"/>
      <c r="C3388" s="105"/>
      <c r="D3388" s="105"/>
      <c r="E3388" s="105"/>
      <c r="F3388" s="630" t="s">
        <v>464</v>
      </c>
      <c r="G3388" s="630"/>
      <c r="H3388" s="102">
        <v>130.07</v>
      </c>
    </row>
    <row r="3389" spans="1:8">
      <c r="B3389" s="105"/>
      <c r="C3389" s="105"/>
      <c r="D3389" s="105"/>
      <c r="E3389" s="105"/>
      <c r="F3389" s="634"/>
      <c r="G3389" s="634"/>
      <c r="H3389" s="634"/>
    </row>
    <row r="3390" spans="1:8" ht="30.75" customHeight="1">
      <c r="A3390" s="178" t="str">
        <f>'3 - PLAN. ORÇAMENTÁRIA'!A551</f>
        <v>6.1.3.10</v>
      </c>
      <c r="B3390" s="242">
        <f>VLOOKUP(A3390,'3 - PLAN. ORÇAMENTÁRIA'!$A$16:$B$721,2,FALSE)</f>
        <v>101894</v>
      </c>
      <c r="C3390" s="631" t="str">
        <f>VLOOKUP(A3390,'3 - PLAN. ORÇAMENTÁRIA'!$A$16:$C$721,3,FALSE)</f>
        <v>DISJUNTOR TRIPOLAR TIPO DIN, CORRENTE NOMINAL DE 60 ATÉ 100A - FORNECIMENTO E INSTALAÇÃO. AF_10/2020</v>
      </c>
      <c r="D3390" s="632"/>
      <c r="E3390" s="632"/>
      <c r="F3390" s="632"/>
      <c r="G3390" s="633"/>
      <c r="H3390" s="493" t="str">
        <f>VLOOKUP(A3390,'3 - PLAN. ORÇAMENTÁRIA'!$A$17:$E$721,5,FALSE)</f>
        <v>UN</v>
      </c>
    </row>
    <row r="3391" spans="1:8">
      <c r="B3391" s="628" t="s">
        <v>593</v>
      </c>
      <c r="C3391" s="628"/>
      <c r="D3391" s="103" t="s">
        <v>579</v>
      </c>
      <c r="E3391" s="103" t="s">
        <v>580</v>
      </c>
      <c r="F3391" s="103" t="s">
        <v>581</v>
      </c>
      <c r="G3391" s="103" t="s">
        <v>582</v>
      </c>
      <c r="H3391" s="103" t="s">
        <v>583</v>
      </c>
    </row>
    <row r="3392" spans="1:8">
      <c r="B3392" s="130" t="s">
        <v>1726</v>
      </c>
      <c r="C3392" s="229" t="s">
        <v>1727</v>
      </c>
      <c r="D3392" s="130" t="s">
        <v>119</v>
      </c>
      <c r="E3392" s="130" t="s">
        <v>144</v>
      </c>
      <c r="F3392" s="230">
        <v>1</v>
      </c>
      <c r="G3392" s="494">
        <v>159.84</v>
      </c>
      <c r="H3392" s="494">
        <v>159.84</v>
      </c>
    </row>
    <row r="3393" spans="1:8" ht="25.5">
      <c r="B3393" s="130" t="s">
        <v>1728</v>
      </c>
      <c r="C3393" s="229" t="s">
        <v>1729</v>
      </c>
      <c r="D3393" s="130" t="s">
        <v>119</v>
      </c>
      <c r="E3393" s="130" t="s">
        <v>144</v>
      </c>
      <c r="F3393" s="230">
        <v>3</v>
      </c>
      <c r="G3393" s="494">
        <v>2.88</v>
      </c>
      <c r="H3393" s="494">
        <v>8.64</v>
      </c>
    </row>
    <row r="3394" spans="1:8">
      <c r="B3394" s="105"/>
      <c r="C3394" s="105"/>
      <c r="D3394" s="105"/>
      <c r="E3394" s="105"/>
      <c r="F3394" s="629" t="s">
        <v>604</v>
      </c>
      <c r="G3394" s="629"/>
      <c r="H3394" s="495">
        <v>168.48</v>
      </c>
    </row>
    <row r="3395" spans="1:8" ht="12.75" customHeight="1">
      <c r="B3395" s="628" t="s">
        <v>607</v>
      </c>
      <c r="C3395" s="628"/>
      <c r="D3395" s="103" t="s">
        <v>579</v>
      </c>
      <c r="E3395" s="103" t="s">
        <v>580</v>
      </c>
      <c r="F3395" s="103" t="s">
        <v>581</v>
      </c>
      <c r="G3395" s="103" t="s">
        <v>582</v>
      </c>
      <c r="H3395" s="103" t="s">
        <v>583</v>
      </c>
    </row>
    <row r="3396" spans="1:8">
      <c r="B3396" s="130" t="s">
        <v>1256</v>
      </c>
      <c r="C3396" s="229" t="s">
        <v>608</v>
      </c>
      <c r="D3396" s="130" t="s">
        <v>119</v>
      </c>
      <c r="E3396" s="130" t="s">
        <v>121</v>
      </c>
      <c r="F3396" s="230">
        <v>0.78300000000000003</v>
      </c>
      <c r="G3396" s="494">
        <v>25</v>
      </c>
      <c r="H3396" s="494">
        <v>19.579999999999998</v>
      </c>
    </row>
    <row r="3397" spans="1:8">
      <c r="B3397" s="130" t="s">
        <v>1257</v>
      </c>
      <c r="C3397" s="229" t="s">
        <v>609</v>
      </c>
      <c r="D3397" s="130" t="s">
        <v>119</v>
      </c>
      <c r="E3397" s="130" t="s">
        <v>121</v>
      </c>
      <c r="F3397" s="230">
        <v>0.78300000000000003</v>
      </c>
      <c r="G3397" s="494">
        <v>31.72</v>
      </c>
      <c r="H3397" s="494">
        <v>24.84</v>
      </c>
    </row>
    <row r="3398" spans="1:8" ht="12.75" customHeight="1">
      <c r="B3398" s="105"/>
      <c r="C3398" s="105"/>
      <c r="D3398" s="105"/>
      <c r="E3398" s="105"/>
      <c r="F3398" s="629" t="s">
        <v>610</v>
      </c>
      <c r="G3398" s="629"/>
      <c r="H3398" s="495">
        <v>44.42</v>
      </c>
    </row>
    <row r="3399" spans="1:8" ht="12.75" customHeight="1">
      <c r="B3399" s="105"/>
      <c r="C3399" s="105"/>
      <c r="D3399" s="105"/>
      <c r="E3399" s="105"/>
      <c r="F3399" s="630" t="s">
        <v>464</v>
      </c>
      <c r="G3399" s="630"/>
      <c r="H3399" s="102">
        <v>212.88</v>
      </c>
    </row>
    <row r="3400" spans="1:8">
      <c r="B3400" s="105"/>
      <c r="C3400" s="105"/>
      <c r="D3400" s="105"/>
      <c r="E3400" s="105"/>
      <c r="F3400" s="634"/>
      <c r="G3400" s="634"/>
      <c r="H3400" s="634"/>
    </row>
    <row r="3401" spans="1:8" ht="30.75" customHeight="1">
      <c r="A3401" s="178" t="str">
        <f>'3 - PLAN. ORÇAMENTÁRIA'!A552</f>
        <v>6.1.3.11</v>
      </c>
      <c r="B3401" s="242">
        <f>VLOOKUP(A3401,'3 - PLAN. ORÇAMENTÁRIA'!$A$16:$B$721,2,FALSE)</f>
        <v>101895</v>
      </c>
      <c r="C3401" s="631" t="str">
        <f>VLOOKUP(A3401,'3 - PLAN. ORÇAMENTÁRIA'!$A$16:$C$721,3,FALSE)</f>
        <v>DISJUNTOR TRIPOLAR , CORRENTE NOMINAL DE 125A - FORNECIMENTO E INSTALAÇÃO. AF_10/2020</v>
      </c>
      <c r="D3401" s="632"/>
      <c r="E3401" s="632"/>
      <c r="F3401" s="632"/>
      <c r="G3401" s="633"/>
      <c r="H3401" s="493" t="str">
        <f>VLOOKUP(A3401,'3 - PLAN. ORÇAMENTÁRIA'!$A$17:$E$721,5,FALSE)</f>
        <v>UN</v>
      </c>
    </row>
    <row r="3402" spans="1:8">
      <c r="B3402" s="628" t="s">
        <v>593</v>
      </c>
      <c r="C3402" s="628"/>
      <c r="D3402" s="103" t="s">
        <v>579</v>
      </c>
      <c r="E3402" s="103" t="s">
        <v>580</v>
      </c>
      <c r="F3402" s="103" t="s">
        <v>581</v>
      </c>
      <c r="G3402" s="103" t="s">
        <v>582</v>
      </c>
      <c r="H3402" s="103" t="s">
        <v>583</v>
      </c>
    </row>
    <row r="3403" spans="1:8">
      <c r="B3403" s="130" t="s">
        <v>2463</v>
      </c>
      <c r="C3403" s="229" t="s">
        <v>2464</v>
      </c>
      <c r="D3403" s="130" t="s">
        <v>119</v>
      </c>
      <c r="E3403" s="130" t="s">
        <v>144</v>
      </c>
      <c r="F3403" s="230">
        <v>1</v>
      </c>
      <c r="G3403" s="494">
        <v>499.86</v>
      </c>
      <c r="H3403" s="494">
        <v>499.86</v>
      </c>
    </row>
    <row r="3404" spans="1:8" ht="25.5">
      <c r="B3404" s="130" t="s">
        <v>2465</v>
      </c>
      <c r="C3404" s="229" t="s">
        <v>2466</v>
      </c>
      <c r="D3404" s="130" t="s">
        <v>119</v>
      </c>
      <c r="E3404" s="130" t="s">
        <v>144</v>
      </c>
      <c r="F3404" s="230">
        <v>3</v>
      </c>
      <c r="G3404" s="494">
        <v>5.62</v>
      </c>
      <c r="H3404" s="494">
        <v>16.86</v>
      </c>
    </row>
    <row r="3405" spans="1:8">
      <c r="B3405" s="105"/>
      <c r="C3405" s="105"/>
      <c r="D3405" s="105"/>
      <c r="E3405" s="105"/>
      <c r="F3405" s="629" t="s">
        <v>604</v>
      </c>
      <c r="G3405" s="629"/>
      <c r="H3405" s="495">
        <v>516.72</v>
      </c>
    </row>
    <row r="3406" spans="1:8" ht="12.75" customHeight="1">
      <c r="B3406" s="628" t="s">
        <v>607</v>
      </c>
      <c r="C3406" s="628"/>
      <c r="D3406" s="103" t="s">
        <v>579</v>
      </c>
      <c r="E3406" s="103" t="s">
        <v>580</v>
      </c>
      <c r="F3406" s="103" t="s">
        <v>581</v>
      </c>
      <c r="G3406" s="103" t="s">
        <v>582</v>
      </c>
      <c r="H3406" s="103" t="s">
        <v>583</v>
      </c>
    </row>
    <row r="3407" spans="1:8">
      <c r="B3407" s="130" t="s">
        <v>1256</v>
      </c>
      <c r="C3407" s="229" t="s">
        <v>608</v>
      </c>
      <c r="D3407" s="130" t="s">
        <v>119</v>
      </c>
      <c r="E3407" s="130" t="s">
        <v>121</v>
      </c>
      <c r="F3407" s="230">
        <v>1.3231999999999999</v>
      </c>
      <c r="G3407" s="494">
        <v>25</v>
      </c>
      <c r="H3407" s="494">
        <v>33.08</v>
      </c>
    </row>
    <row r="3408" spans="1:8">
      <c r="B3408" s="130" t="s">
        <v>1257</v>
      </c>
      <c r="C3408" s="229" t="s">
        <v>609</v>
      </c>
      <c r="D3408" s="130" t="s">
        <v>119</v>
      </c>
      <c r="E3408" s="130" t="s">
        <v>121</v>
      </c>
      <c r="F3408" s="230">
        <v>1.3231999999999999</v>
      </c>
      <c r="G3408" s="494">
        <v>31.72</v>
      </c>
      <c r="H3408" s="494">
        <v>41.97</v>
      </c>
    </row>
    <row r="3409" spans="1:8" ht="12.75" customHeight="1">
      <c r="B3409" s="105"/>
      <c r="C3409" s="105"/>
      <c r="D3409" s="105"/>
      <c r="E3409" s="105"/>
      <c r="F3409" s="629" t="s">
        <v>610</v>
      </c>
      <c r="G3409" s="629"/>
      <c r="H3409" s="495">
        <v>75.05</v>
      </c>
    </row>
    <row r="3410" spans="1:8" ht="12.75" customHeight="1">
      <c r="B3410" s="105"/>
      <c r="C3410" s="105"/>
      <c r="D3410" s="105"/>
      <c r="E3410" s="105"/>
      <c r="F3410" s="630" t="s">
        <v>464</v>
      </c>
      <c r="G3410" s="630"/>
      <c r="H3410" s="102">
        <v>591.77</v>
      </c>
    </row>
    <row r="3411" spans="1:8">
      <c r="B3411" s="105"/>
      <c r="C3411" s="105"/>
      <c r="D3411" s="105"/>
      <c r="E3411" s="105"/>
      <c r="F3411" s="634"/>
      <c r="G3411" s="634"/>
      <c r="H3411" s="634"/>
    </row>
    <row r="3412" spans="1:8" ht="30.75" customHeight="1">
      <c r="A3412" s="178" t="str">
        <f>'3 - PLAN. ORÇAMENTÁRIA'!A553</f>
        <v>6.1.3.12</v>
      </c>
      <c r="B3412" s="242">
        <f>VLOOKUP(A3412,'3 - PLAN. ORÇAMENTÁRIA'!$A$16:$B$721,2,FALSE)</f>
        <v>101896</v>
      </c>
      <c r="C3412" s="631" t="str">
        <f>VLOOKUP(A3412,'3 - PLAN. ORÇAMENTÁRIA'!$A$16:$C$721,3,FALSE)</f>
        <v>DISJUNTOR TRIPOLAR , CORRENTE NOMINAL DE 150A - FORNECIMENTO E INSTALAÇÃO. AF_10/2020</v>
      </c>
      <c r="D3412" s="632"/>
      <c r="E3412" s="632"/>
      <c r="F3412" s="632"/>
      <c r="G3412" s="633"/>
      <c r="H3412" s="493" t="str">
        <f>VLOOKUP(A3412,'3 - PLAN. ORÇAMENTÁRIA'!$A$17:$E$721,5,FALSE)</f>
        <v>UN</v>
      </c>
    </row>
    <row r="3413" spans="1:8">
      <c r="B3413" s="628" t="s">
        <v>593</v>
      </c>
      <c r="C3413" s="628"/>
      <c r="D3413" s="103" t="s">
        <v>579</v>
      </c>
      <c r="E3413" s="103" t="s">
        <v>580</v>
      </c>
      <c r="F3413" s="103" t="s">
        <v>581</v>
      </c>
      <c r="G3413" s="103" t="s">
        <v>582</v>
      </c>
      <c r="H3413" s="103" t="s">
        <v>583</v>
      </c>
    </row>
    <row r="3414" spans="1:8">
      <c r="B3414" s="130" t="s">
        <v>2467</v>
      </c>
      <c r="C3414" s="229" t="s">
        <v>2468</v>
      </c>
      <c r="D3414" s="130" t="s">
        <v>119</v>
      </c>
      <c r="E3414" s="130" t="s">
        <v>144</v>
      </c>
      <c r="F3414" s="230">
        <v>1</v>
      </c>
      <c r="G3414" s="494">
        <v>795.84</v>
      </c>
      <c r="H3414" s="494">
        <v>795.84</v>
      </c>
    </row>
    <row r="3415" spans="1:8" ht="25.5">
      <c r="B3415" s="130" t="s">
        <v>2367</v>
      </c>
      <c r="C3415" s="229" t="s">
        <v>2368</v>
      </c>
      <c r="D3415" s="130" t="s">
        <v>119</v>
      </c>
      <c r="E3415" s="130" t="s">
        <v>144</v>
      </c>
      <c r="F3415" s="230">
        <v>3</v>
      </c>
      <c r="G3415" s="494">
        <v>8.64</v>
      </c>
      <c r="H3415" s="494">
        <v>25.92</v>
      </c>
    </row>
    <row r="3416" spans="1:8">
      <c r="B3416" s="105"/>
      <c r="C3416" s="105"/>
      <c r="D3416" s="105"/>
      <c r="E3416" s="105"/>
      <c r="F3416" s="629" t="s">
        <v>604</v>
      </c>
      <c r="G3416" s="629"/>
      <c r="H3416" s="495">
        <v>821.76</v>
      </c>
    </row>
    <row r="3417" spans="1:8" ht="12.75" customHeight="1">
      <c r="B3417" s="628" t="s">
        <v>607</v>
      </c>
      <c r="C3417" s="628"/>
      <c r="D3417" s="103" t="s">
        <v>579</v>
      </c>
      <c r="E3417" s="103" t="s">
        <v>580</v>
      </c>
      <c r="F3417" s="103" t="s">
        <v>581</v>
      </c>
      <c r="G3417" s="103" t="s">
        <v>582</v>
      </c>
      <c r="H3417" s="103" t="s">
        <v>583</v>
      </c>
    </row>
    <row r="3418" spans="1:8">
      <c r="B3418" s="130" t="s">
        <v>1256</v>
      </c>
      <c r="C3418" s="229" t="s">
        <v>608</v>
      </c>
      <c r="D3418" s="130" t="s">
        <v>119</v>
      </c>
      <c r="E3418" s="130" t="s">
        <v>121</v>
      </c>
      <c r="F3418" s="230">
        <v>1.3231999999999999</v>
      </c>
      <c r="G3418" s="494">
        <v>25</v>
      </c>
      <c r="H3418" s="494">
        <v>33.08</v>
      </c>
    </row>
    <row r="3419" spans="1:8">
      <c r="B3419" s="130" t="s">
        <v>1257</v>
      </c>
      <c r="C3419" s="229" t="s">
        <v>609</v>
      </c>
      <c r="D3419" s="130" t="s">
        <v>119</v>
      </c>
      <c r="E3419" s="130" t="s">
        <v>121</v>
      </c>
      <c r="F3419" s="230">
        <v>1.3231999999999999</v>
      </c>
      <c r="G3419" s="494">
        <v>31.72</v>
      </c>
      <c r="H3419" s="494">
        <v>41.97</v>
      </c>
    </row>
    <row r="3420" spans="1:8" ht="12.75" customHeight="1">
      <c r="B3420" s="105"/>
      <c r="C3420" s="105"/>
      <c r="D3420" s="105"/>
      <c r="E3420" s="105"/>
      <c r="F3420" s="629" t="s">
        <v>610</v>
      </c>
      <c r="G3420" s="629"/>
      <c r="H3420" s="495">
        <v>75.05</v>
      </c>
    </row>
    <row r="3421" spans="1:8" ht="12.75" customHeight="1">
      <c r="B3421" s="105"/>
      <c r="C3421" s="105"/>
      <c r="D3421" s="105"/>
      <c r="E3421" s="105"/>
      <c r="F3421" s="630" t="s">
        <v>464</v>
      </c>
      <c r="G3421" s="630"/>
      <c r="H3421" s="102">
        <v>896.81</v>
      </c>
    </row>
    <row r="3422" spans="1:8">
      <c r="B3422" s="105"/>
      <c r="C3422" s="105"/>
      <c r="D3422" s="105"/>
      <c r="E3422" s="105"/>
      <c r="F3422" s="634"/>
      <c r="G3422" s="634"/>
      <c r="H3422" s="634"/>
    </row>
    <row r="3423" spans="1:8" ht="30.75" customHeight="1">
      <c r="A3423" s="178" t="str">
        <f>'3 - PLAN. ORÇAMENTÁRIA'!A554</f>
        <v>6.1.3.13</v>
      </c>
      <c r="B3423" s="242">
        <f>VLOOKUP(A3423,'3 - PLAN. ORÇAMENTÁRIA'!$A$16:$B$721,2,FALSE)</f>
        <v>101896</v>
      </c>
      <c r="C3423" s="631" t="str">
        <f>VLOOKUP(A3423,'3 - PLAN. ORÇAMENTÁRIA'!$A$16:$C$721,3,FALSE)</f>
        <v>DISJUNTOR TRIPOLAR , CORRENTE NOMINAL DE 175A - FORNECIMENTO E INSTALAÇÃO. AF_10/2020</v>
      </c>
      <c r="D3423" s="632"/>
      <c r="E3423" s="632"/>
      <c r="F3423" s="632"/>
      <c r="G3423" s="633"/>
      <c r="H3423" s="493" t="str">
        <f>VLOOKUP(A3423,'3 - PLAN. ORÇAMENTÁRIA'!$A$17:$E$721,5,FALSE)</f>
        <v>UN</v>
      </c>
    </row>
    <row r="3424" spans="1:8">
      <c r="B3424" s="628" t="s">
        <v>593</v>
      </c>
      <c r="C3424" s="628"/>
      <c r="D3424" s="103" t="s">
        <v>579</v>
      </c>
      <c r="E3424" s="103" t="s">
        <v>580</v>
      </c>
      <c r="F3424" s="103" t="s">
        <v>581</v>
      </c>
      <c r="G3424" s="103" t="s">
        <v>582</v>
      </c>
      <c r="H3424" s="103" t="s">
        <v>583</v>
      </c>
    </row>
    <row r="3425" spans="1:8">
      <c r="B3425" s="130" t="s">
        <v>2467</v>
      </c>
      <c r="C3425" s="229" t="s">
        <v>2468</v>
      </c>
      <c r="D3425" s="130" t="s">
        <v>119</v>
      </c>
      <c r="E3425" s="130" t="s">
        <v>144</v>
      </c>
      <c r="F3425" s="230">
        <v>1</v>
      </c>
      <c r="G3425" s="494">
        <v>795.84</v>
      </c>
      <c r="H3425" s="494">
        <v>795.84</v>
      </c>
    </row>
    <row r="3426" spans="1:8" ht="25.5">
      <c r="B3426" s="130" t="s">
        <v>2367</v>
      </c>
      <c r="C3426" s="229" t="s">
        <v>2368</v>
      </c>
      <c r="D3426" s="130" t="s">
        <v>119</v>
      </c>
      <c r="E3426" s="130" t="s">
        <v>144</v>
      </c>
      <c r="F3426" s="230">
        <v>3</v>
      </c>
      <c r="G3426" s="494">
        <v>8.64</v>
      </c>
      <c r="H3426" s="494">
        <v>25.92</v>
      </c>
    </row>
    <row r="3427" spans="1:8">
      <c r="B3427" s="105"/>
      <c r="C3427" s="105"/>
      <c r="D3427" s="105"/>
      <c r="E3427" s="105"/>
      <c r="F3427" s="629" t="s">
        <v>604</v>
      </c>
      <c r="G3427" s="629"/>
      <c r="H3427" s="495">
        <v>821.76</v>
      </c>
    </row>
    <row r="3428" spans="1:8" ht="12.75" customHeight="1">
      <c r="B3428" s="628" t="s">
        <v>607</v>
      </c>
      <c r="C3428" s="628"/>
      <c r="D3428" s="103" t="s">
        <v>579</v>
      </c>
      <c r="E3428" s="103" t="s">
        <v>580</v>
      </c>
      <c r="F3428" s="103" t="s">
        <v>581</v>
      </c>
      <c r="G3428" s="103" t="s">
        <v>582</v>
      </c>
      <c r="H3428" s="103" t="s">
        <v>583</v>
      </c>
    </row>
    <row r="3429" spans="1:8">
      <c r="B3429" s="130" t="s">
        <v>1256</v>
      </c>
      <c r="C3429" s="229" t="s">
        <v>608</v>
      </c>
      <c r="D3429" s="130" t="s">
        <v>119</v>
      </c>
      <c r="E3429" s="130" t="s">
        <v>121</v>
      </c>
      <c r="F3429" s="230">
        <v>1.3231999999999999</v>
      </c>
      <c r="G3429" s="494">
        <v>25</v>
      </c>
      <c r="H3429" s="494">
        <v>33.08</v>
      </c>
    </row>
    <row r="3430" spans="1:8">
      <c r="B3430" s="130" t="s">
        <v>1257</v>
      </c>
      <c r="C3430" s="229" t="s">
        <v>609</v>
      </c>
      <c r="D3430" s="130" t="s">
        <v>119</v>
      </c>
      <c r="E3430" s="130" t="s">
        <v>121</v>
      </c>
      <c r="F3430" s="230">
        <v>1.3231999999999999</v>
      </c>
      <c r="G3430" s="494">
        <v>31.72</v>
      </c>
      <c r="H3430" s="494">
        <v>41.97</v>
      </c>
    </row>
    <row r="3431" spans="1:8" ht="12.75" customHeight="1">
      <c r="B3431" s="105"/>
      <c r="C3431" s="105"/>
      <c r="D3431" s="105"/>
      <c r="E3431" s="105"/>
      <c r="F3431" s="629" t="s">
        <v>610</v>
      </c>
      <c r="G3431" s="629"/>
      <c r="H3431" s="495">
        <v>75.05</v>
      </c>
    </row>
    <row r="3432" spans="1:8" ht="12.75" customHeight="1">
      <c r="B3432" s="105"/>
      <c r="C3432" s="105"/>
      <c r="D3432" s="105"/>
      <c r="E3432" s="105"/>
      <c r="F3432" s="630" t="s">
        <v>464</v>
      </c>
      <c r="G3432" s="630"/>
      <c r="H3432" s="102">
        <v>896.81</v>
      </c>
    </row>
    <row r="3433" spans="1:8">
      <c r="B3433" s="105"/>
      <c r="C3433" s="105"/>
      <c r="D3433" s="105"/>
      <c r="E3433" s="105"/>
      <c r="F3433" s="634"/>
      <c r="G3433" s="634"/>
      <c r="H3433" s="634"/>
    </row>
    <row r="3434" spans="1:8" s="220" customFormat="1" ht="27" customHeight="1">
      <c r="A3434" s="178" t="str">
        <f>'3 - PLAN. ORÇAMENTÁRIA'!A557</f>
        <v>6.1.3.16</v>
      </c>
      <c r="B3434" s="178">
        <f>VLOOKUP(A3434,'3 - PLAN. ORÇAMENTÁRIA'!$A$16:$B$721,2,FALSE)</f>
        <v>101903</v>
      </c>
      <c r="C3434" s="631" t="str">
        <f>VLOOKUP(A3434,'3 - PLAN. ORÇAMENTÁRIA'!$A$16:$C$721,3,FALSE)</f>
        <v>CONTATOR TRIPOLAR I NOMINAL 32A - FORNECIMENTO E INSTALAÇÃO. AF_10/2020</v>
      </c>
      <c r="D3434" s="632"/>
      <c r="E3434" s="632"/>
      <c r="F3434" s="632"/>
      <c r="G3434" s="633"/>
      <c r="H3434" s="433" t="str">
        <f>VLOOKUP(A3434,'3 - PLAN. ORÇAMENTÁRIA'!$A$17:$E$721,5,FALSE)</f>
        <v>UN</v>
      </c>
    </row>
    <row r="3435" spans="1:8">
      <c r="B3435" s="641" t="s">
        <v>593</v>
      </c>
      <c r="C3435" s="642"/>
      <c r="D3435" s="103" t="s">
        <v>579</v>
      </c>
      <c r="E3435" s="103" t="s">
        <v>580</v>
      </c>
      <c r="F3435" s="103" t="s">
        <v>581</v>
      </c>
      <c r="G3435" s="103" t="s">
        <v>582</v>
      </c>
      <c r="H3435" s="103" t="s">
        <v>583</v>
      </c>
    </row>
    <row r="3436" spans="1:8">
      <c r="B3436" s="130" t="s">
        <v>1730</v>
      </c>
      <c r="C3436" s="229" t="s">
        <v>1731</v>
      </c>
      <c r="D3436" s="130" t="s">
        <v>119</v>
      </c>
      <c r="E3436" s="130" t="s">
        <v>144</v>
      </c>
      <c r="F3436" s="230">
        <v>1</v>
      </c>
      <c r="G3436" s="494">
        <v>411.42</v>
      </c>
      <c r="H3436" s="494">
        <v>411.42</v>
      </c>
    </row>
    <row r="3437" spans="1:8" ht="25.5">
      <c r="B3437" s="130" t="s">
        <v>1732</v>
      </c>
      <c r="C3437" s="229" t="s">
        <v>1733</v>
      </c>
      <c r="D3437" s="130" t="s">
        <v>119</v>
      </c>
      <c r="E3437" s="130" t="s">
        <v>144</v>
      </c>
      <c r="F3437" s="230">
        <v>3</v>
      </c>
      <c r="G3437" s="494">
        <v>1.75</v>
      </c>
      <c r="H3437" s="494">
        <v>5.25</v>
      </c>
    </row>
    <row r="3438" spans="1:8">
      <c r="B3438" s="105"/>
      <c r="C3438" s="105"/>
      <c r="D3438" s="105"/>
      <c r="E3438" s="105"/>
      <c r="F3438" s="636" t="s">
        <v>604</v>
      </c>
      <c r="G3438" s="637"/>
      <c r="H3438" s="495">
        <v>416.67</v>
      </c>
    </row>
    <row r="3439" spans="1:8" ht="12.75" customHeight="1">
      <c r="B3439" s="641" t="s">
        <v>607</v>
      </c>
      <c r="C3439" s="642"/>
      <c r="D3439" s="103" t="s">
        <v>579</v>
      </c>
      <c r="E3439" s="103" t="s">
        <v>580</v>
      </c>
      <c r="F3439" s="103" t="s">
        <v>581</v>
      </c>
      <c r="G3439" s="103" t="s">
        <v>582</v>
      </c>
      <c r="H3439" s="103" t="s">
        <v>583</v>
      </c>
    </row>
    <row r="3440" spans="1:8">
      <c r="B3440" s="130" t="s">
        <v>1256</v>
      </c>
      <c r="C3440" s="229" t="s">
        <v>608</v>
      </c>
      <c r="D3440" s="130" t="s">
        <v>119</v>
      </c>
      <c r="E3440" s="130" t="s">
        <v>121</v>
      </c>
      <c r="F3440" s="230">
        <v>0.40570000000000001</v>
      </c>
      <c r="G3440" s="494">
        <v>25</v>
      </c>
      <c r="H3440" s="494">
        <v>10.14</v>
      </c>
    </row>
    <row r="3441" spans="1:8">
      <c r="B3441" s="130" t="s">
        <v>1257</v>
      </c>
      <c r="C3441" s="229" t="s">
        <v>609</v>
      </c>
      <c r="D3441" s="130" t="s">
        <v>119</v>
      </c>
      <c r="E3441" s="130" t="s">
        <v>121</v>
      </c>
      <c r="F3441" s="230">
        <v>0.40570000000000001</v>
      </c>
      <c r="G3441" s="494">
        <v>31.72</v>
      </c>
      <c r="H3441" s="494">
        <v>12.87</v>
      </c>
    </row>
    <row r="3442" spans="1:8" ht="12.75" customHeight="1">
      <c r="B3442" s="105"/>
      <c r="C3442" s="105"/>
      <c r="D3442" s="105"/>
      <c r="E3442" s="105"/>
      <c r="F3442" s="636" t="s">
        <v>610</v>
      </c>
      <c r="G3442" s="637"/>
      <c r="H3442" s="495">
        <v>23.01</v>
      </c>
    </row>
    <row r="3443" spans="1:8" ht="12.75" customHeight="1">
      <c r="B3443" s="105"/>
      <c r="C3443" s="105"/>
      <c r="D3443" s="105"/>
      <c r="E3443" s="105"/>
      <c r="F3443" s="643" t="s">
        <v>464</v>
      </c>
      <c r="G3443" s="644"/>
      <c r="H3443" s="102">
        <v>439.67</v>
      </c>
    </row>
    <row r="3444" spans="1:8">
      <c r="B3444" s="105"/>
      <c r="C3444" s="105"/>
      <c r="D3444" s="105"/>
      <c r="E3444" s="105"/>
      <c r="F3444" s="634"/>
      <c r="G3444" s="634"/>
      <c r="H3444" s="634"/>
    </row>
    <row r="3445" spans="1:8" s="220" customFormat="1" ht="27" customHeight="1">
      <c r="A3445" s="178" t="str">
        <f>'3 - PLAN. ORÇAMENTÁRIA'!A559</f>
        <v>6.1.3.18</v>
      </c>
      <c r="B3445" s="178">
        <f>VLOOKUP(A3445,'3 - PLAN. ORÇAMENTÁRIA'!$A$16:$B$721,2,FALSE)</f>
        <v>4814</v>
      </c>
      <c r="C3445" s="631" t="str">
        <f>VLOOKUP(A3445,'3 - PLAN. ORÇAMENTÁRIA'!$A$16:$C$721,3,FALSE)</f>
        <v>APARELHO SINALIZADOR LUMINOSO COM LED, COM 2 LENTES EM POLICARBONATO, BIVOLT (INCLUI SUPORTE DE FIXACAO)</v>
      </c>
      <c r="D3445" s="632"/>
      <c r="E3445" s="632"/>
      <c r="F3445" s="632"/>
      <c r="G3445" s="633"/>
      <c r="H3445" s="433" t="str">
        <f>VLOOKUP(A3445,'3 - PLAN. ORÇAMENTÁRIA'!$A$17:$E$721,5,FALSE)</f>
        <v>UN</v>
      </c>
    </row>
    <row r="3446" spans="1:8">
      <c r="B3446" s="628" t="s">
        <v>593</v>
      </c>
      <c r="C3446" s="628"/>
      <c r="D3446" s="103" t="s">
        <v>579</v>
      </c>
      <c r="E3446" s="103" t="s">
        <v>580</v>
      </c>
      <c r="F3446" s="103" t="s">
        <v>581</v>
      </c>
      <c r="G3446" s="103" t="s">
        <v>582</v>
      </c>
      <c r="H3446" s="103" t="s">
        <v>583</v>
      </c>
    </row>
    <row r="3447" spans="1:8" ht="25.5">
      <c r="B3447" s="130" t="s">
        <v>538</v>
      </c>
      <c r="C3447" s="229" t="s">
        <v>1734</v>
      </c>
      <c r="D3447" s="130" t="s">
        <v>119</v>
      </c>
      <c r="E3447" s="130" t="s">
        <v>144</v>
      </c>
      <c r="F3447" s="230">
        <v>1</v>
      </c>
      <c r="G3447" s="494">
        <v>55.16</v>
      </c>
      <c r="H3447" s="494">
        <v>55.16</v>
      </c>
    </row>
    <row r="3448" spans="1:8">
      <c r="B3448" s="105"/>
      <c r="C3448" s="105"/>
      <c r="D3448" s="105"/>
      <c r="E3448" s="105"/>
      <c r="F3448" s="629" t="s">
        <v>604</v>
      </c>
      <c r="G3448" s="629"/>
      <c r="H3448" s="495">
        <v>55.16</v>
      </c>
    </row>
    <row r="3449" spans="1:8" ht="12.75" customHeight="1">
      <c r="B3449" s="105"/>
      <c r="C3449" s="105"/>
      <c r="D3449" s="105"/>
      <c r="E3449" s="105"/>
      <c r="F3449" s="630" t="s">
        <v>464</v>
      </c>
      <c r="G3449" s="630"/>
      <c r="H3449" s="102">
        <v>55.16</v>
      </c>
    </row>
    <row r="3450" spans="1:8">
      <c r="B3450" s="105"/>
      <c r="C3450" s="105"/>
      <c r="D3450" s="105"/>
      <c r="E3450" s="105"/>
      <c r="F3450" s="634"/>
      <c r="G3450" s="634"/>
      <c r="H3450" s="634"/>
    </row>
    <row r="3451" spans="1:8" s="220" customFormat="1" ht="27" customHeight="1">
      <c r="A3451" s="178" t="str">
        <f>'3 - PLAN. ORÇAMENTÁRIA'!A560</f>
        <v>6.1.3.19</v>
      </c>
      <c r="B3451" s="178">
        <f>VLOOKUP(A3451,'3 - PLAN. ORÇAMENTÁRIA'!$A$16:$B$721,2,FALSE)</f>
        <v>97054</v>
      </c>
      <c r="C3451" s="631" t="str">
        <f>VLOOKUP(A3451,'3 - PLAN. ORÇAMENTÁRIA'!$A$16:$C$721,3,FALSE)</f>
        <v>INSTALAÇÃO DE SINALIZADOR NOTURNO LED. AF_03/2024</v>
      </c>
      <c r="D3451" s="632"/>
      <c r="E3451" s="632"/>
      <c r="F3451" s="632"/>
      <c r="G3451" s="633"/>
      <c r="H3451" s="493" t="str">
        <f>VLOOKUP(A3451,'3 - PLAN. ORÇAMENTÁRIA'!$A$17:$E$721,5,FALSE)</f>
        <v>UN</v>
      </c>
    </row>
    <row r="3452" spans="1:8">
      <c r="B3452" s="628" t="s">
        <v>593</v>
      </c>
      <c r="C3452" s="628"/>
      <c r="D3452" s="103" t="s">
        <v>579</v>
      </c>
      <c r="E3452" s="103" t="s">
        <v>580</v>
      </c>
      <c r="F3452" s="103" t="s">
        <v>581</v>
      </c>
      <c r="G3452" s="103" t="s">
        <v>582</v>
      </c>
      <c r="H3452" s="103" t="s">
        <v>583</v>
      </c>
    </row>
    <row r="3453" spans="1:8">
      <c r="B3453" s="130" t="s">
        <v>1735</v>
      </c>
      <c r="C3453" s="229" t="s">
        <v>1736</v>
      </c>
      <c r="D3453" s="130" t="s">
        <v>119</v>
      </c>
      <c r="E3453" s="130" t="s">
        <v>144</v>
      </c>
      <c r="F3453" s="230">
        <v>0.35</v>
      </c>
      <c r="G3453" s="494">
        <v>37.68</v>
      </c>
      <c r="H3453" s="494">
        <v>13.19</v>
      </c>
    </row>
    <row r="3454" spans="1:8">
      <c r="B3454" s="105"/>
      <c r="C3454" s="105"/>
      <c r="D3454" s="105"/>
      <c r="E3454" s="105"/>
      <c r="F3454" s="629" t="s">
        <v>604</v>
      </c>
      <c r="G3454" s="629"/>
      <c r="H3454" s="495">
        <v>13.19</v>
      </c>
    </row>
    <row r="3455" spans="1:8" ht="12.75" customHeight="1">
      <c r="B3455" s="628" t="s">
        <v>607</v>
      </c>
      <c r="C3455" s="628"/>
      <c r="D3455" s="103" t="s">
        <v>579</v>
      </c>
      <c r="E3455" s="103" t="s">
        <v>580</v>
      </c>
      <c r="F3455" s="103" t="s">
        <v>581</v>
      </c>
      <c r="G3455" s="103" t="s">
        <v>582</v>
      </c>
      <c r="H3455" s="103" t="s">
        <v>583</v>
      </c>
    </row>
    <row r="3456" spans="1:8">
      <c r="B3456" s="130" t="s">
        <v>1315</v>
      </c>
      <c r="C3456" s="229" t="s">
        <v>617</v>
      </c>
      <c r="D3456" s="130" t="s">
        <v>119</v>
      </c>
      <c r="E3456" s="130" t="s">
        <v>121</v>
      </c>
      <c r="F3456" s="230">
        <v>0.18459919999999999</v>
      </c>
      <c r="G3456" s="494">
        <v>24.4</v>
      </c>
      <c r="H3456" s="494">
        <v>4.5</v>
      </c>
    </row>
    <row r="3457" spans="1:8">
      <c r="B3457" s="130" t="s">
        <v>1316</v>
      </c>
      <c r="C3457" s="229" t="s">
        <v>618</v>
      </c>
      <c r="D3457" s="130" t="s">
        <v>119</v>
      </c>
      <c r="E3457" s="130" t="s">
        <v>121</v>
      </c>
      <c r="F3457" s="230">
        <v>0.23734179999999999</v>
      </c>
      <c r="G3457" s="494">
        <v>30.91</v>
      </c>
      <c r="H3457" s="494">
        <v>7.34</v>
      </c>
    </row>
    <row r="3458" spans="1:8" ht="12.75" customHeight="1">
      <c r="B3458" s="105"/>
      <c r="C3458" s="105"/>
      <c r="D3458" s="105"/>
      <c r="E3458" s="105"/>
      <c r="F3458" s="629" t="s">
        <v>610</v>
      </c>
      <c r="G3458" s="629"/>
      <c r="H3458" s="495">
        <v>11.84</v>
      </c>
    </row>
    <row r="3459" spans="1:8" ht="12.75" customHeight="1">
      <c r="B3459" s="105"/>
      <c r="C3459" s="105"/>
      <c r="D3459" s="105"/>
      <c r="E3459" s="105"/>
      <c r="F3459" s="630" t="s">
        <v>464</v>
      </c>
      <c r="G3459" s="630"/>
      <c r="H3459" s="102">
        <v>25.01</v>
      </c>
    </row>
    <row r="3460" spans="1:8">
      <c r="B3460" s="105"/>
      <c r="C3460" s="105"/>
      <c r="D3460" s="105"/>
      <c r="E3460" s="105"/>
      <c r="F3460" s="634"/>
      <c r="G3460" s="634"/>
      <c r="H3460" s="634"/>
    </row>
    <row r="3461" spans="1:8" s="220" customFormat="1" ht="27" customHeight="1">
      <c r="A3461" s="178" t="str">
        <f>'3 - PLAN. ORÇAMENTÁRIA'!A561</f>
        <v>6.1.3.20</v>
      </c>
      <c r="B3461" s="178">
        <f>VLOOKUP(A3461,'3 - PLAN. ORÇAMENTÁRIA'!$A$16:$B$721,2,FALSE)</f>
        <v>101632</v>
      </c>
      <c r="C3461" s="631" t="str">
        <f>VLOOKUP(A3461,'3 - PLAN. ORÇAMENTÁRIA'!$A$16:$C$721,3,FALSE)</f>
        <v>RELÉ FOTOELÉTRICO PARA COMANDO DE ILUMINAÇÃO EXTERNA 1000 W - FORNECIMENTO E INSTALAÇÃO. AF_08/2020</v>
      </c>
      <c r="D3461" s="632"/>
      <c r="E3461" s="632"/>
      <c r="F3461" s="632"/>
      <c r="G3461" s="633"/>
      <c r="H3461" s="493" t="str">
        <f>VLOOKUP(A3461,'3 - PLAN. ORÇAMENTÁRIA'!$A$17:$E$721,5,FALSE)</f>
        <v>UN</v>
      </c>
    </row>
    <row r="3462" spans="1:8">
      <c r="B3462" s="628" t="s">
        <v>593</v>
      </c>
      <c r="C3462" s="628"/>
      <c r="D3462" s="103" t="s">
        <v>579</v>
      </c>
      <c r="E3462" s="103" t="s">
        <v>580</v>
      </c>
      <c r="F3462" s="103" t="s">
        <v>581</v>
      </c>
      <c r="G3462" s="103" t="s">
        <v>582</v>
      </c>
      <c r="H3462" s="103" t="s">
        <v>583</v>
      </c>
    </row>
    <row r="3463" spans="1:8">
      <c r="B3463" s="130" t="s">
        <v>1737</v>
      </c>
      <c r="C3463" s="229" t="s">
        <v>1738</v>
      </c>
      <c r="D3463" s="130" t="s">
        <v>119</v>
      </c>
      <c r="E3463" s="130" t="s">
        <v>144</v>
      </c>
      <c r="F3463" s="230">
        <v>2.1000000000000001E-2</v>
      </c>
      <c r="G3463" s="494">
        <v>4.38</v>
      </c>
      <c r="H3463" s="494">
        <v>0.09</v>
      </c>
    </row>
    <row r="3464" spans="1:8">
      <c r="B3464" s="130" t="s">
        <v>1739</v>
      </c>
      <c r="C3464" s="229" t="s">
        <v>1740</v>
      </c>
      <c r="D3464" s="130" t="s">
        <v>119</v>
      </c>
      <c r="E3464" s="130" t="s">
        <v>144</v>
      </c>
      <c r="F3464" s="230">
        <v>1</v>
      </c>
      <c r="G3464" s="494">
        <v>35.46</v>
      </c>
      <c r="H3464" s="494">
        <v>35.46</v>
      </c>
    </row>
    <row r="3465" spans="1:8">
      <c r="B3465" s="105"/>
      <c r="C3465" s="105"/>
      <c r="D3465" s="105"/>
      <c r="E3465" s="105"/>
      <c r="F3465" s="629" t="s">
        <v>604</v>
      </c>
      <c r="G3465" s="629"/>
      <c r="H3465" s="495">
        <v>35.549999999999997</v>
      </c>
    </row>
    <row r="3466" spans="1:8" ht="12.75" customHeight="1">
      <c r="B3466" s="628" t="s">
        <v>607</v>
      </c>
      <c r="C3466" s="628"/>
      <c r="D3466" s="103" t="s">
        <v>579</v>
      </c>
      <c r="E3466" s="103" t="s">
        <v>580</v>
      </c>
      <c r="F3466" s="103" t="s">
        <v>581</v>
      </c>
      <c r="G3466" s="103" t="s">
        <v>582</v>
      </c>
      <c r="H3466" s="103" t="s">
        <v>583</v>
      </c>
    </row>
    <row r="3467" spans="1:8">
      <c r="B3467" s="130" t="s">
        <v>1256</v>
      </c>
      <c r="C3467" s="229" t="s">
        <v>608</v>
      </c>
      <c r="D3467" s="130" t="s">
        <v>119</v>
      </c>
      <c r="E3467" s="130" t="s">
        <v>121</v>
      </c>
      <c r="F3467" s="230">
        <v>1.6799999999999999E-2</v>
      </c>
      <c r="G3467" s="494">
        <v>25</v>
      </c>
      <c r="H3467" s="494">
        <v>0.42</v>
      </c>
    </row>
    <row r="3468" spans="1:8">
      <c r="B3468" s="130" t="s">
        <v>1257</v>
      </c>
      <c r="C3468" s="229" t="s">
        <v>609</v>
      </c>
      <c r="D3468" s="130" t="s">
        <v>119</v>
      </c>
      <c r="E3468" s="130" t="s">
        <v>121</v>
      </c>
      <c r="F3468" s="230">
        <v>1.6799999999999999E-2</v>
      </c>
      <c r="G3468" s="494">
        <v>31.72</v>
      </c>
      <c r="H3468" s="494">
        <v>0.53</v>
      </c>
    </row>
    <row r="3469" spans="1:8" ht="12.75" customHeight="1">
      <c r="B3469" s="105"/>
      <c r="C3469" s="105"/>
      <c r="D3469" s="105"/>
      <c r="E3469" s="105"/>
      <c r="F3469" s="629" t="s">
        <v>610</v>
      </c>
      <c r="G3469" s="629"/>
      <c r="H3469" s="495">
        <v>0.95</v>
      </c>
    </row>
    <row r="3470" spans="1:8" ht="12.75" customHeight="1">
      <c r="B3470" s="105"/>
      <c r="C3470" s="105"/>
      <c r="D3470" s="105"/>
      <c r="E3470" s="105"/>
      <c r="F3470" s="630" t="s">
        <v>464</v>
      </c>
      <c r="G3470" s="630"/>
      <c r="H3470" s="102">
        <v>36.5</v>
      </c>
    </row>
    <row r="3471" spans="1:8">
      <c r="B3471" s="105"/>
      <c r="C3471" s="105"/>
      <c r="D3471" s="105"/>
      <c r="E3471" s="105"/>
      <c r="F3471" s="634"/>
      <c r="G3471" s="634"/>
      <c r="H3471" s="634"/>
    </row>
    <row r="3472" spans="1:8" s="220" customFormat="1" ht="27" customHeight="1">
      <c r="A3472" s="178" t="str">
        <f>'3 - PLAN. ORÇAMENTÁRIA'!A563</f>
        <v>6.1.4.1</v>
      </c>
      <c r="B3472" s="178">
        <f>VLOOKUP(A3472,'3 - PLAN. ORÇAMENTÁRIA'!$A$16:$B$721,2,FALSE)</f>
        <v>92001</v>
      </c>
      <c r="C3472" s="631" t="str">
        <f>VLOOKUP(A3472,'3 - PLAN. ORÇAMENTÁRIA'!$A$16:$C$721,3,FALSE)</f>
        <v>TOMADA DE EMBUTIR (1 MÓDULO), 2P+T 20 A, INCLUINDO SUPORTE E PLACA - FORNECIMENTO E INSTALAÇÃO. AF_03/2023</v>
      </c>
      <c r="D3472" s="632"/>
      <c r="E3472" s="632"/>
      <c r="F3472" s="632"/>
      <c r="G3472" s="633"/>
      <c r="H3472" s="433" t="str">
        <f>VLOOKUP(A3472,'3 - PLAN. ORÇAMENTÁRIA'!$A$17:$E$721,5,FALSE)</f>
        <v>UN</v>
      </c>
    </row>
    <row r="3473" spans="1:8">
      <c r="B3473" s="628" t="s">
        <v>586</v>
      </c>
      <c r="C3473" s="628"/>
      <c r="D3473" s="103" t="s">
        <v>579</v>
      </c>
      <c r="E3473" s="103" t="s">
        <v>580</v>
      </c>
      <c r="F3473" s="103" t="s">
        <v>581</v>
      </c>
      <c r="G3473" s="103" t="s">
        <v>582</v>
      </c>
      <c r="H3473" s="103" t="s">
        <v>583</v>
      </c>
    </row>
    <row r="3474" spans="1:8" ht="25.5">
      <c r="B3474" s="130" t="s">
        <v>1741</v>
      </c>
      <c r="C3474" s="229" t="s">
        <v>1742</v>
      </c>
      <c r="D3474" s="130" t="s">
        <v>119</v>
      </c>
      <c r="E3474" s="130" t="s">
        <v>144</v>
      </c>
      <c r="F3474" s="230">
        <v>1</v>
      </c>
      <c r="G3474" s="494">
        <v>13.21</v>
      </c>
      <c r="H3474" s="494">
        <v>13.21</v>
      </c>
    </row>
    <row r="3475" spans="1:8" ht="25.5">
      <c r="B3475" s="130" t="s">
        <v>1745</v>
      </c>
      <c r="C3475" s="229" t="s">
        <v>1746</v>
      </c>
      <c r="D3475" s="130" t="s">
        <v>119</v>
      </c>
      <c r="E3475" s="130" t="s">
        <v>144</v>
      </c>
      <c r="F3475" s="230">
        <v>1</v>
      </c>
      <c r="G3475" s="494">
        <v>27.18</v>
      </c>
      <c r="H3475" s="494">
        <v>27.18</v>
      </c>
    </row>
    <row r="3476" spans="1:8">
      <c r="B3476" s="105"/>
      <c r="C3476" s="105"/>
      <c r="D3476" s="105"/>
      <c r="E3476" s="105"/>
      <c r="F3476" s="629" t="s">
        <v>587</v>
      </c>
      <c r="G3476" s="629"/>
      <c r="H3476" s="495">
        <v>40.39</v>
      </c>
    </row>
    <row r="3477" spans="1:8" ht="12.75" customHeight="1">
      <c r="B3477" s="105"/>
      <c r="C3477" s="105"/>
      <c r="D3477" s="105"/>
      <c r="E3477" s="105"/>
      <c r="F3477" s="630" t="s">
        <v>464</v>
      </c>
      <c r="G3477" s="630"/>
      <c r="H3477" s="102">
        <v>40.39</v>
      </c>
    </row>
    <row r="3478" spans="1:8">
      <c r="B3478" s="105"/>
      <c r="C3478" s="105"/>
      <c r="D3478" s="105"/>
      <c r="E3478" s="105"/>
      <c r="F3478" s="634"/>
      <c r="G3478" s="634"/>
      <c r="H3478" s="634"/>
    </row>
    <row r="3479" spans="1:8" s="220" customFormat="1" ht="27" customHeight="1">
      <c r="A3479" s="178" t="str">
        <f>'3 - PLAN. ORÇAMENTÁRIA'!A564</f>
        <v>6.1.4.2</v>
      </c>
      <c r="B3479" s="178">
        <f>VLOOKUP(A3479,'3 - PLAN. ORÇAMENTÁRIA'!$A$16:$B$721,2,FALSE)</f>
        <v>92008</v>
      </c>
      <c r="C3479" s="631" t="str">
        <f>VLOOKUP(A3479,'3 - PLAN. ORÇAMENTÁRIA'!$A$16:$C$721,3,FALSE)</f>
        <v>TOMADA DE EMBUTIR (2 MÓDULOS), 2P+T 10 A, INCLUINDO SUPORTE E PLACA - FORNECIMENTO E INSTALAÇÃO. AF_03/2023</v>
      </c>
      <c r="D3479" s="632"/>
      <c r="E3479" s="632"/>
      <c r="F3479" s="632"/>
      <c r="G3479" s="633"/>
      <c r="H3479" s="493" t="str">
        <f>VLOOKUP(A3479,'3 - PLAN. ORÇAMENTÁRIA'!$A$17:$E$721,5,FALSE)</f>
        <v>UN</v>
      </c>
    </row>
    <row r="3480" spans="1:8">
      <c r="B3480" s="628" t="s">
        <v>586</v>
      </c>
      <c r="C3480" s="628"/>
      <c r="D3480" s="103" t="s">
        <v>579</v>
      </c>
      <c r="E3480" s="103" t="s">
        <v>580</v>
      </c>
      <c r="F3480" s="103" t="s">
        <v>581</v>
      </c>
      <c r="G3480" s="103" t="s">
        <v>582</v>
      </c>
      <c r="H3480" s="103" t="s">
        <v>583</v>
      </c>
    </row>
    <row r="3481" spans="1:8" ht="25.5">
      <c r="B3481" s="130" t="s">
        <v>1741</v>
      </c>
      <c r="C3481" s="229" t="s">
        <v>1742</v>
      </c>
      <c r="D3481" s="130" t="s">
        <v>119</v>
      </c>
      <c r="E3481" s="130" t="s">
        <v>144</v>
      </c>
      <c r="F3481" s="230">
        <v>1</v>
      </c>
      <c r="G3481" s="494">
        <v>13.21</v>
      </c>
      <c r="H3481" s="494">
        <v>13.21</v>
      </c>
    </row>
    <row r="3482" spans="1:8" ht="25.5">
      <c r="B3482" s="130" t="s">
        <v>1747</v>
      </c>
      <c r="C3482" s="229" t="s">
        <v>1748</v>
      </c>
      <c r="D3482" s="130" t="s">
        <v>119</v>
      </c>
      <c r="E3482" s="130" t="s">
        <v>144</v>
      </c>
      <c r="F3482" s="230">
        <v>1</v>
      </c>
      <c r="G3482" s="494">
        <v>44.91</v>
      </c>
      <c r="H3482" s="494">
        <v>44.91</v>
      </c>
    </row>
    <row r="3483" spans="1:8">
      <c r="B3483" s="105"/>
      <c r="C3483" s="105"/>
      <c r="D3483" s="105"/>
      <c r="E3483" s="105"/>
      <c r="F3483" s="629" t="s">
        <v>587</v>
      </c>
      <c r="G3483" s="629"/>
      <c r="H3483" s="495">
        <v>58.12</v>
      </c>
    </row>
    <row r="3484" spans="1:8" ht="12.75" customHeight="1">
      <c r="B3484" s="105"/>
      <c r="C3484" s="105"/>
      <c r="D3484" s="105"/>
      <c r="E3484" s="105"/>
      <c r="F3484" s="630" t="s">
        <v>464</v>
      </c>
      <c r="G3484" s="630"/>
      <c r="H3484" s="102">
        <v>58.12</v>
      </c>
    </row>
    <row r="3485" spans="1:8">
      <c r="B3485" s="105"/>
      <c r="C3485" s="105"/>
      <c r="D3485" s="105"/>
      <c r="E3485" s="105"/>
      <c r="F3485" s="634"/>
      <c r="G3485" s="634"/>
      <c r="H3485" s="634"/>
    </row>
    <row r="3486" spans="1:8" s="220" customFormat="1" ht="27" customHeight="1">
      <c r="A3486" s="178" t="str">
        <f>'3 - PLAN. ORÇAMENTÁRIA'!A565</f>
        <v>6.1.4.3</v>
      </c>
      <c r="B3486" s="178">
        <f>VLOOKUP(A3486,'3 - PLAN. ORÇAMENTÁRIA'!$A$16:$B$721,2,FALSE)</f>
        <v>92019</v>
      </c>
      <c r="C3486" s="631" t="str">
        <f>VLOOKUP(A3486,'3 - PLAN. ORÇAMENTÁRIA'!$A$16:$C$721,3,FALSE)</f>
        <v>TOMADA DE EMBUTIR (4 MÓDULOS), 2P+T 10 A, INCLUINDO SUPORTE E PLACA - FORNECIMENTO E INSTALAÇÃO. AF_03/2023</v>
      </c>
      <c r="D3486" s="632"/>
      <c r="E3486" s="632"/>
      <c r="F3486" s="632"/>
      <c r="G3486" s="633"/>
      <c r="H3486" s="493" t="str">
        <f>VLOOKUP(A3486,'3 - PLAN. ORÇAMENTÁRIA'!$A$17:$E$721,5,FALSE)</f>
        <v>UN</v>
      </c>
    </row>
    <row r="3487" spans="1:8">
      <c r="B3487" s="628" t="s">
        <v>586</v>
      </c>
      <c r="C3487" s="628"/>
      <c r="D3487" s="103" t="s">
        <v>579</v>
      </c>
      <c r="E3487" s="103" t="s">
        <v>580</v>
      </c>
      <c r="F3487" s="103" t="s">
        <v>581</v>
      </c>
      <c r="G3487" s="103" t="s">
        <v>582</v>
      </c>
      <c r="H3487" s="103" t="s">
        <v>583</v>
      </c>
    </row>
    <row r="3488" spans="1:8" ht="25.5">
      <c r="B3488" s="130" t="s">
        <v>1749</v>
      </c>
      <c r="C3488" s="229" t="s">
        <v>1750</v>
      </c>
      <c r="D3488" s="130" t="s">
        <v>119</v>
      </c>
      <c r="E3488" s="130" t="s">
        <v>144</v>
      </c>
      <c r="F3488" s="230">
        <v>1</v>
      </c>
      <c r="G3488" s="494">
        <v>19.77</v>
      </c>
      <c r="H3488" s="494">
        <v>19.77</v>
      </c>
    </row>
    <row r="3489" spans="1:8" ht="25.5">
      <c r="B3489" s="130" t="s">
        <v>1751</v>
      </c>
      <c r="C3489" s="229" t="s">
        <v>1752</v>
      </c>
      <c r="D3489" s="130" t="s">
        <v>119</v>
      </c>
      <c r="E3489" s="130" t="s">
        <v>144</v>
      </c>
      <c r="F3489" s="230">
        <v>1</v>
      </c>
      <c r="G3489" s="494">
        <v>86.88</v>
      </c>
      <c r="H3489" s="494">
        <v>86.88</v>
      </c>
    </row>
    <row r="3490" spans="1:8">
      <c r="B3490" s="105"/>
      <c r="C3490" s="105"/>
      <c r="D3490" s="105"/>
      <c r="E3490" s="105"/>
      <c r="F3490" s="629" t="s">
        <v>587</v>
      </c>
      <c r="G3490" s="629"/>
      <c r="H3490" s="495">
        <v>106.65</v>
      </c>
    </row>
    <row r="3491" spans="1:8" ht="12.75" customHeight="1">
      <c r="B3491" s="105"/>
      <c r="C3491" s="105"/>
      <c r="D3491" s="105"/>
      <c r="E3491" s="105"/>
      <c r="F3491" s="630" t="s">
        <v>464</v>
      </c>
      <c r="G3491" s="630"/>
      <c r="H3491" s="102">
        <v>106.65</v>
      </c>
    </row>
    <row r="3492" spans="1:8">
      <c r="B3492" s="105"/>
      <c r="C3492" s="105"/>
      <c r="D3492" s="105"/>
      <c r="E3492" s="105"/>
      <c r="F3492" s="634"/>
      <c r="G3492" s="634"/>
      <c r="H3492" s="634"/>
    </row>
    <row r="3493" spans="1:8" s="220" customFormat="1" ht="27" customHeight="1">
      <c r="A3493" s="178" t="str">
        <f>'3 - PLAN. ORÇAMENTÁRIA'!A566</f>
        <v>6.1.4.4</v>
      </c>
      <c r="B3493" s="178">
        <f>VLOOKUP(A3493,'3 - PLAN. ORÇAMENTÁRIA'!$A$16:$B$721,2,FALSE)</f>
        <v>92000</v>
      </c>
      <c r="C3493" s="631" t="str">
        <f>VLOOKUP(A3493,'3 - PLAN. ORÇAMENTÁRIA'!$A$16:$C$721,3,FALSE)</f>
        <v>TOMADA DE EMBUTIR (1 MÓDULO), 2P+T 10 A, INCLUINDO SUPORTE E PLACA - FORNECIMENTO E INSTALAÇÃO. AF_03/2023</v>
      </c>
      <c r="D3493" s="632"/>
      <c r="E3493" s="632"/>
      <c r="F3493" s="632"/>
      <c r="G3493" s="633"/>
      <c r="H3493" s="493" t="str">
        <f>VLOOKUP(A3493,'3 - PLAN. ORÇAMENTÁRIA'!$A$17:$E$721,5,FALSE)</f>
        <v>UN</v>
      </c>
    </row>
    <row r="3494" spans="1:8">
      <c r="B3494" s="628" t="s">
        <v>586</v>
      </c>
      <c r="C3494" s="628"/>
      <c r="D3494" s="103" t="s">
        <v>579</v>
      </c>
      <c r="E3494" s="103" t="s">
        <v>580</v>
      </c>
      <c r="F3494" s="103" t="s">
        <v>581</v>
      </c>
      <c r="G3494" s="103" t="s">
        <v>582</v>
      </c>
      <c r="H3494" s="103" t="s">
        <v>583</v>
      </c>
    </row>
    <row r="3495" spans="1:8" ht="25.5">
      <c r="B3495" s="130" t="s">
        <v>1741</v>
      </c>
      <c r="C3495" s="229" t="s">
        <v>1742</v>
      </c>
      <c r="D3495" s="130" t="s">
        <v>119</v>
      </c>
      <c r="E3495" s="130" t="s">
        <v>144</v>
      </c>
      <c r="F3495" s="230">
        <v>1</v>
      </c>
      <c r="G3495" s="494">
        <v>13.21</v>
      </c>
      <c r="H3495" s="494">
        <v>13.21</v>
      </c>
    </row>
    <row r="3496" spans="1:8" ht="25.5">
      <c r="B3496" s="130" t="s">
        <v>1743</v>
      </c>
      <c r="C3496" s="229" t="s">
        <v>1744</v>
      </c>
      <c r="D3496" s="130" t="s">
        <v>119</v>
      </c>
      <c r="E3496" s="130" t="s">
        <v>144</v>
      </c>
      <c r="F3496" s="230">
        <v>1</v>
      </c>
      <c r="G3496" s="494">
        <v>24.24</v>
      </c>
      <c r="H3496" s="494">
        <v>24.24</v>
      </c>
    </row>
    <row r="3497" spans="1:8">
      <c r="B3497" s="105"/>
      <c r="C3497" s="105"/>
      <c r="D3497" s="105"/>
      <c r="E3497" s="105"/>
      <c r="F3497" s="629" t="s">
        <v>587</v>
      </c>
      <c r="G3497" s="629"/>
      <c r="H3497" s="495">
        <v>37.450000000000003</v>
      </c>
    </row>
    <row r="3498" spans="1:8" ht="12.75" customHeight="1">
      <c r="B3498" s="105"/>
      <c r="C3498" s="105"/>
      <c r="D3498" s="105"/>
      <c r="E3498" s="105"/>
      <c r="F3498" s="630" t="s">
        <v>464</v>
      </c>
      <c r="G3498" s="630"/>
      <c r="H3498" s="102">
        <v>37.450000000000003</v>
      </c>
    </row>
    <row r="3499" spans="1:8">
      <c r="B3499" s="105"/>
      <c r="C3499" s="105"/>
      <c r="D3499" s="105"/>
      <c r="E3499" s="105"/>
      <c r="F3499" s="634"/>
      <c r="G3499" s="634"/>
      <c r="H3499" s="634"/>
    </row>
    <row r="3500" spans="1:8" s="220" customFormat="1" ht="27" customHeight="1">
      <c r="A3500" s="178" t="str">
        <f>'3 - PLAN. ORÇAMENTÁRIA'!A567</f>
        <v>6.1.4.5</v>
      </c>
      <c r="B3500" s="178">
        <f>VLOOKUP(A3500,'3 - PLAN. ORÇAMENTÁRIA'!$A$16:$B$721,2,FALSE)</f>
        <v>91955</v>
      </c>
      <c r="C3500" s="631" t="str">
        <f>VLOOKUP(A3500,'3 - PLAN. ORÇAMENTÁRIA'!$A$16:$C$721,3,FALSE)</f>
        <v>INTERRUPTOR PARALELO (1 MÓDULO), 10A/250V, INCLUINDO SUPORTE E PLACA - FORNECIMENTO E INSTALAÇÃO. AF_03/2023</v>
      </c>
      <c r="D3500" s="632"/>
      <c r="E3500" s="632"/>
      <c r="F3500" s="632"/>
      <c r="G3500" s="633"/>
      <c r="H3500" s="493" t="str">
        <f>VLOOKUP(A3500,'3 - PLAN. ORÇAMENTÁRIA'!$A$17:$E$721,5,FALSE)</f>
        <v>UN</v>
      </c>
    </row>
    <row r="3501" spans="1:8">
      <c r="B3501" s="628" t="s">
        <v>586</v>
      </c>
      <c r="C3501" s="628"/>
      <c r="D3501" s="103" t="s">
        <v>579</v>
      </c>
      <c r="E3501" s="103" t="s">
        <v>580</v>
      </c>
      <c r="F3501" s="103" t="s">
        <v>581</v>
      </c>
      <c r="G3501" s="103" t="s">
        <v>582</v>
      </c>
      <c r="H3501" s="103" t="s">
        <v>583</v>
      </c>
    </row>
    <row r="3502" spans="1:8" ht="25.5">
      <c r="B3502" s="130" t="s">
        <v>1753</v>
      </c>
      <c r="C3502" s="229" t="s">
        <v>1754</v>
      </c>
      <c r="D3502" s="130" t="s">
        <v>119</v>
      </c>
      <c r="E3502" s="130" t="s">
        <v>144</v>
      </c>
      <c r="F3502" s="230">
        <v>1</v>
      </c>
      <c r="G3502" s="494">
        <v>30.01</v>
      </c>
      <c r="H3502" s="494">
        <v>30.01</v>
      </c>
    </row>
    <row r="3503" spans="1:8" ht="25.5">
      <c r="B3503" s="130" t="s">
        <v>1741</v>
      </c>
      <c r="C3503" s="229" t="s">
        <v>1742</v>
      </c>
      <c r="D3503" s="130" t="s">
        <v>119</v>
      </c>
      <c r="E3503" s="130" t="s">
        <v>144</v>
      </c>
      <c r="F3503" s="230">
        <v>1</v>
      </c>
      <c r="G3503" s="494">
        <v>13.21</v>
      </c>
      <c r="H3503" s="494">
        <v>13.21</v>
      </c>
    </row>
    <row r="3504" spans="1:8">
      <c r="B3504" s="105"/>
      <c r="C3504" s="105"/>
      <c r="D3504" s="105"/>
      <c r="E3504" s="105"/>
      <c r="F3504" s="629" t="s">
        <v>587</v>
      </c>
      <c r="G3504" s="629"/>
      <c r="H3504" s="495">
        <v>43.22</v>
      </c>
    </row>
    <row r="3505" spans="1:8" ht="12.75" customHeight="1">
      <c r="B3505" s="105"/>
      <c r="C3505" s="105"/>
      <c r="D3505" s="105"/>
      <c r="E3505" s="105"/>
      <c r="F3505" s="630" t="s">
        <v>464</v>
      </c>
      <c r="G3505" s="630"/>
      <c r="H3505" s="102">
        <v>43.22</v>
      </c>
    </row>
    <row r="3506" spans="1:8">
      <c r="B3506" s="105"/>
      <c r="C3506" s="105"/>
      <c r="D3506" s="105"/>
      <c r="E3506" s="105"/>
      <c r="F3506" s="634"/>
      <c r="G3506" s="634"/>
      <c r="H3506" s="634"/>
    </row>
    <row r="3507" spans="1:8" s="220" customFormat="1" ht="27" customHeight="1">
      <c r="A3507" s="178" t="str">
        <f>'3 - PLAN. ORÇAMENTÁRIA'!A568</f>
        <v>6.1.4.6</v>
      </c>
      <c r="B3507" s="178">
        <f>VLOOKUP(A3507,'3 - PLAN. ORÇAMENTÁRIA'!$A$16:$B$721,2,FALSE)</f>
        <v>91969</v>
      </c>
      <c r="C3507" s="631" t="str">
        <f>VLOOKUP(A3507,'3 - PLAN. ORÇAMENTÁRIA'!$A$16:$C$721,3,FALSE)</f>
        <v>INTERRUPTOR PARALELO (3 MÓDULOS), 10A/250V, INCLUINDO SUPORTE E PLACA - FORNECIMENTO E INSTALAÇÃO. AF_03/2023</v>
      </c>
      <c r="D3507" s="632"/>
      <c r="E3507" s="632"/>
      <c r="F3507" s="632"/>
      <c r="G3507" s="633"/>
      <c r="H3507" s="493" t="str">
        <f>VLOOKUP(A3507,'3 - PLAN. ORÇAMENTÁRIA'!$A$17:$E$721,5,FALSE)</f>
        <v>UN</v>
      </c>
    </row>
    <row r="3508" spans="1:8">
      <c r="B3508" s="628" t="s">
        <v>586</v>
      </c>
      <c r="C3508" s="628"/>
      <c r="D3508" s="103" t="s">
        <v>579</v>
      </c>
      <c r="E3508" s="103" t="s">
        <v>580</v>
      </c>
      <c r="F3508" s="103" t="s">
        <v>581</v>
      </c>
      <c r="G3508" s="103" t="s">
        <v>582</v>
      </c>
      <c r="H3508" s="103" t="s">
        <v>583</v>
      </c>
    </row>
    <row r="3509" spans="1:8" ht="25.5">
      <c r="B3509" s="130" t="s">
        <v>2469</v>
      </c>
      <c r="C3509" s="229" t="s">
        <v>2470</v>
      </c>
      <c r="D3509" s="130" t="s">
        <v>119</v>
      </c>
      <c r="E3509" s="130" t="s">
        <v>144</v>
      </c>
      <c r="F3509" s="230">
        <v>1</v>
      </c>
      <c r="G3509" s="494">
        <v>82.97</v>
      </c>
      <c r="H3509" s="494">
        <v>82.97</v>
      </c>
    </row>
    <row r="3510" spans="1:8" ht="25.5">
      <c r="B3510" s="130" t="s">
        <v>1741</v>
      </c>
      <c r="C3510" s="229" t="s">
        <v>1742</v>
      </c>
      <c r="D3510" s="130" t="s">
        <v>119</v>
      </c>
      <c r="E3510" s="130" t="s">
        <v>144</v>
      </c>
      <c r="F3510" s="230">
        <v>1</v>
      </c>
      <c r="G3510" s="494">
        <v>13.21</v>
      </c>
      <c r="H3510" s="494">
        <v>13.21</v>
      </c>
    </row>
    <row r="3511" spans="1:8">
      <c r="B3511" s="105"/>
      <c r="C3511" s="105"/>
      <c r="D3511" s="105"/>
      <c r="E3511" s="105"/>
      <c r="F3511" s="629" t="s">
        <v>587</v>
      </c>
      <c r="G3511" s="629"/>
      <c r="H3511" s="495">
        <v>96.18</v>
      </c>
    </row>
    <row r="3512" spans="1:8" ht="12.75" customHeight="1">
      <c r="B3512" s="105"/>
      <c r="C3512" s="105"/>
      <c r="D3512" s="105"/>
      <c r="E3512" s="105"/>
      <c r="F3512" s="630" t="s">
        <v>464</v>
      </c>
      <c r="G3512" s="630"/>
      <c r="H3512" s="102">
        <v>96.18</v>
      </c>
    </row>
    <row r="3513" spans="1:8">
      <c r="B3513" s="105"/>
      <c r="C3513" s="105"/>
      <c r="D3513" s="105"/>
      <c r="E3513" s="105"/>
      <c r="F3513" s="634"/>
      <c r="G3513" s="634"/>
      <c r="H3513" s="634"/>
    </row>
    <row r="3514" spans="1:8" s="220" customFormat="1" ht="27" customHeight="1">
      <c r="A3514" s="178" t="str">
        <f>'3 - PLAN. ORÇAMENTÁRIA'!A569</f>
        <v>6.1.4.7</v>
      </c>
      <c r="B3514" s="178">
        <f>VLOOKUP(A3514,'3 - PLAN. ORÇAMENTÁRIA'!$A$16:$B$721,2,FALSE)</f>
        <v>91974</v>
      </c>
      <c r="C3514" s="631" t="str">
        <f>VLOOKUP(A3514,'3 - PLAN. ORÇAMENTÁRIA'!$A$16:$C$721,3,FALSE)</f>
        <v>INTERRUPTOR SIMPLES (4 MÓDULOS), 10A/250V, SEM SUPORTE E SEM PLACA - FORNECIMENTO E INSTALAÇÃO. AF_03/2023</v>
      </c>
      <c r="D3514" s="632"/>
      <c r="E3514" s="632"/>
      <c r="F3514" s="632"/>
      <c r="G3514" s="633"/>
      <c r="H3514" s="493" t="str">
        <f>VLOOKUP(A3514,'3 - PLAN. ORÇAMENTÁRIA'!$A$17:$E$721,5,FALSE)</f>
        <v>UN</v>
      </c>
    </row>
    <row r="3515" spans="1:8">
      <c r="B3515" s="628" t="s">
        <v>593</v>
      </c>
      <c r="C3515" s="628"/>
      <c r="D3515" s="103" t="s">
        <v>579</v>
      </c>
      <c r="E3515" s="103" t="s">
        <v>580</v>
      </c>
      <c r="F3515" s="103" t="s">
        <v>581</v>
      </c>
      <c r="G3515" s="103" t="s">
        <v>582</v>
      </c>
      <c r="H3515" s="103" t="s">
        <v>583</v>
      </c>
    </row>
    <row r="3516" spans="1:8">
      <c r="B3516" s="130" t="s">
        <v>1755</v>
      </c>
      <c r="C3516" s="229" t="s">
        <v>1756</v>
      </c>
      <c r="D3516" s="130" t="s">
        <v>119</v>
      </c>
      <c r="E3516" s="130" t="s">
        <v>144</v>
      </c>
      <c r="F3516" s="230">
        <v>4</v>
      </c>
      <c r="G3516" s="494">
        <v>9.24</v>
      </c>
      <c r="H3516" s="494">
        <v>36.96</v>
      </c>
    </row>
    <row r="3517" spans="1:8">
      <c r="B3517" s="105"/>
      <c r="C3517" s="105"/>
      <c r="D3517" s="105"/>
      <c r="E3517" s="105"/>
      <c r="F3517" s="629" t="s">
        <v>604</v>
      </c>
      <c r="G3517" s="629"/>
      <c r="H3517" s="495">
        <v>36.96</v>
      </c>
    </row>
    <row r="3518" spans="1:8" ht="12.75" customHeight="1">
      <c r="B3518" s="628" t="s">
        <v>607</v>
      </c>
      <c r="C3518" s="628"/>
      <c r="D3518" s="103" t="s">
        <v>579</v>
      </c>
      <c r="E3518" s="103" t="s">
        <v>580</v>
      </c>
      <c r="F3518" s="103" t="s">
        <v>581</v>
      </c>
      <c r="G3518" s="103" t="s">
        <v>582</v>
      </c>
      <c r="H3518" s="103" t="s">
        <v>583</v>
      </c>
    </row>
    <row r="3519" spans="1:8">
      <c r="B3519" s="130" t="s">
        <v>1256</v>
      </c>
      <c r="C3519" s="229" t="s">
        <v>608</v>
      </c>
      <c r="D3519" s="130" t="s">
        <v>119</v>
      </c>
      <c r="E3519" s="130" t="s">
        <v>121</v>
      </c>
      <c r="F3519" s="230">
        <v>0.748</v>
      </c>
      <c r="G3519" s="494">
        <v>25</v>
      </c>
      <c r="H3519" s="494">
        <v>18.7</v>
      </c>
    </row>
    <row r="3520" spans="1:8">
      <c r="B3520" s="130" t="s">
        <v>1257</v>
      </c>
      <c r="C3520" s="229" t="s">
        <v>609</v>
      </c>
      <c r="D3520" s="130" t="s">
        <v>119</v>
      </c>
      <c r="E3520" s="130" t="s">
        <v>121</v>
      </c>
      <c r="F3520" s="230">
        <v>0.748</v>
      </c>
      <c r="G3520" s="494">
        <v>31.72</v>
      </c>
      <c r="H3520" s="494">
        <v>23.73</v>
      </c>
    </row>
    <row r="3521" spans="1:8" ht="12.75" customHeight="1">
      <c r="B3521" s="105"/>
      <c r="C3521" s="105"/>
      <c r="D3521" s="105"/>
      <c r="E3521" s="105"/>
      <c r="F3521" s="629" t="s">
        <v>610</v>
      </c>
      <c r="G3521" s="629"/>
      <c r="H3521" s="495">
        <v>42.43</v>
      </c>
    </row>
    <row r="3522" spans="1:8" ht="12.75" customHeight="1">
      <c r="B3522" s="105"/>
      <c r="C3522" s="105"/>
      <c r="D3522" s="105"/>
      <c r="E3522" s="105"/>
      <c r="F3522" s="630" t="s">
        <v>464</v>
      </c>
      <c r="G3522" s="630"/>
      <c r="H3522" s="102">
        <v>79.38</v>
      </c>
    </row>
    <row r="3523" spans="1:8">
      <c r="B3523" s="105"/>
      <c r="C3523" s="105"/>
      <c r="D3523" s="105"/>
      <c r="E3523" s="105"/>
      <c r="F3523" s="634"/>
      <c r="G3523" s="634"/>
      <c r="H3523" s="634"/>
    </row>
    <row r="3524" spans="1:8" s="220" customFormat="1" ht="27" customHeight="1">
      <c r="A3524" s="178" t="str">
        <f>'3 - PLAN. ORÇAMENTÁRIA'!A570</f>
        <v>6.1.4.8</v>
      </c>
      <c r="B3524" s="178">
        <f>VLOOKUP(A3524,'3 - PLAN. ORÇAMENTÁRIA'!$A$16:$B$721,2,FALSE)</f>
        <v>92029</v>
      </c>
      <c r="C3524" s="631" t="str">
        <f>VLOOKUP(A3524,'3 - PLAN. ORÇAMENTÁRIA'!$A$16:$C$721,3,FALSE)</f>
        <v>INTERRUPTOR PARALELO (1 MÓDULO) COM 1 TOMADA DE EMBUTIR 2P+T 10 A, INCLUINDO SUPORTE E PLACA - FORNECIMENTO E INSTALAÇÃO. AF_03/2023</v>
      </c>
      <c r="D3524" s="632"/>
      <c r="E3524" s="632"/>
      <c r="F3524" s="632"/>
      <c r="G3524" s="633"/>
      <c r="H3524" s="493" t="str">
        <f>VLOOKUP(A3524,'3 - PLAN. ORÇAMENTÁRIA'!$A$17:$E$721,5,FALSE)</f>
        <v>UN</v>
      </c>
    </row>
    <row r="3525" spans="1:8">
      <c r="B3525" s="628" t="s">
        <v>586</v>
      </c>
      <c r="C3525" s="628"/>
      <c r="D3525" s="103" t="s">
        <v>579</v>
      </c>
      <c r="E3525" s="103" t="s">
        <v>580</v>
      </c>
      <c r="F3525" s="103" t="s">
        <v>581</v>
      </c>
      <c r="G3525" s="103" t="s">
        <v>582</v>
      </c>
      <c r="H3525" s="103" t="s">
        <v>583</v>
      </c>
    </row>
    <row r="3526" spans="1:8" ht="25.5">
      <c r="B3526" s="130" t="s">
        <v>1757</v>
      </c>
      <c r="C3526" s="229" t="s">
        <v>1758</v>
      </c>
      <c r="D3526" s="130" t="s">
        <v>119</v>
      </c>
      <c r="E3526" s="130" t="s">
        <v>144</v>
      </c>
      <c r="F3526" s="230">
        <v>1</v>
      </c>
      <c r="G3526" s="494">
        <v>55</v>
      </c>
      <c r="H3526" s="494">
        <v>55</v>
      </c>
    </row>
    <row r="3527" spans="1:8" ht="25.5">
      <c r="B3527" s="130" t="s">
        <v>1741</v>
      </c>
      <c r="C3527" s="229" t="s">
        <v>1742</v>
      </c>
      <c r="D3527" s="130" t="s">
        <v>119</v>
      </c>
      <c r="E3527" s="130" t="s">
        <v>144</v>
      </c>
      <c r="F3527" s="230">
        <v>1</v>
      </c>
      <c r="G3527" s="494">
        <v>13.21</v>
      </c>
      <c r="H3527" s="494">
        <v>13.21</v>
      </c>
    </row>
    <row r="3528" spans="1:8">
      <c r="B3528" s="105"/>
      <c r="C3528" s="105"/>
      <c r="D3528" s="105"/>
      <c r="E3528" s="105"/>
      <c r="F3528" s="629" t="s">
        <v>587</v>
      </c>
      <c r="G3528" s="629"/>
      <c r="H3528" s="495">
        <v>68.209999999999994</v>
      </c>
    </row>
    <row r="3529" spans="1:8" ht="12.75" customHeight="1">
      <c r="B3529" s="105"/>
      <c r="C3529" s="105"/>
      <c r="D3529" s="105"/>
      <c r="E3529" s="105"/>
      <c r="F3529" s="630" t="s">
        <v>464</v>
      </c>
      <c r="G3529" s="630"/>
      <c r="H3529" s="102">
        <v>68.209999999999994</v>
      </c>
    </row>
    <row r="3530" spans="1:8">
      <c r="B3530" s="105"/>
      <c r="C3530" s="105"/>
      <c r="D3530" s="105"/>
      <c r="E3530" s="105"/>
      <c r="F3530" s="634"/>
      <c r="G3530" s="634"/>
      <c r="H3530" s="634"/>
    </row>
    <row r="3531" spans="1:8" s="220" customFormat="1" ht="27" customHeight="1">
      <c r="A3531" s="178" t="str">
        <f>'3 - PLAN. ORÇAMENTÁRIA'!A571</f>
        <v>6.1.4.9</v>
      </c>
      <c r="B3531" s="178">
        <f>VLOOKUP(A3531,'3 - PLAN. ORÇAMENTÁRIA'!$A$16:$B$721,2,FALSE)</f>
        <v>38091</v>
      </c>
      <c r="C3531" s="631" t="str">
        <f>VLOOKUP(A3531,'3 - PLAN. ORÇAMENTÁRIA'!$A$16:$C$721,3,FALSE)</f>
        <v>PLACA COM FURO 4" X 2", PARA SAÍDA DE FIOS</v>
      </c>
      <c r="D3531" s="632"/>
      <c r="E3531" s="632"/>
      <c r="F3531" s="632"/>
      <c r="G3531" s="633"/>
      <c r="H3531" s="493" t="str">
        <f>VLOOKUP(A3531,'3 - PLAN. ORÇAMENTÁRIA'!$A$17:$E$721,5,FALSE)</f>
        <v>UN</v>
      </c>
    </row>
    <row r="3532" spans="1:8">
      <c r="B3532" s="628" t="s">
        <v>593</v>
      </c>
      <c r="C3532" s="628"/>
      <c r="D3532" s="103" t="s">
        <v>579</v>
      </c>
      <c r="E3532" s="103" t="s">
        <v>580</v>
      </c>
      <c r="F3532" s="103" t="s">
        <v>581</v>
      </c>
      <c r="G3532" s="103" t="s">
        <v>582</v>
      </c>
      <c r="H3532" s="103" t="s">
        <v>583</v>
      </c>
    </row>
    <row r="3533" spans="1:8">
      <c r="B3533" s="130" t="s">
        <v>425</v>
      </c>
      <c r="C3533" s="229" t="s">
        <v>1759</v>
      </c>
      <c r="D3533" s="130" t="s">
        <v>119</v>
      </c>
      <c r="E3533" s="130" t="s">
        <v>144</v>
      </c>
      <c r="F3533" s="230">
        <v>1</v>
      </c>
      <c r="G3533" s="494">
        <v>3.26</v>
      </c>
      <c r="H3533" s="494">
        <v>3.26</v>
      </c>
    </row>
    <row r="3534" spans="1:8">
      <c r="B3534" s="105"/>
      <c r="C3534" s="105"/>
      <c r="D3534" s="105"/>
      <c r="E3534" s="105"/>
      <c r="F3534" s="629" t="s">
        <v>604</v>
      </c>
      <c r="G3534" s="629"/>
      <c r="H3534" s="495">
        <v>3.26</v>
      </c>
    </row>
    <row r="3535" spans="1:8" ht="12.75" customHeight="1">
      <c r="B3535" s="105"/>
      <c r="C3535" s="105"/>
      <c r="D3535" s="105"/>
      <c r="E3535" s="105"/>
      <c r="F3535" s="630" t="s">
        <v>464</v>
      </c>
      <c r="G3535" s="630"/>
      <c r="H3535" s="102">
        <v>3.26</v>
      </c>
    </row>
    <row r="3536" spans="1:8">
      <c r="B3536" s="105"/>
      <c r="C3536" s="105"/>
      <c r="D3536" s="105"/>
      <c r="E3536" s="105"/>
      <c r="F3536" s="634"/>
      <c r="G3536" s="634"/>
      <c r="H3536" s="634"/>
    </row>
    <row r="3537" spans="1:8" s="220" customFormat="1" ht="27" customHeight="1">
      <c r="A3537" s="178" t="str">
        <f>'3 - PLAN. ORÇAMENTÁRIA'!A582</f>
        <v>6.1.5.1</v>
      </c>
      <c r="B3537" s="178">
        <f>VLOOKUP(A3537,'3 - PLAN. ORÇAMENTÁRIA'!$A$16:$B$721,2,FALSE)</f>
        <v>92990</v>
      </c>
      <c r="C3537" s="631" t="str">
        <f>VLOOKUP(A3537,'3 - PLAN. ORÇAMENTÁRIA'!$A$16:$C$721,3,FALSE)</f>
        <v>CABO DE COBRE FLEXÍVEL ISOLADO, 70 MM², ANTI-CHAMA 0,6/1,0 KV - FORNECIMENTO E INSTALAÇÃO. AF_12/2021</v>
      </c>
      <c r="D3537" s="632"/>
      <c r="E3537" s="632"/>
      <c r="F3537" s="632"/>
      <c r="G3537" s="633"/>
      <c r="H3537" s="433" t="str">
        <f>VLOOKUP(A3537,'3 - PLAN. ORÇAMENTÁRIA'!$A$17:$E$721,5,FALSE)</f>
        <v>M</v>
      </c>
    </row>
    <row r="3538" spans="1:8">
      <c r="B3538" s="628" t="s">
        <v>593</v>
      </c>
      <c r="C3538" s="628"/>
      <c r="D3538" s="103" t="s">
        <v>579</v>
      </c>
      <c r="E3538" s="103" t="s">
        <v>580</v>
      </c>
      <c r="F3538" s="103" t="s">
        <v>581</v>
      </c>
      <c r="G3538" s="103" t="s">
        <v>582</v>
      </c>
      <c r="H3538" s="103" t="s">
        <v>583</v>
      </c>
    </row>
    <row r="3539" spans="1:8" ht="25.5">
      <c r="B3539" s="130" t="s">
        <v>1760</v>
      </c>
      <c r="C3539" s="229" t="s">
        <v>1761</v>
      </c>
      <c r="D3539" s="130" t="s">
        <v>119</v>
      </c>
      <c r="E3539" s="130" t="s">
        <v>173</v>
      </c>
      <c r="F3539" s="230">
        <v>1.0149999999999999</v>
      </c>
      <c r="G3539" s="494">
        <v>88.87</v>
      </c>
      <c r="H3539" s="494">
        <v>90.2</v>
      </c>
    </row>
    <row r="3540" spans="1:8">
      <c r="B3540" s="130" t="s">
        <v>1737</v>
      </c>
      <c r="C3540" s="229" t="s">
        <v>1738</v>
      </c>
      <c r="D3540" s="130" t="s">
        <v>119</v>
      </c>
      <c r="E3540" s="130" t="s">
        <v>144</v>
      </c>
      <c r="F3540" s="230">
        <v>8.9999999999999993E-3</v>
      </c>
      <c r="G3540" s="494">
        <v>4.38</v>
      </c>
      <c r="H3540" s="494">
        <v>0.04</v>
      </c>
    </row>
    <row r="3541" spans="1:8">
      <c r="B3541" s="105"/>
      <c r="C3541" s="105"/>
      <c r="D3541" s="105"/>
      <c r="E3541" s="105"/>
      <c r="F3541" s="629" t="s">
        <v>604</v>
      </c>
      <c r="G3541" s="629"/>
      <c r="H3541" s="495">
        <v>90.24</v>
      </c>
    </row>
    <row r="3542" spans="1:8" ht="12.75" customHeight="1">
      <c r="B3542" s="628" t="s">
        <v>607</v>
      </c>
      <c r="C3542" s="628"/>
      <c r="D3542" s="103" t="s">
        <v>579</v>
      </c>
      <c r="E3542" s="103" t="s">
        <v>580</v>
      </c>
      <c r="F3542" s="103" t="s">
        <v>581</v>
      </c>
      <c r="G3542" s="103" t="s">
        <v>582</v>
      </c>
      <c r="H3542" s="103" t="s">
        <v>583</v>
      </c>
    </row>
    <row r="3543" spans="1:8">
      <c r="B3543" s="130" t="s">
        <v>1256</v>
      </c>
      <c r="C3543" s="229" t="s">
        <v>608</v>
      </c>
      <c r="D3543" s="130" t="s">
        <v>119</v>
      </c>
      <c r="E3543" s="130" t="s">
        <v>121</v>
      </c>
      <c r="F3543" s="230">
        <v>0.1007</v>
      </c>
      <c r="G3543" s="494">
        <v>25</v>
      </c>
      <c r="H3543" s="494">
        <v>2.52</v>
      </c>
    </row>
    <row r="3544" spans="1:8">
      <c r="B3544" s="130" t="s">
        <v>1257</v>
      </c>
      <c r="C3544" s="229" t="s">
        <v>609</v>
      </c>
      <c r="D3544" s="130" t="s">
        <v>119</v>
      </c>
      <c r="E3544" s="130" t="s">
        <v>121</v>
      </c>
      <c r="F3544" s="230">
        <v>0.1007</v>
      </c>
      <c r="G3544" s="494">
        <v>31.72</v>
      </c>
      <c r="H3544" s="494">
        <v>3.19</v>
      </c>
    </row>
    <row r="3545" spans="1:8" ht="12.75" customHeight="1">
      <c r="B3545" s="105"/>
      <c r="C3545" s="105"/>
      <c r="D3545" s="105"/>
      <c r="E3545" s="105"/>
      <c r="F3545" s="629" t="s">
        <v>610</v>
      </c>
      <c r="G3545" s="629"/>
      <c r="H3545" s="495">
        <v>5.71</v>
      </c>
    </row>
    <row r="3546" spans="1:8" ht="12.75" customHeight="1">
      <c r="B3546" s="105"/>
      <c r="C3546" s="105"/>
      <c r="D3546" s="105"/>
      <c r="E3546" s="105"/>
      <c r="F3546" s="630" t="s">
        <v>464</v>
      </c>
      <c r="G3546" s="630"/>
      <c r="H3546" s="102">
        <v>95.93</v>
      </c>
    </row>
    <row r="3547" spans="1:8">
      <c r="B3547" s="105"/>
      <c r="C3547" s="105"/>
      <c r="D3547" s="105"/>
      <c r="E3547" s="105"/>
      <c r="F3547" s="634"/>
      <c r="G3547" s="634"/>
      <c r="H3547" s="634"/>
    </row>
    <row r="3548" spans="1:8" s="220" customFormat="1" ht="27" customHeight="1">
      <c r="A3548" s="178" t="str">
        <f>'3 - PLAN. ORÇAMENTÁRIA'!A583</f>
        <v>6.1.5.2</v>
      </c>
      <c r="B3548" s="178">
        <f>VLOOKUP(A3548,'3 - PLAN. ORÇAMENTÁRIA'!$A$16:$B$721,2,FALSE)</f>
        <v>92986</v>
      </c>
      <c r="C3548" s="631" t="str">
        <f>VLOOKUP(A3548,'3 - PLAN. ORÇAMENTÁRIA'!$A$16:$C$721,3,FALSE)</f>
        <v>CABO DE COBRE FLEXÍVEL ISOLADO, 35 MM², ANTI-CHAMA 0,6/1,0 KV - FORNECIMENTO E INSTALAÇÃO. AF_12/2021</v>
      </c>
      <c r="D3548" s="632"/>
      <c r="E3548" s="632"/>
      <c r="F3548" s="632"/>
      <c r="G3548" s="633"/>
      <c r="H3548" s="493" t="str">
        <f>VLOOKUP(A3548,'3 - PLAN. ORÇAMENTÁRIA'!$A$17:$E$721,5,FALSE)</f>
        <v>M</v>
      </c>
    </row>
    <row r="3549" spans="1:8">
      <c r="B3549" s="628" t="s">
        <v>593</v>
      </c>
      <c r="C3549" s="628"/>
      <c r="D3549" s="103" t="s">
        <v>579</v>
      </c>
      <c r="E3549" s="103" t="s">
        <v>580</v>
      </c>
      <c r="F3549" s="103" t="s">
        <v>581</v>
      </c>
      <c r="G3549" s="103" t="s">
        <v>582</v>
      </c>
      <c r="H3549" s="103" t="s">
        <v>583</v>
      </c>
    </row>
    <row r="3550" spans="1:8" ht="25.5">
      <c r="B3550" s="130" t="s">
        <v>1762</v>
      </c>
      <c r="C3550" s="229" t="s">
        <v>1763</v>
      </c>
      <c r="D3550" s="130" t="s">
        <v>119</v>
      </c>
      <c r="E3550" s="130" t="s">
        <v>173</v>
      </c>
      <c r="F3550" s="230">
        <v>1.0149999999999999</v>
      </c>
      <c r="G3550" s="494">
        <v>42.96</v>
      </c>
      <c r="H3550" s="494">
        <v>43.6</v>
      </c>
    </row>
    <row r="3551" spans="1:8">
      <c r="B3551" s="130" t="s">
        <v>1737</v>
      </c>
      <c r="C3551" s="229" t="s">
        <v>1738</v>
      </c>
      <c r="D3551" s="130" t="s">
        <v>119</v>
      </c>
      <c r="E3551" s="130" t="s">
        <v>144</v>
      </c>
      <c r="F3551" s="230">
        <v>8.9999999999999993E-3</v>
      </c>
      <c r="G3551" s="494">
        <v>4.38</v>
      </c>
      <c r="H3551" s="494">
        <v>0.04</v>
      </c>
    </row>
    <row r="3552" spans="1:8">
      <c r="B3552" s="105"/>
      <c r="C3552" s="105"/>
      <c r="D3552" s="105"/>
      <c r="E3552" s="105"/>
      <c r="F3552" s="629" t="s">
        <v>604</v>
      </c>
      <c r="G3552" s="629"/>
      <c r="H3552" s="495">
        <v>43.64</v>
      </c>
    </row>
    <row r="3553" spans="1:8" ht="12.75" customHeight="1">
      <c r="B3553" s="628" t="s">
        <v>607</v>
      </c>
      <c r="C3553" s="628"/>
      <c r="D3553" s="103" t="s">
        <v>579</v>
      </c>
      <c r="E3553" s="103" t="s">
        <v>580</v>
      </c>
      <c r="F3553" s="103" t="s">
        <v>581</v>
      </c>
      <c r="G3553" s="103" t="s">
        <v>582</v>
      </c>
      <c r="H3553" s="103" t="s">
        <v>583</v>
      </c>
    </row>
    <row r="3554" spans="1:8">
      <c r="B3554" s="130" t="s">
        <v>1256</v>
      </c>
      <c r="C3554" s="229" t="s">
        <v>608</v>
      </c>
      <c r="D3554" s="130" t="s">
        <v>119</v>
      </c>
      <c r="E3554" s="130" t="s">
        <v>121</v>
      </c>
      <c r="F3554" s="230">
        <v>6.9699999999999998E-2</v>
      </c>
      <c r="G3554" s="494">
        <v>25</v>
      </c>
      <c r="H3554" s="494">
        <v>1.74</v>
      </c>
    </row>
    <row r="3555" spans="1:8">
      <c r="B3555" s="130" t="s">
        <v>1257</v>
      </c>
      <c r="C3555" s="229" t="s">
        <v>609</v>
      </c>
      <c r="D3555" s="130" t="s">
        <v>119</v>
      </c>
      <c r="E3555" s="130" t="s">
        <v>121</v>
      </c>
      <c r="F3555" s="230">
        <v>6.9699999999999998E-2</v>
      </c>
      <c r="G3555" s="494">
        <v>31.72</v>
      </c>
      <c r="H3555" s="494">
        <v>2.21</v>
      </c>
    </row>
    <row r="3556" spans="1:8" ht="12.75" customHeight="1">
      <c r="B3556" s="105"/>
      <c r="C3556" s="105"/>
      <c r="D3556" s="105"/>
      <c r="E3556" s="105"/>
      <c r="F3556" s="629" t="s">
        <v>610</v>
      </c>
      <c r="G3556" s="629"/>
      <c r="H3556" s="495">
        <v>3.95</v>
      </c>
    </row>
    <row r="3557" spans="1:8" ht="12.75" customHeight="1">
      <c r="B3557" s="105"/>
      <c r="C3557" s="105"/>
      <c r="D3557" s="105"/>
      <c r="E3557" s="105"/>
      <c r="F3557" s="630" t="s">
        <v>464</v>
      </c>
      <c r="G3557" s="630"/>
      <c r="H3557" s="102">
        <v>47.58</v>
      </c>
    </row>
    <row r="3558" spans="1:8">
      <c r="B3558" s="105"/>
      <c r="C3558" s="105"/>
      <c r="D3558" s="105"/>
      <c r="E3558" s="105"/>
      <c r="F3558" s="634"/>
      <c r="G3558" s="634"/>
      <c r="H3558" s="634"/>
    </row>
    <row r="3559" spans="1:8" s="220" customFormat="1" ht="27" customHeight="1">
      <c r="A3559" s="178" t="str">
        <f>'3 - PLAN. ORÇAMENTÁRIA'!A584</f>
        <v>6.1.5.3</v>
      </c>
      <c r="B3559" s="178">
        <f>VLOOKUP(A3559,'3 - PLAN. ORÇAMENTÁRIA'!$A$16:$B$721,2,FALSE)</f>
        <v>92984</v>
      </c>
      <c r="C3559" s="631" t="str">
        <f>VLOOKUP(A3559,'3 - PLAN. ORÇAMENTÁRIA'!$A$16:$C$721,3,FALSE)</f>
        <v>CABO DE COBRE FLEXÍVEL ISOLADO, 25 MM², ANTI-CHAMA 0,6/1,0 KV - FORNECIMENTO E INSTALAÇÃO. AF_12/2021</v>
      </c>
      <c r="D3559" s="632"/>
      <c r="E3559" s="632"/>
      <c r="F3559" s="632"/>
      <c r="G3559" s="633"/>
      <c r="H3559" s="493" t="str">
        <f>VLOOKUP(A3559,'3 - PLAN. ORÇAMENTÁRIA'!$A$17:$E$721,5,FALSE)</f>
        <v>M</v>
      </c>
    </row>
    <row r="3560" spans="1:8">
      <c r="B3560" s="628" t="s">
        <v>593</v>
      </c>
      <c r="C3560" s="628"/>
      <c r="D3560" s="103" t="s">
        <v>579</v>
      </c>
      <c r="E3560" s="103" t="s">
        <v>580</v>
      </c>
      <c r="F3560" s="103" t="s">
        <v>581</v>
      </c>
      <c r="G3560" s="103" t="s">
        <v>582</v>
      </c>
      <c r="H3560" s="103" t="s">
        <v>583</v>
      </c>
    </row>
    <row r="3561" spans="1:8" ht="25.5">
      <c r="B3561" s="130" t="s">
        <v>1764</v>
      </c>
      <c r="C3561" s="229" t="s">
        <v>1765</v>
      </c>
      <c r="D3561" s="130" t="s">
        <v>119</v>
      </c>
      <c r="E3561" s="130" t="s">
        <v>173</v>
      </c>
      <c r="F3561" s="230">
        <v>1.0149999999999999</v>
      </c>
      <c r="G3561" s="494">
        <v>30.4</v>
      </c>
      <c r="H3561" s="494">
        <v>30.86</v>
      </c>
    </row>
    <row r="3562" spans="1:8">
      <c r="B3562" s="130" t="s">
        <v>1737</v>
      </c>
      <c r="C3562" s="229" t="s">
        <v>1738</v>
      </c>
      <c r="D3562" s="130" t="s">
        <v>119</v>
      </c>
      <c r="E3562" s="130" t="s">
        <v>144</v>
      </c>
      <c r="F3562" s="230">
        <v>8.9999999999999993E-3</v>
      </c>
      <c r="G3562" s="494">
        <v>4.38</v>
      </c>
      <c r="H3562" s="494">
        <v>0.04</v>
      </c>
    </row>
    <row r="3563" spans="1:8">
      <c r="B3563" s="105"/>
      <c r="C3563" s="105"/>
      <c r="D3563" s="105"/>
      <c r="E3563" s="105"/>
      <c r="F3563" s="629" t="s">
        <v>604</v>
      </c>
      <c r="G3563" s="629"/>
      <c r="H3563" s="495">
        <v>30.9</v>
      </c>
    </row>
    <row r="3564" spans="1:8" ht="12.75" customHeight="1">
      <c r="B3564" s="628" t="s">
        <v>607</v>
      </c>
      <c r="C3564" s="628"/>
      <c r="D3564" s="103" t="s">
        <v>579</v>
      </c>
      <c r="E3564" s="103" t="s">
        <v>580</v>
      </c>
      <c r="F3564" s="103" t="s">
        <v>581</v>
      </c>
      <c r="G3564" s="103" t="s">
        <v>582</v>
      </c>
      <c r="H3564" s="103" t="s">
        <v>583</v>
      </c>
    </row>
    <row r="3565" spans="1:8">
      <c r="B3565" s="130" t="s">
        <v>1256</v>
      </c>
      <c r="C3565" s="229" t="s">
        <v>608</v>
      </c>
      <c r="D3565" s="130" t="s">
        <v>119</v>
      </c>
      <c r="E3565" s="130" t="s">
        <v>121</v>
      </c>
      <c r="F3565" s="230">
        <v>6.08E-2</v>
      </c>
      <c r="G3565" s="494">
        <v>25</v>
      </c>
      <c r="H3565" s="494">
        <v>1.52</v>
      </c>
    </row>
    <row r="3566" spans="1:8">
      <c r="B3566" s="130" t="s">
        <v>1257</v>
      </c>
      <c r="C3566" s="229" t="s">
        <v>609</v>
      </c>
      <c r="D3566" s="130" t="s">
        <v>119</v>
      </c>
      <c r="E3566" s="130" t="s">
        <v>121</v>
      </c>
      <c r="F3566" s="230">
        <v>6.08E-2</v>
      </c>
      <c r="G3566" s="494">
        <v>31.72</v>
      </c>
      <c r="H3566" s="494">
        <v>1.93</v>
      </c>
    </row>
    <row r="3567" spans="1:8" ht="12.75" customHeight="1">
      <c r="B3567" s="105"/>
      <c r="C3567" s="105"/>
      <c r="D3567" s="105"/>
      <c r="E3567" s="105"/>
      <c r="F3567" s="629" t="s">
        <v>610</v>
      </c>
      <c r="G3567" s="629"/>
      <c r="H3567" s="495">
        <v>3.45</v>
      </c>
    </row>
    <row r="3568" spans="1:8" ht="12.75" customHeight="1">
      <c r="B3568" s="105"/>
      <c r="C3568" s="105"/>
      <c r="D3568" s="105"/>
      <c r="E3568" s="105"/>
      <c r="F3568" s="630" t="s">
        <v>464</v>
      </c>
      <c r="G3568" s="630"/>
      <c r="H3568" s="102">
        <v>34.32</v>
      </c>
    </row>
    <row r="3569" spans="1:8">
      <c r="B3569" s="105"/>
      <c r="C3569" s="105"/>
      <c r="D3569" s="105"/>
      <c r="E3569" s="105"/>
      <c r="F3569" s="634"/>
      <c r="G3569" s="634"/>
      <c r="H3569" s="634"/>
    </row>
    <row r="3570" spans="1:8" s="220" customFormat="1" ht="27" customHeight="1">
      <c r="A3570" s="178" t="str">
        <f>'3 - PLAN. ORÇAMENTÁRIA'!A585</f>
        <v>6.1.5.4</v>
      </c>
      <c r="B3570" s="178">
        <f>VLOOKUP(A3570,'3 - PLAN. ORÇAMENTÁRIA'!$A$16:$B$721,2,FALSE)</f>
        <v>91935</v>
      </c>
      <c r="C3570" s="631" t="str">
        <f>VLOOKUP(A3570,'3 - PLAN. ORÇAMENTÁRIA'!$A$16:$C$721,3,FALSE)</f>
        <v>CABO DE COBRE FLEXÍVEL ISOLADO, 16 MM², ANTI-CHAMA 0,6/1,0 KV - FORNECIMENTO E INSTALAÇÃO. AF_03/2023</v>
      </c>
      <c r="D3570" s="632"/>
      <c r="E3570" s="632"/>
      <c r="F3570" s="632"/>
      <c r="G3570" s="633"/>
      <c r="H3570" s="493" t="str">
        <f>VLOOKUP(A3570,'3 - PLAN. ORÇAMENTÁRIA'!$A$17:$E$721,5,FALSE)</f>
        <v>M</v>
      </c>
    </row>
    <row r="3571" spans="1:8">
      <c r="B3571" s="628" t="s">
        <v>593</v>
      </c>
      <c r="C3571" s="628"/>
      <c r="D3571" s="103" t="s">
        <v>579</v>
      </c>
      <c r="E3571" s="103" t="s">
        <v>580</v>
      </c>
      <c r="F3571" s="103" t="s">
        <v>581</v>
      </c>
      <c r="G3571" s="103" t="s">
        <v>582</v>
      </c>
      <c r="H3571" s="103" t="s">
        <v>583</v>
      </c>
    </row>
    <row r="3572" spans="1:8" ht="25.5">
      <c r="B3572" s="130" t="s">
        <v>1766</v>
      </c>
      <c r="C3572" s="229" t="s">
        <v>1767</v>
      </c>
      <c r="D3572" s="130" t="s">
        <v>119</v>
      </c>
      <c r="E3572" s="130" t="s">
        <v>173</v>
      </c>
      <c r="F3572" s="230">
        <v>1.2434000000000001</v>
      </c>
      <c r="G3572" s="494">
        <v>19.600000000000001</v>
      </c>
      <c r="H3572" s="494">
        <v>24.37</v>
      </c>
    </row>
    <row r="3573" spans="1:8">
      <c r="B3573" s="130" t="s">
        <v>1737</v>
      </c>
      <c r="C3573" s="229" t="s">
        <v>1738</v>
      </c>
      <c r="D3573" s="130" t="s">
        <v>119</v>
      </c>
      <c r="E3573" s="130" t="s">
        <v>144</v>
      </c>
      <c r="F3573" s="230">
        <v>9.4000000000000004E-3</v>
      </c>
      <c r="G3573" s="494">
        <v>4.38</v>
      </c>
      <c r="H3573" s="494">
        <v>0.04</v>
      </c>
    </row>
    <row r="3574" spans="1:8">
      <c r="B3574" s="105"/>
      <c r="C3574" s="105"/>
      <c r="D3574" s="105"/>
      <c r="E3574" s="105"/>
      <c r="F3574" s="629" t="s">
        <v>604</v>
      </c>
      <c r="G3574" s="629"/>
      <c r="H3574" s="495">
        <v>24.41</v>
      </c>
    </row>
    <row r="3575" spans="1:8" ht="12.75" customHeight="1">
      <c r="B3575" s="628" t="s">
        <v>607</v>
      </c>
      <c r="C3575" s="628"/>
      <c r="D3575" s="103" t="s">
        <v>579</v>
      </c>
      <c r="E3575" s="103" t="s">
        <v>580</v>
      </c>
      <c r="F3575" s="103" t="s">
        <v>581</v>
      </c>
      <c r="G3575" s="103" t="s">
        <v>582</v>
      </c>
      <c r="H3575" s="103" t="s">
        <v>583</v>
      </c>
    </row>
    <row r="3576" spans="1:8">
      <c r="B3576" s="130" t="s">
        <v>1256</v>
      </c>
      <c r="C3576" s="229" t="s">
        <v>608</v>
      </c>
      <c r="D3576" s="130" t="s">
        <v>119</v>
      </c>
      <c r="E3576" s="130" t="s">
        <v>121</v>
      </c>
      <c r="F3576" s="230">
        <v>0.114</v>
      </c>
      <c r="G3576" s="494">
        <v>25</v>
      </c>
      <c r="H3576" s="494">
        <v>2.85</v>
      </c>
    </row>
    <row r="3577" spans="1:8">
      <c r="B3577" s="130" t="s">
        <v>1257</v>
      </c>
      <c r="C3577" s="229" t="s">
        <v>609</v>
      </c>
      <c r="D3577" s="130" t="s">
        <v>119</v>
      </c>
      <c r="E3577" s="130" t="s">
        <v>121</v>
      </c>
      <c r="F3577" s="230">
        <v>0.114</v>
      </c>
      <c r="G3577" s="494">
        <v>31.72</v>
      </c>
      <c r="H3577" s="494">
        <v>3.62</v>
      </c>
    </row>
    <row r="3578" spans="1:8" ht="12.75" customHeight="1">
      <c r="B3578" s="105"/>
      <c r="C3578" s="105"/>
      <c r="D3578" s="105"/>
      <c r="E3578" s="105"/>
      <c r="F3578" s="629" t="s">
        <v>610</v>
      </c>
      <c r="G3578" s="629"/>
      <c r="H3578" s="495">
        <v>6.47</v>
      </c>
    </row>
    <row r="3579" spans="1:8" ht="12.75" customHeight="1">
      <c r="B3579" s="105"/>
      <c r="C3579" s="105"/>
      <c r="D3579" s="105"/>
      <c r="E3579" s="105"/>
      <c r="F3579" s="630" t="s">
        <v>464</v>
      </c>
      <c r="G3579" s="630"/>
      <c r="H3579" s="102">
        <v>30.87</v>
      </c>
    </row>
    <row r="3580" spans="1:8">
      <c r="B3580" s="105"/>
      <c r="C3580" s="105"/>
      <c r="D3580" s="105"/>
      <c r="E3580" s="105"/>
      <c r="F3580" s="634"/>
      <c r="G3580" s="634"/>
      <c r="H3580" s="634"/>
    </row>
    <row r="3581" spans="1:8" s="220" customFormat="1" ht="27" customHeight="1">
      <c r="A3581" s="178" t="str">
        <f>'3 - PLAN. ORÇAMENTÁRIA'!A586</f>
        <v>6.1.5.5</v>
      </c>
      <c r="B3581" s="178">
        <f>VLOOKUP(A3581,'3 - PLAN. ORÇAMENTÁRIA'!$A$16:$B$721,2,FALSE)</f>
        <v>91930</v>
      </c>
      <c r="C3581" s="631" t="str">
        <f>VLOOKUP(A3581,'3 - PLAN. ORÇAMENTÁRIA'!$A$16:$C$721,3,FALSE)</f>
        <v>CABO DE COBRE FLEXÍVEL ISOLADO, 6 MM², ANTI-CHAMA 450/750 V - FORNECIMENTO E INSTALAÇÃO. AF_03/2023</v>
      </c>
      <c r="D3581" s="632"/>
      <c r="E3581" s="632"/>
      <c r="F3581" s="632"/>
      <c r="G3581" s="633"/>
      <c r="H3581" s="493" t="str">
        <f>VLOOKUP(A3581,'3 - PLAN. ORÇAMENTÁRIA'!$A$17:$E$721,5,FALSE)</f>
        <v>M</v>
      </c>
    </row>
    <row r="3582" spans="1:8">
      <c r="B3582" s="628" t="s">
        <v>593</v>
      </c>
      <c r="C3582" s="628"/>
      <c r="D3582" s="103" t="s">
        <v>579</v>
      </c>
      <c r="E3582" s="103" t="s">
        <v>580</v>
      </c>
      <c r="F3582" s="103" t="s">
        <v>581</v>
      </c>
      <c r="G3582" s="103" t="s">
        <v>582</v>
      </c>
      <c r="H3582" s="103" t="s">
        <v>583</v>
      </c>
    </row>
    <row r="3583" spans="1:8" ht="25.5">
      <c r="B3583" s="130" t="s">
        <v>698</v>
      </c>
      <c r="C3583" s="229" t="s">
        <v>699</v>
      </c>
      <c r="D3583" s="130" t="s">
        <v>119</v>
      </c>
      <c r="E3583" s="130" t="s">
        <v>173</v>
      </c>
      <c r="F3583" s="230">
        <v>1.2434000000000001</v>
      </c>
      <c r="G3583" s="494">
        <v>6.76</v>
      </c>
      <c r="H3583" s="494">
        <v>8.41</v>
      </c>
    </row>
    <row r="3584" spans="1:8">
      <c r="B3584" s="130" t="s">
        <v>1737</v>
      </c>
      <c r="C3584" s="229" t="s">
        <v>1738</v>
      </c>
      <c r="D3584" s="130" t="s">
        <v>119</v>
      </c>
      <c r="E3584" s="130" t="s">
        <v>144</v>
      </c>
      <c r="F3584" s="230">
        <v>9.4000000000000004E-3</v>
      </c>
      <c r="G3584" s="494">
        <v>4.38</v>
      </c>
      <c r="H3584" s="494">
        <v>0.04</v>
      </c>
    </row>
    <row r="3585" spans="1:8">
      <c r="B3585" s="105"/>
      <c r="C3585" s="105"/>
      <c r="D3585" s="105"/>
      <c r="E3585" s="105"/>
      <c r="F3585" s="629" t="s">
        <v>604</v>
      </c>
      <c r="G3585" s="629"/>
      <c r="H3585" s="495">
        <v>8.4499999999999993</v>
      </c>
    </row>
    <row r="3586" spans="1:8" ht="12.75" customHeight="1">
      <c r="B3586" s="628" t="s">
        <v>607</v>
      </c>
      <c r="C3586" s="628"/>
      <c r="D3586" s="103" t="s">
        <v>579</v>
      </c>
      <c r="E3586" s="103" t="s">
        <v>580</v>
      </c>
      <c r="F3586" s="103" t="s">
        <v>581</v>
      </c>
      <c r="G3586" s="103" t="s">
        <v>582</v>
      </c>
      <c r="H3586" s="103" t="s">
        <v>583</v>
      </c>
    </row>
    <row r="3587" spans="1:8">
      <c r="B3587" s="130" t="s">
        <v>1256</v>
      </c>
      <c r="C3587" s="229" t="s">
        <v>608</v>
      </c>
      <c r="D3587" s="130" t="s">
        <v>119</v>
      </c>
      <c r="E3587" s="130" t="s">
        <v>121</v>
      </c>
      <c r="F3587" s="230">
        <v>5.0999999999999997E-2</v>
      </c>
      <c r="G3587" s="494">
        <v>25</v>
      </c>
      <c r="H3587" s="494">
        <v>1.28</v>
      </c>
    </row>
    <row r="3588" spans="1:8">
      <c r="B3588" s="130" t="s">
        <v>1257</v>
      </c>
      <c r="C3588" s="229" t="s">
        <v>609</v>
      </c>
      <c r="D3588" s="130" t="s">
        <v>119</v>
      </c>
      <c r="E3588" s="130" t="s">
        <v>121</v>
      </c>
      <c r="F3588" s="230">
        <v>5.0999999999999997E-2</v>
      </c>
      <c r="G3588" s="494">
        <v>31.72</v>
      </c>
      <c r="H3588" s="494">
        <v>1.62</v>
      </c>
    </row>
    <row r="3589" spans="1:8" ht="12.75" customHeight="1">
      <c r="B3589" s="105"/>
      <c r="C3589" s="105"/>
      <c r="D3589" s="105"/>
      <c r="E3589" s="105"/>
      <c r="F3589" s="629" t="s">
        <v>610</v>
      </c>
      <c r="G3589" s="629"/>
      <c r="H3589" s="495">
        <v>2.9</v>
      </c>
    </row>
    <row r="3590" spans="1:8" ht="12.75" customHeight="1">
      <c r="B3590" s="105"/>
      <c r="C3590" s="105"/>
      <c r="D3590" s="105"/>
      <c r="E3590" s="105"/>
      <c r="F3590" s="630" t="s">
        <v>464</v>
      </c>
      <c r="G3590" s="630"/>
      <c r="H3590" s="102">
        <v>11.32</v>
      </c>
    </row>
    <row r="3591" spans="1:8">
      <c r="B3591" s="105"/>
      <c r="C3591" s="105"/>
      <c r="D3591" s="105"/>
      <c r="E3591" s="105"/>
      <c r="F3591" s="634"/>
      <c r="G3591" s="634"/>
      <c r="H3591" s="634"/>
    </row>
    <row r="3592" spans="1:8" s="220" customFormat="1" ht="27" customHeight="1">
      <c r="A3592" s="178" t="str">
        <f>'3 - PLAN. ORÇAMENTÁRIA'!A587</f>
        <v>6.1.5.6</v>
      </c>
      <c r="B3592" s="178">
        <f>VLOOKUP(A3592,'3 - PLAN. ORÇAMENTÁRIA'!$A$16:$B$721,2,FALSE)</f>
        <v>91928</v>
      </c>
      <c r="C3592" s="631" t="str">
        <f>VLOOKUP(A3592,'3 - PLAN. ORÇAMENTÁRIA'!$A$16:$C$721,3,FALSE)</f>
        <v>CABO DE COBRE FLEXÍVEL ISOLADO, 4 MM², ANTI-CHAMA 450/750 V - FORNECIMENTO E INSTALAÇÃO. AF_03/2023</v>
      </c>
      <c r="D3592" s="632"/>
      <c r="E3592" s="632"/>
      <c r="F3592" s="632"/>
      <c r="G3592" s="633"/>
      <c r="H3592" s="493" t="str">
        <f>VLOOKUP(A3592,'3 - PLAN. ORÇAMENTÁRIA'!$A$17:$E$721,5,FALSE)</f>
        <v>M</v>
      </c>
    </row>
    <row r="3593" spans="1:8">
      <c r="B3593" s="628" t="s">
        <v>593</v>
      </c>
      <c r="C3593" s="628"/>
      <c r="D3593" s="103" t="s">
        <v>579</v>
      </c>
      <c r="E3593" s="103" t="s">
        <v>580</v>
      </c>
      <c r="F3593" s="103" t="s">
        <v>581</v>
      </c>
      <c r="G3593" s="103" t="s">
        <v>582</v>
      </c>
      <c r="H3593" s="103" t="s">
        <v>583</v>
      </c>
    </row>
    <row r="3594" spans="1:8" ht="25.5">
      <c r="B3594" s="130" t="s">
        <v>1768</v>
      </c>
      <c r="C3594" s="229" t="s">
        <v>1769</v>
      </c>
      <c r="D3594" s="130" t="s">
        <v>119</v>
      </c>
      <c r="E3594" s="130" t="s">
        <v>173</v>
      </c>
      <c r="F3594" s="230">
        <v>1.2434000000000001</v>
      </c>
      <c r="G3594" s="494">
        <v>4.7</v>
      </c>
      <c r="H3594" s="494">
        <v>5.84</v>
      </c>
    </row>
    <row r="3595" spans="1:8">
      <c r="B3595" s="130" t="s">
        <v>1737</v>
      </c>
      <c r="C3595" s="229" t="s">
        <v>1738</v>
      </c>
      <c r="D3595" s="130" t="s">
        <v>119</v>
      </c>
      <c r="E3595" s="130" t="s">
        <v>144</v>
      </c>
      <c r="F3595" s="230">
        <v>9.4000000000000004E-3</v>
      </c>
      <c r="G3595" s="494">
        <v>4.38</v>
      </c>
      <c r="H3595" s="494">
        <v>0.04</v>
      </c>
    </row>
    <row r="3596" spans="1:8">
      <c r="B3596" s="105"/>
      <c r="C3596" s="105"/>
      <c r="D3596" s="105"/>
      <c r="E3596" s="105"/>
      <c r="F3596" s="629" t="s">
        <v>604</v>
      </c>
      <c r="G3596" s="629"/>
      <c r="H3596" s="495">
        <v>5.88</v>
      </c>
    </row>
    <row r="3597" spans="1:8" ht="12.75" customHeight="1">
      <c r="B3597" s="628" t="s">
        <v>607</v>
      </c>
      <c r="C3597" s="628"/>
      <c r="D3597" s="103" t="s">
        <v>579</v>
      </c>
      <c r="E3597" s="103" t="s">
        <v>580</v>
      </c>
      <c r="F3597" s="103" t="s">
        <v>581</v>
      </c>
      <c r="G3597" s="103" t="s">
        <v>582</v>
      </c>
      <c r="H3597" s="103" t="s">
        <v>583</v>
      </c>
    </row>
    <row r="3598" spans="1:8">
      <c r="B3598" s="130" t="s">
        <v>1256</v>
      </c>
      <c r="C3598" s="229" t="s">
        <v>608</v>
      </c>
      <c r="D3598" s="130" t="s">
        <v>119</v>
      </c>
      <c r="E3598" s="130" t="s">
        <v>121</v>
      </c>
      <c r="F3598" s="230">
        <v>3.9E-2</v>
      </c>
      <c r="G3598" s="494">
        <v>25</v>
      </c>
      <c r="H3598" s="494">
        <v>0.98</v>
      </c>
    </row>
    <row r="3599" spans="1:8">
      <c r="B3599" s="130" t="s">
        <v>1257</v>
      </c>
      <c r="C3599" s="229" t="s">
        <v>609</v>
      </c>
      <c r="D3599" s="130" t="s">
        <v>119</v>
      </c>
      <c r="E3599" s="130" t="s">
        <v>121</v>
      </c>
      <c r="F3599" s="230">
        <v>3.9E-2</v>
      </c>
      <c r="G3599" s="494">
        <v>31.72</v>
      </c>
      <c r="H3599" s="494">
        <v>1.24</v>
      </c>
    </row>
    <row r="3600" spans="1:8" ht="12.75" customHeight="1">
      <c r="B3600" s="105"/>
      <c r="C3600" s="105"/>
      <c r="D3600" s="105"/>
      <c r="E3600" s="105"/>
      <c r="F3600" s="629" t="s">
        <v>610</v>
      </c>
      <c r="G3600" s="629"/>
      <c r="H3600" s="495">
        <v>2.2200000000000002</v>
      </c>
    </row>
    <row r="3601" spans="1:8" ht="12.75" customHeight="1">
      <c r="B3601" s="105"/>
      <c r="C3601" s="105"/>
      <c r="D3601" s="105"/>
      <c r="E3601" s="105"/>
      <c r="F3601" s="630" t="s">
        <v>464</v>
      </c>
      <c r="G3601" s="630"/>
      <c r="H3601" s="102">
        <v>8.08</v>
      </c>
    </row>
    <row r="3602" spans="1:8">
      <c r="B3602" s="105"/>
      <c r="C3602" s="105"/>
      <c r="D3602" s="105"/>
      <c r="E3602" s="105"/>
      <c r="F3602" s="634"/>
      <c r="G3602" s="634"/>
      <c r="H3602" s="634"/>
    </row>
    <row r="3603" spans="1:8" s="220" customFormat="1" ht="27" customHeight="1">
      <c r="A3603" s="178" t="str">
        <f>'3 - PLAN. ORÇAMENTÁRIA'!A588</f>
        <v>6.1.5.7</v>
      </c>
      <c r="B3603" s="178">
        <f>VLOOKUP(A3603,'3 - PLAN. ORÇAMENTÁRIA'!$A$16:$B$721,2,FALSE)</f>
        <v>91926</v>
      </c>
      <c r="C3603" s="631" t="str">
        <f>VLOOKUP(A3603,'3 - PLAN. ORÇAMENTÁRIA'!$A$16:$C$721,3,FALSE)</f>
        <v>CABO DE COBRE FLEXÍVEL ISOLADO, 2,5 MM², ANTI-CHAMA 450/750 V - FORNECIMENTO E INSTALAÇÃO. AF_03/2023</v>
      </c>
      <c r="D3603" s="632"/>
      <c r="E3603" s="632"/>
      <c r="F3603" s="632"/>
      <c r="G3603" s="633"/>
      <c r="H3603" s="493" t="str">
        <f>VLOOKUP(A3603,'3 - PLAN. ORÇAMENTÁRIA'!$A$17:$E$721,5,FALSE)</f>
        <v>M</v>
      </c>
    </row>
    <row r="3604" spans="1:8">
      <c r="B3604" s="628" t="s">
        <v>593</v>
      </c>
      <c r="C3604" s="628"/>
      <c r="D3604" s="103" t="s">
        <v>579</v>
      </c>
      <c r="E3604" s="103" t="s">
        <v>580</v>
      </c>
      <c r="F3604" s="103" t="s">
        <v>581</v>
      </c>
      <c r="G3604" s="103" t="s">
        <v>582</v>
      </c>
      <c r="H3604" s="103" t="s">
        <v>583</v>
      </c>
    </row>
    <row r="3605" spans="1:8" ht="25.5">
      <c r="B3605" s="130" t="s">
        <v>700</v>
      </c>
      <c r="C3605" s="229" t="s">
        <v>701</v>
      </c>
      <c r="D3605" s="130" t="s">
        <v>119</v>
      </c>
      <c r="E3605" s="130" t="s">
        <v>173</v>
      </c>
      <c r="F3605" s="230">
        <v>1.2434000000000001</v>
      </c>
      <c r="G3605" s="494">
        <v>2.83</v>
      </c>
      <c r="H3605" s="494">
        <v>3.52</v>
      </c>
    </row>
    <row r="3606" spans="1:8">
      <c r="B3606" s="130" t="s">
        <v>1737</v>
      </c>
      <c r="C3606" s="229" t="s">
        <v>1738</v>
      </c>
      <c r="D3606" s="130" t="s">
        <v>119</v>
      </c>
      <c r="E3606" s="130" t="s">
        <v>144</v>
      </c>
      <c r="F3606" s="230">
        <v>9.4000000000000004E-3</v>
      </c>
      <c r="G3606" s="494">
        <v>4.38</v>
      </c>
      <c r="H3606" s="494">
        <v>0.04</v>
      </c>
    </row>
    <row r="3607" spans="1:8">
      <c r="B3607" s="105"/>
      <c r="C3607" s="105"/>
      <c r="D3607" s="105"/>
      <c r="E3607" s="105"/>
      <c r="F3607" s="629" t="s">
        <v>604</v>
      </c>
      <c r="G3607" s="629"/>
      <c r="H3607" s="495">
        <v>3.56</v>
      </c>
    </row>
    <row r="3608" spans="1:8" ht="12.75" customHeight="1">
      <c r="B3608" s="628" t="s">
        <v>607</v>
      </c>
      <c r="C3608" s="628"/>
      <c r="D3608" s="103" t="s">
        <v>579</v>
      </c>
      <c r="E3608" s="103" t="s">
        <v>580</v>
      </c>
      <c r="F3608" s="103" t="s">
        <v>581</v>
      </c>
      <c r="G3608" s="103" t="s">
        <v>582</v>
      </c>
      <c r="H3608" s="103" t="s">
        <v>583</v>
      </c>
    </row>
    <row r="3609" spans="1:8">
      <c r="B3609" s="130" t="s">
        <v>1256</v>
      </c>
      <c r="C3609" s="229" t="s">
        <v>608</v>
      </c>
      <c r="D3609" s="130" t="s">
        <v>119</v>
      </c>
      <c r="E3609" s="130" t="s">
        <v>121</v>
      </c>
      <c r="F3609" s="230">
        <v>2.9000000000000001E-2</v>
      </c>
      <c r="G3609" s="494">
        <v>25</v>
      </c>
      <c r="H3609" s="494">
        <v>0.73</v>
      </c>
    </row>
    <row r="3610" spans="1:8">
      <c r="B3610" s="130" t="s">
        <v>1257</v>
      </c>
      <c r="C3610" s="229" t="s">
        <v>609</v>
      </c>
      <c r="D3610" s="130" t="s">
        <v>119</v>
      </c>
      <c r="E3610" s="130" t="s">
        <v>121</v>
      </c>
      <c r="F3610" s="230">
        <v>2.9000000000000001E-2</v>
      </c>
      <c r="G3610" s="494">
        <v>31.72</v>
      </c>
      <c r="H3610" s="494">
        <v>0.92</v>
      </c>
    </row>
    <row r="3611" spans="1:8" ht="12.75" customHeight="1">
      <c r="B3611" s="105"/>
      <c r="C3611" s="105"/>
      <c r="D3611" s="105"/>
      <c r="E3611" s="105"/>
      <c r="F3611" s="629" t="s">
        <v>610</v>
      </c>
      <c r="G3611" s="629"/>
      <c r="H3611" s="495">
        <v>1.65</v>
      </c>
    </row>
    <row r="3612" spans="1:8" ht="12.75" customHeight="1">
      <c r="B3612" s="105"/>
      <c r="C3612" s="105"/>
      <c r="D3612" s="105"/>
      <c r="E3612" s="105"/>
      <c r="F3612" s="630" t="s">
        <v>464</v>
      </c>
      <c r="G3612" s="630"/>
      <c r="H3612" s="102">
        <v>5.18</v>
      </c>
    </row>
    <row r="3613" spans="1:8">
      <c r="B3613" s="105"/>
      <c r="C3613" s="105"/>
      <c r="D3613" s="105"/>
      <c r="E3613" s="105"/>
      <c r="F3613" s="634"/>
      <c r="G3613" s="634"/>
      <c r="H3613" s="634"/>
    </row>
    <row r="3614" spans="1:8" s="220" customFormat="1" ht="27" customHeight="1">
      <c r="A3614" s="178" t="str">
        <f>'3 - PLAN. ORÇAMENTÁRIA'!A599</f>
        <v>6.2.4</v>
      </c>
      <c r="B3614" s="178">
        <f>VLOOKUP(A3614,'3 - PLAN. ORÇAMENTÁRIA'!$A$16:$B$721,2,FALSE)</f>
        <v>96977</v>
      </c>
      <c r="C3614" s="631" t="str">
        <f>VLOOKUP(A3614,'3 - PLAN. ORÇAMENTÁRIA'!$A$16:$C$721,3,FALSE)</f>
        <v>CORDOALHA DE COBRE NU 50 MM², ENTERRADA - FORNECIMENTO E INSTALAÇÃO. AF_08/2023</v>
      </c>
      <c r="D3614" s="632"/>
      <c r="E3614" s="632"/>
      <c r="F3614" s="632"/>
      <c r="G3614" s="633"/>
      <c r="H3614" s="433" t="str">
        <f>VLOOKUP(A3614,'3 - PLAN. ORÇAMENTÁRIA'!$A$17:$E$721,5,FALSE)</f>
        <v>M</v>
      </c>
    </row>
    <row r="3615" spans="1:8">
      <c r="B3615" s="628" t="s">
        <v>593</v>
      </c>
      <c r="C3615" s="628"/>
      <c r="D3615" s="103" t="s">
        <v>579</v>
      </c>
      <c r="E3615" s="103" t="s">
        <v>580</v>
      </c>
      <c r="F3615" s="103" t="s">
        <v>581</v>
      </c>
      <c r="G3615" s="103" t="s">
        <v>582</v>
      </c>
      <c r="H3615" s="103" t="s">
        <v>583</v>
      </c>
    </row>
    <row r="3616" spans="1:8">
      <c r="B3616" s="130" t="s">
        <v>1021</v>
      </c>
      <c r="C3616" s="229" t="s">
        <v>1022</v>
      </c>
      <c r="D3616" s="130" t="s">
        <v>119</v>
      </c>
      <c r="E3616" s="130" t="s">
        <v>173</v>
      </c>
      <c r="F3616" s="230">
        <v>1.05</v>
      </c>
      <c r="G3616" s="494">
        <v>66.790000000000006</v>
      </c>
      <c r="H3616" s="494">
        <v>70.13</v>
      </c>
    </row>
    <row r="3617" spans="1:8">
      <c r="B3617" s="105"/>
      <c r="C3617" s="105"/>
      <c r="D3617" s="105"/>
      <c r="E3617" s="105"/>
      <c r="F3617" s="629" t="s">
        <v>604</v>
      </c>
      <c r="G3617" s="629"/>
      <c r="H3617" s="495">
        <v>70.13</v>
      </c>
    </row>
    <row r="3618" spans="1:8" ht="12.75" customHeight="1">
      <c r="B3618" s="628" t="s">
        <v>607</v>
      </c>
      <c r="C3618" s="628"/>
      <c r="D3618" s="103" t="s">
        <v>579</v>
      </c>
      <c r="E3618" s="103" t="s">
        <v>580</v>
      </c>
      <c r="F3618" s="103" t="s">
        <v>581</v>
      </c>
      <c r="G3618" s="103" t="s">
        <v>582</v>
      </c>
      <c r="H3618" s="103" t="s">
        <v>583</v>
      </c>
    </row>
    <row r="3619" spans="1:8">
      <c r="B3619" s="130" t="s">
        <v>1256</v>
      </c>
      <c r="C3619" s="229" t="s">
        <v>608</v>
      </c>
      <c r="D3619" s="130" t="s">
        <v>119</v>
      </c>
      <c r="E3619" s="130" t="s">
        <v>121</v>
      </c>
      <c r="F3619" s="230">
        <v>3.3099999999999997E-2</v>
      </c>
      <c r="G3619" s="494">
        <v>25</v>
      </c>
      <c r="H3619" s="494">
        <v>0.83</v>
      </c>
    </row>
    <row r="3620" spans="1:8">
      <c r="B3620" s="130" t="s">
        <v>1257</v>
      </c>
      <c r="C3620" s="229" t="s">
        <v>609</v>
      </c>
      <c r="D3620" s="130" t="s">
        <v>119</v>
      </c>
      <c r="E3620" s="130" t="s">
        <v>121</v>
      </c>
      <c r="F3620" s="230">
        <v>3.3099999999999997E-2</v>
      </c>
      <c r="G3620" s="494">
        <v>31.72</v>
      </c>
      <c r="H3620" s="494">
        <v>1.05</v>
      </c>
    </row>
    <row r="3621" spans="1:8" ht="12.75" customHeight="1">
      <c r="B3621" s="105"/>
      <c r="C3621" s="105"/>
      <c r="D3621" s="105"/>
      <c r="E3621" s="105"/>
      <c r="F3621" s="629" t="s">
        <v>610</v>
      </c>
      <c r="G3621" s="629"/>
      <c r="H3621" s="495">
        <v>1.88</v>
      </c>
    </row>
    <row r="3622" spans="1:8" ht="12.75" customHeight="1">
      <c r="B3622" s="105"/>
      <c r="C3622" s="105"/>
      <c r="D3622" s="105"/>
      <c r="E3622" s="105"/>
      <c r="F3622" s="630" t="s">
        <v>464</v>
      </c>
      <c r="G3622" s="630"/>
      <c r="H3622" s="102">
        <v>71.98</v>
      </c>
    </row>
    <row r="3623" spans="1:8">
      <c r="B3623" s="105"/>
      <c r="C3623" s="105"/>
      <c r="D3623" s="105"/>
      <c r="E3623" s="105"/>
      <c r="F3623" s="634"/>
      <c r="G3623" s="634"/>
      <c r="H3623" s="634"/>
    </row>
    <row r="3624" spans="1:8" s="220" customFormat="1" ht="27" customHeight="1">
      <c r="A3624" s="178" t="str">
        <f>'3 - PLAN. ORÇAMENTÁRIA'!A600</f>
        <v>6.2.5</v>
      </c>
      <c r="B3624" s="178">
        <f>VLOOKUP(A3624,'3 - PLAN. ORÇAMENTÁRIA'!$A$16:$B$721,2,FALSE)</f>
        <v>96985</v>
      </c>
      <c r="C3624" s="631" t="str">
        <f>VLOOKUP(A3624,'3 - PLAN. ORÇAMENTÁRIA'!$A$16:$C$721,3,FALSE)</f>
        <v>HASTE DE ATERRAMENTO, DIÂMETRO 5/8" PARA SPDA- FORNECIMENTO E INSTALAÇÃO. AF_08/2023</v>
      </c>
      <c r="D3624" s="632"/>
      <c r="E3624" s="632"/>
      <c r="F3624" s="632"/>
      <c r="G3624" s="633"/>
      <c r="H3624" s="433" t="str">
        <f>VLOOKUP(A3624,'3 - PLAN. ORÇAMENTÁRIA'!$A$17:$E$721,5,FALSE)</f>
        <v>UN</v>
      </c>
    </row>
    <row r="3625" spans="1:8">
      <c r="B3625" s="628" t="s">
        <v>593</v>
      </c>
      <c r="C3625" s="628"/>
      <c r="D3625" s="103" t="s">
        <v>579</v>
      </c>
      <c r="E3625" s="103" t="s">
        <v>580</v>
      </c>
      <c r="F3625" s="103" t="s">
        <v>581</v>
      </c>
      <c r="G3625" s="103" t="s">
        <v>582</v>
      </c>
      <c r="H3625" s="103" t="s">
        <v>583</v>
      </c>
    </row>
    <row r="3626" spans="1:8" ht="25.5">
      <c r="B3626" s="130" t="s">
        <v>1770</v>
      </c>
      <c r="C3626" s="229" t="s">
        <v>1771</v>
      </c>
      <c r="D3626" s="130" t="s">
        <v>119</v>
      </c>
      <c r="E3626" s="130" t="s">
        <v>144</v>
      </c>
      <c r="F3626" s="230">
        <v>1</v>
      </c>
      <c r="G3626" s="494">
        <v>60.22</v>
      </c>
      <c r="H3626" s="494">
        <v>60.22</v>
      </c>
    </row>
    <row r="3627" spans="1:8">
      <c r="B3627" s="105"/>
      <c r="C3627" s="105"/>
      <c r="D3627" s="105"/>
      <c r="E3627" s="105"/>
      <c r="F3627" s="629" t="s">
        <v>604</v>
      </c>
      <c r="G3627" s="629"/>
      <c r="H3627" s="495">
        <v>60.22</v>
      </c>
    </row>
    <row r="3628" spans="1:8" ht="12.75" customHeight="1">
      <c r="B3628" s="628" t="s">
        <v>607</v>
      </c>
      <c r="C3628" s="628"/>
      <c r="D3628" s="103" t="s">
        <v>579</v>
      </c>
      <c r="E3628" s="103" t="s">
        <v>580</v>
      </c>
      <c r="F3628" s="103" t="s">
        <v>581</v>
      </c>
      <c r="G3628" s="103" t="s">
        <v>582</v>
      </c>
      <c r="H3628" s="103" t="s">
        <v>583</v>
      </c>
    </row>
    <row r="3629" spans="1:8">
      <c r="B3629" s="130" t="s">
        <v>1256</v>
      </c>
      <c r="C3629" s="229" t="s">
        <v>608</v>
      </c>
      <c r="D3629" s="130" t="s">
        <v>119</v>
      </c>
      <c r="E3629" s="130" t="s">
        <v>121</v>
      </c>
      <c r="F3629" s="230">
        <v>0.24840000000000001</v>
      </c>
      <c r="G3629" s="494">
        <v>25</v>
      </c>
      <c r="H3629" s="494">
        <v>6.21</v>
      </c>
    </row>
    <row r="3630" spans="1:8">
      <c r="B3630" s="130" t="s">
        <v>1257</v>
      </c>
      <c r="C3630" s="229" t="s">
        <v>609</v>
      </c>
      <c r="D3630" s="130" t="s">
        <v>119</v>
      </c>
      <c r="E3630" s="130" t="s">
        <v>121</v>
      </c>
      <c r="F3630" s="230">
        <v>0.24840000000000001</v>
      </c>
      <c r="G3630" s="494">
        <v>31.72</v>
      </c>
      <c r="H3630" s="494">
        <v>7.88</v>
      </c>
    </row>
    <row r="3631" spans="1:8" ht="12.75" customHeight="1">
      <c r="B3631" s="105"/>
      <c r="C3631" s="105"/>
      <c r="D3631" s="105"/>
      <c r="E3631" s="105"/>
      <c r="F3631" s="629" t="s">
        <v>610</v>
      </c>
      <c r="G3631" s="629"/>
      <c r="H3631" s="495">
        <v>14.09</v>
      </c>
    </row>
    <row r="3632" spans="1:8" ht="12.75" customHeight="1">
      <c r="B3632" s="105"/>
      <c r="C3632" s="105"/>
      <c r="D3632" s="105"/>
      <c r="E3632" s="105"/>
      <c r="F3632" s="630" t="s">
        <v>464</v>
      </c>
      <c r="G3632" s="630"/>
      <c r="H3632" s="102">
        <v>74.3</v>
      </c>
    </row>
    <row r="3633" spans="1:8">
      <c r="B3633" s="105"/>
      <c r="C3633" s="105"/>
      <c r="D3633" s="105"/>
      <c r="E3633" s="105"/>
      <c r="F3633" s="634"/>
      <c r="G3633" s="634"/>
      <c r="H3633" s="634"/>
    </row>
    <row r="3634" spans="1:8" s="220" customFormat="1" ht="27" customHeight="1">
      <c r="A3634" s="178" t="str">
        <f>'3 - PLAN. ORÇAMENTÁRIA'!A604</f>
        <v>6.2.9</v>
      </c>
      <c r="B3634" s="178">
        <f>VLOOKUP(A3634,'3 - PLAN. ORÇAMENTÁRIA'!$A$16:$B$721,2,FALSE)</f>
        <v>37560</v>
      </c>
      <c r="C3634" s="631" t="str">
        <f>VLOOKUP(A3634,'3 - PLAN. ORÇAMENTÁRIA'!$A$16:$C$721,3,FALSE)</f>
        <v>PLACA DE SINALIZACAO DE SEGURANCA CONTRA INCENDIO - ALERTA, TRIANGULAR, BASE DE *30* CM, EM PVC *2* MM ANTI-CHAMAS (SIMBOLOS, CORES E PICTOGRAMAS CONFORME NBR 16820)</v>
      </c>
      <c r="D3634" s="632"/>
      <c r="E3634" s="632"/>
      <c r="F3634" s="632"/>
      <c r="G3634" s="633"/>
      <c r="H3634" s="433" t="str">
        <f>VLOOKUP(A3634,'3 - PLAN. ORÇAMENTÁRIA'!$A$17:$E$721,5,FALSE)</f>
        <v>UN</v>
      </c>
    </row>
    <row r="3635" spans="1:8">
      <c r="B3635" s="628" t="s">
        <v>593</v>
      </c>
      <c r="C3635" s="628"/>
      <c r="D3635" s="103" t="s">
        <v>579</v>
      </c>
      <c r="E3635" s="103" t="s">
        <v>580</v>
      </c>
      <c r="F3635" s="103" t="s">
        <v>581</v>
      </c>
      <c r="G3635" s="103" t="s">
        <v>582</v>
      </c>
      <c r="H3635" s="103" t="s">
        <v>583</v>
      </c>
    </row>
    <row r="3636" spans="1:8" ht="25.5">
      <c r="B3636" s="130" t="s">
        <v>404</v>
      </c>
      <c r="C3636" s="229" t="s">
        <v>405</v>
      </c>
      <c r="D3636" s="130" t="s">
        <v>119</v>
      </c>
      <c r="E3636" s="130" t="s">
        <v>144</v>
      </c>
      <c r="F3636" s="230">
        <v>1</v>
      </c>
      <c r="G3636" s="494">
        <v>49.21</v>
      </c>
      <c r="H3636" s="494">
        <v>49.21</v>
      </c>
    </row>
    <row r="3637" spans="1:8">
      <c r="B3637" s="105"/>
      <c r="C3637" s="105"/>
      <c r="D3637" s="105"/>
      <c r="E3637" s="105"/>
      <c r="F3637" s="629" t="s">
        <v>604</v>
      </c>
      <c r="G3637" s="629"/>
      <c r="H3637" s="495">
        <v>49.21</v>
      </c>
    </row>
    <row r="3638" spans="1:8" ht="12.75" customHeight="1">
      <c r="B3638" s="105"/>
      <c r="C3638" s="105"/>
      <c r="D3638" s="105"/>
      <c r="E3638" s="105"/>
      <c r="F3638" s="630" t="s">
        <v>464</v>
      </c>
      <c r="G3638" s="630"/>
      <c r="H3638" s="102">
        <v>49.21</v>
      </c>
    </row>
    <row r="3639" spans="1:8">
      <c r="B3639" s="105"/>
      <c r="C3639" s="105"/>
      <c r="D3639" s="105"/>
      <c r="E3639" s="105"/>
      <c r="F3639" s="634"/>
      <c r="G3639" s="634"/>
      <c r="H3639" s="634"/>
    </row>
    <row r="3640" spans="1:8" s="220" customFormat="1" ht="27" customHeight="1">
      <c r="A3640" s="178" t="str">
        <f>'3 - PLAN. ORÇAMENTÁRIA'!A605</f>
        <v>6.2.10</v>
      </c>
      <c r="B3640" s="178">
        <f>VLOOKUP(A3640,'3 - PLAN. ORÇAMENTÁRIA'!$A$16:$B$721,2,FALSE)</f>
        <v>98111</v>
      </c>
      <c r="C3640" s="631" t="str">
        <f>VLOOKUP(A3640,'3 - PLAN. ORÇAMENTÁRIA'!$A$16:$C$721,3,FALSE)</f>
        <v>CAIXA DE INSPEÇÃO PARA ATERRAMENTO, CIRCULAR, EM POLIETILENO, DIÂMETRO INTERNO = 0,3 M. AF_12/2020</v>
      </c>
      <c r="D3640" s="632"/>
      <c r="E3640" s="632"/>
      <c r="F3640" s="632"/>
      <c r="G3640" s="633"/>
      <c r="H3640" s="433" t="str">
        <f>VLOOKUP(A3640,'3 - PLAN. ORÇAMENTÁRIA'!$A$17:$E$721,5,FALSE)</f>
        <v>UN</v>
      </c>
    </row>
    <row r="3641" spans="1:8">
      <c r="B3641" s="628" t="s">
        <v>593</v>
      </c>
      <c r="C3641" s="628"/>
      <c r="D3641" s="103" t="s">
        <v>579</v>
      </c>
      <c r="E3641" s="103" t="s">
        <v>580</v>
      </c>
      <c r="F3641" s="103" t="s">
        <v>581</v>
      </c>
      <c r="G3641" s="103" t="s">
        <v>582</v>
      </c>
      <c r="H3641" s="103" t="s">
        <v>583</v>
      </c>
    </row>
    <row r="3642" spans="1:8" ht="25.5">
      <c r="B3642" s="130" t="s">
        <v>1244</v>
      </c>
      <c r="C3642" s="229" t="s">
        <v>1245</v>
      </c>
      <c r="D3642" s="130" t="s">
        <v>119</v>
      </c>
      <c r="E3642" s="130" t="s">
        <v>144</v>
      </c>
      <c r="F3642" s="230">
        <v>1</v>
      </c>
      <c r="G3642" s="494">
        <v>55.42</v>
      </c>
      <c r="H3642" s="494">
        <v>55.42</v>
      </c>
    </row>
    <row r="3643" spans="1:8">
      <c r="B3643" s="105"/>
      <c r="C3643" s="105"/>
      <c r="D3643" s="105"/>
      <c r="E3643" s="105"/>
      <c r="F3643" s="629" t="s">
        <v>604</v>
      </c>
      <c r="G3643" s="629"/>
      <c r="H3643" s="495">
        <v>55.42</v>
      </c>
    </row>
    <row r="3644" spans="1:8" ht="12.75" customHeight="1">
      <c r="B3644" s="628" t="s">
        <v>607</v>
      </c>
      <c r="C3644" s="628"/>
      <c r="D3644" s="103" t="s">
        <v>579</v>
      </c>
      <c r="E3644" s="103" t="s">
        <v>580</v>
      </c>
      <c r="F3644" s="103" t="s">
        <v>581</v>
      </c>
      <c r="G3644" s="103" t="s">
        <v>582</v>
      </c>
      <c r="H3644" s="103" t="s">
        <v>583</v>
      </c>
    </row>
    <row r="3645" spans="1:8">
      <c r="B3645" s="130" t="s">
        <v>639</v>
      </c>
      <c r="C3645" s="229" t="s">
        <v>640</v>
      </c>
      <c r="D3645" s="130" t="s">
        <v>119</v>
      </c>
      <c r="E3645" s="130" t="s">
        <v>121</v>
      </c>
      <c r="F3645" s="230">
        <v>0.1384</v>
      </c>
      <c r="G3645" s="494">
        <v>31.34</v>
      </c>
      <c r="H3645" s="494">
        <v>4.34</v>
      </c>
    </row>
    <row r="3646" spans="1:8">
      <c r="B3646" s="130" t="s">
        <v>625</v>
      </c>
      <c r="C3646" s="229" t="s">
        <v>626</v>
      </c>
      <c r="D3646" s="130" t="s">
        <v>119</v>
      </c>
      <c r="E3646" s="130" t="s">
        <v>121</v>
      </c>
      <c r="F3646" s="230">
        <v>0.10879999999999999</v>
      </c>
      <c r="G3646" s="494">
        <v>23.75</v>
      </c>
      <c r="H3646" s="494">
        <v>2.58</v>
      </c>
    </row>
    <row r="3647" spans="1:8" ht="12.75" customHeight="1">
      <c r="B3647" s="105"/>
      <c r="C3647" s="105"/>
      <c r="D3647" s="105"/>
      <c r="E3647" s="105"/>
      <c r="F3647" s="629" t="s">
        <v>610</v>
      </c>
      <c r="G3647" s="629"/>
      <c r="H3647" s="495">
        <v>6.92</v>
      </c>
    </row>
    <row r="3648" spans="1:8">
      <c r="B3648" s="628" t="s">
        <v>586</v>
      </c>
      <c r="C3648" s="628"/>
      <c r="D3648" s="103" t="s">
        <v>579</v>
      </c>
      <c r="E3648" s="103" t="s">
        <v>580</v>
      </c>
      <c r="F3648" s="103" t="s">
        <v>581</v>
      </c>
      <c r="G3648" s="103" t="s">
        <v>582</v>
      </c>
      <c r="H3648" s="103" t="s">
        <v>583</v>
      </c>
    </row>
    <row r="3649" spans="1:8" ht="25.5">
      <c r="B3649" s="130" t="s">
        <v>1677</v>
      </c>
      <c r="C3649" s="229" t="s">
        <v>1298</v>
      </c>
      <c r="D3649" s="130" t="s">
        <v>119</v>
      </c>
      <c r="E3649" s="130" t="s">
        <v>167</v>
      </c>
      <c r="F3649" s="230">
        <v>1.41E-2</v>
      </c>
      <c r="G3649" s="494">
        <v>252.42</v>
      </c>
      <c r="H3649" s="494">
        <v>3.56</v>
      </c>
    </row>
    <row r="3650" spans="1:8">
      <c r="B3650" s="105"/>
      <c r="C3650" s="105"/>
      <c r="D3650" s="105"/>
      <c r="E3650" s="105"/>
      <c r="F3650" s="629" t="s">
        <v>587</v>
      </c>
      <c r="G3650" s="629"/>
      <c r="H3650" s="495">
        <v>3.56</v>
      </c>
    </row>
    <row r="3651" spans="1:8" ht="12.75" customHeight="1">
      <c r="B3651" s="105"/>
      <c r="C3651" s="105"/>
      <c r="D3651" s="105"/>
      <c r="E3651" s="105"/>
      <c r="F3651" s="630" t="s">
        <v>464</v>
      </c>
      <c r="G3651" s="630"/>
      <c r="H3651" s="102">
        <v>65.900000000000006</v>
      </c>
    </row>
    <row r="3652" spans="1:8">
      <c r="B3652" s="105"/>
      <c r="C3652" s="105"/>
      <c r="D3652" s="105"/>
      <c r="E3652" s="105"/>
      <c r="F3652" s="634"/>
      <c r="G3652" s="634"/>
      <c r="H3652" s="634"/>
    </row>
    <row r="3653" spans="1:8" s="220" customFormat="1" ht="27" customHeight="1">
      <c r="A3653" s="178" t="str">
        <f>'3 - PLAN. ORÇAMENTÁRIA'!A608</f>
        <v>6.3.1.1</v>
      </c>
      <c r="B3653" s="178" t="str">
        <f>VLOOKUP(A3653,'3 - PLAN. ORÇAMENTÁRIA'!$A$16:$B$721,2,FALSE)</f>
        <v>91940.</v>
      </c>
      <c r="C3653" s="631" t="str">
        <f>VLOOKUP(A3653,'3 - PLAN. ORÇAMENTÁRIA'!$A$16:$C$721,3,FALSE)</f>
        <v>CAIXA RETANGULAR 4" X 2" MÉDIA, PVC, INSTALADA EM PAREDE - FORNECIMENTO E INSTALAÇÃO. AF_03/2023</v>
      </c>
      <c r="D3653" s="632"/>
      <c r="E3653" s="632"/>
      <c r="F3653" s="632"/>
      <c r="G3653" s="633"/>
      <c r="H3653" s="433" t="str">
        <f>VLOOKUP(A3653,'3 - PLAN. ORÇAMENTÁRIA'!$A$17:$E$721,5,FALSE)</f>
        <v>UN</v>
      </c>
    </row>
    <row r="3654" spans="1:8">
      <c r="B3654" s="628" t="s">
        <v>593</v>
      </c>
      <c r="C3654" s="628"/>
      <c r="D3654" s="103" t="s">
        <v>579</v>
      </c>
      <c r="E3654" s="103" t="s">
        <v>580</v>
      </c>
      <c r="F3654" s="103" t="s">
        <v>581</v>
      </c>
      <c r="G3654" s="103" t="s">
        <v>582</v>
      </c>
      <c r="H3654" s="103" t="s">
        <v>583</v>
      </c>
    </row>
    <row r="3655" spans="1:8">
      <c r="B3655" s="130" t="s">
        <v>686</v>
      </c>
      <c r="C3655" s="229" t="s">
        <v>687</v>
      </c>
      <c r="D3655" s="130" t="s">
        <v>119</v>
      </c>
      <c r="E3655" s="130" t="s">
        <v>144</v>
      </c>
      <c r="F3655" s="230">
        <v>1</v>
      </c>
      <c r="G3655" s="494">
        <v>2.81</v>
      </c>
      <c r="H3655" s="494">
        <v>2.81</v>
      </c>
    </row>
    <row r="3656" spans="1:8">
      <c r="B3656" s="105"/>
      <c r="C3656" s="105"/>
      <c r="D3656" s="105"/>
      <c r="E3656" s="105"/>
      <c r="F3656" s="629" t="s">
        <v>604</v>
      </c>
      <c r="G3656" s="629"/>
      <c r="H3656" s="495">
        <v>2.81</v>
      </c>
    </row>
    <row r="3657" spans="1:8" ht="12.75" customHeight="1">
      <c r="B3657" s="628" t="s">
        <v>607</v>
      </c>
      <c r="C3657" s="628"/>
      <c r="D3657" s="103" t="s">
        <v>579</v>
      </c>
      <c r="E3657" s="103" t="s">
        <v>580</v>
      </c>
      <c r="F3657" s="103" t="s">
        <v>581</v>
      </c>
      <c r="G3657" s="103" t="s">
        <v>582</v>
      </c>
      <c r="H3657" s="103" t="s">
        <v>583</v>
      </c>
    </row>
    <row r="3658" spans="1:8">
      <c r="B3658" s="130" t="s">
        <v>1256</v>
      </c>
      <c r="C3658" s="229" t="s">
        <v>608</v>
      </c>
      <c r="D3658" s="130" t="s">
        <v>119</v>
      </c>
      <c r="E3658" s="130" t="s">
        <v>121</v>
      </c>
      <c r="F3658" s="230">
        <v>0.29099999999999998</v>
      </c>
      <c r="G3658" s="494">
        <v>25</v>
      </c>
      <c r="H3658" s="494">
        <v>7.28</v>
      </c>
    </row>
    <row r="3659" spans="1:8">
      <c r="B3659" s="130" t="s">
        <v>1257</v>
      </c>
      <c r="C3659" s="229" t="s">
        <v>609</v>
      </c>
      <c r="D3659" s="130" t="s">
        <v>119</v>
      </c>
      <c r="E3659" s="130" t="s">
        <v>121</v>
      </c>
      <c r="F3659" s="230">
        <v>0.29099999999999998</v>
      </c>
      <c r="G3659" s="494">
        <v>31.72</v>
      </c>
      <c r="H3659" s="494">
        <v>9.23</v>
      </c>
    </row>
    <row r="3660" spans="1:8" ht="12.75" customHeight="1">
      <c r="B3660" s="105"/>
      <c r="C3660" s="105"/>
      <c r="D3660" s="105"/>
      <c r="E3660" s="105"/>
      <c r="F3660" s="629" t="s">
        <v>610</v>
      </c>
      <c r="G3660" s="629"/>
      <c r="H3660" s="495">
        <v>16.510000000000002</v>
      </c>
    </row>
    <row r="3661" spans="1:8">
      <c r="B3661" s="628" t="s">
        <v>586</v>
      </c>
      <c r="C3661" s="628"/>
      <c r="D3661" s="103" t="s">
        <v>579</v>
      </c>
      <c r="E3661" s="103" t="s">
        <v>580</v>
      </c>
      <c r="F3661" s="103" t="s">
        <v>581</v>
      </c>
      <c r="G3661" s="103" t="s">
        <v>582</v>
      </c>
      <c r="H3661" s="103" t="s">
        <v>583</v>
      </c>
    </row>
    <row r="3662" spans="1:8" ht="25.5">
      <c r="B3662" s="130" t="s">
        <v>1702</v>
      </c>
      <c r="C3662" s="229" t="s">
        <v>1703</v>
      </c>
      <c r="D3662" s="130" t="s">
        <v>119</v>
      </c>
      <c r="E3662" s="130" t="s">
        <v>167</v>
      </c>
      <c r="F3662" s="230">
        <v>8.9999999999999998E-4</v>
      </c>
      <c r="G3662" s="494">
        <v>627.14</v>
      </c>
      <c r="H3662" s="494">
        <v>0.56000000000000005</v>
      </c>
    </row>
    <row r="3663" spans="1:8">
      <c r="B3663" s="105"/>
      <c r="C3663" s="105"/>
      <c r="D3663" s="105"/>
      <c r="E3663" s="105"/>
      <c r="F3663" s="629" t="s">
        <v>587</v>
      </c>
      <c r="G3663" s="629"/>
      <c r="H3663" s="495">
        <v>0.56000000000000005</v>
      </c>
    </row>
    <row r="3664" spans="1:8" ht="12.75" customHeight="1">
      <c r="B3664" s="105"/>
      <c r="C3664" s="105"/>
      <c r="D3664" s="105"/>
      <c r="E3664" s="105"/>
      <c r="F3664" s="630" t="s">
        <v>464</v>
      </c>
      <c r="G3664" s="630"/>
      <c r="H3664" s="102">
        <v>19.88</v>
      </c>
    </row>
    <row r="3665" spans="1:8">
      <c r="B3665" s="105"/>
      <c r="C3665" s="105"/>
      <c r="D3665" s="105"/>
      <c r="E3665" s="105"/>
      <c r="F3665" s="634"/>
      <c r="G3665" s="634"/>
      <c r="H3665" s="634"/>
    </row>
    <row r="3666" spans="1:8" s="220" customFormat="1" ht="27" customHeight="1">
      <c r="A3666" s="178" t="str">
        <f>'3 - PLAN. ORÇAMENTÁRIA'!A609</f>
        <v>6.3.1.2</v>
      </c>
      <c r="B3666" s="178">
        <f>VLOOKUP(A3666,'3 - PLAN. ORÇAMENTÁRIA'!$A$16:$B$721,2,FALSE)</f>
        <v>91854</v>
      </c>
      <c r="C3666" s="631" t="str">
        <f>VLOOKUP(A3666,'3 - PLAN. ORÇAMENTÁRIA'!$A$16:$C$721,3,FALSE)</f>
        <v>ELETRODUTO FLEXÍVEL CORRUGADO, PVC, DN 25 MM (3/4") - FORNECIMENTO E INSTALAÇÃO. AF_03/2023</v>
      </c>
      <c r="D3666" s="632"/>
      <c r="E3666" s="632"/>
      <c r="F3666" s="632"/>
      <c r="G3666" s="633"/>
      <c r="H3666" s="493" t="str">
        <f>VLOOKUP(A3666,'3 - PLAN. ORÇAMENTÁRIA'!$A$17:$E$721,5,FALSE)</f>
        <v>M</v>
      </c>
    </row>
    <row r="3667" spans="1:8">
      <c r="B3667" s="628" t="s">
        <v>593</v>
      </c>
      <c r="C3667" s="628"/>
      <c r="D3667" s="103" t="s">
        <v>579</v>
      </c>
      <c r="E3667" s="103" t="s">
        <v>580</v>
      </c>
      <c r="F3667" s="103" t="s">
        <v>581</v>
      </c>
      <c r="G3667" s="103" t="s">
        <v>582</v>
      </c>
      <c r="H3667" s="103" t="s">
        <v>583</v>
      </c>
    </row>
    <row r="3668" spans="1:8">
      <c r="B3668" s="130" t="s">
        <v>1700</v>
      </c>
      <c r="C3668" s="229" t="s">
        <v>1701</v>
      </c>
      <c r="D3668" s="130" t="s">
        <v>119</v>
      </c>
      <c r="E3668" s="130" t="s">
        <v>173</v>
      </c>
      <c r="F3668" s="230">
        <v>1.0169999999999999</v>
      </c>
      <c r="G3668" s="494">
        <v>3.19</v>
      </c>
      <c r="H3668" s="494">
        <v>3.24</v>
      </c>
    </row>
    <row r="3669" spans="1:8">
      <c r="B3669" s="105"/>
      <c r="C3669" s="105"/>
      <c r="D3669" s="105"/>
      <c r="E3669" s="105"/>
      <c r="F3669" s="629" t="s">
        <v>604</v>
      </c>
      <c r="G3669" s="629"/>
      <c r="H3669" s="495">
        <v>3.24</v>
      </c>
    </row>
    <row r="3670" spans="1:8" ht="12.75" customHeight="1">
      <c r="B3670" s="628" t="s">
        <v>607</v>
      </c>
      <c r="C3670" s="628"/>
      <c r="D3670" s="103" t="s">
        <v>579</v>
      </c>
      <c r="E3670" s="103" t="s">
        <v>580</v>
      </c>
      <c r="F3670" s="103" t="s">
        <v>581</v>
      </c>
      <c r="G3670" s="103" t="s">
        <v>582</v>
      </c>
      <c r="H3670" s="103" t="s">
        <v>583</v>
      </c>
    </row>
    <row r="3671" spans="1:8">
      <c r="B3671" s="130" t="s">
        <v>1256</v>
      </c>
      <c r="C3671" s="229" t="s">
        <v>608</v>
      </c>
      <c r="D3671" s="130" t="s">
        <v>119</v>
      </c>
      <c r="E3671" s="130" t="s">
        <v>121</v>
      </c>
      <c r="F3671" s="230">
        <v>0.13400000000000001</v>
      </c>
      <c r="G3671" s="494">
        <v>25</v>
      </c>
      <c r="H3671" s="494">
        <v>3.35</v>
      </c>
    </row>
    <row r="3672" spans="1:8">
      <c r="B3672" s="130" t="s">
        <v>1257</v>
      </c>
      <c r="C3672" s="229" t="s">
        <v>609</v>
      </c>
      <c r="D3672" s="130" t="s">
        <v>119</v>
      </c>
      <c r="E3672" s="130" t="s">
        <v>121</v>
      </c>
      <c r="F3672" s="230">
        <v>0.13400000000000001</v>
      </c>
      <c r="G3672" s="494">
        <v>31.72</v>
      </c>
      <c r="H3672" s="494">
        <v>4.25</v>
      </c>
    </row>
    <row r="3673" spans="1:8" ht="12.75" customHeight="1">
      <c r="B3673" s="105"/>
      <c r="C3673" s="105"/>
      <c r="D3673" s="105"/>
      <c r="E3673" s="105"/>
      <c r="F3673" s="629" t="s">
        <v>610</v>
      </c>
      <c r="G3673" s="629"/>
      <c r="H3673" s="495">
        <v>7.6</v>
      </c>
    </row>
    <row r="3674" spans="1:8" ht="12.75" customHeight="1">
      <c r="B3674" s="105"/>
      <c r="C3674" s="105"/>
      <c r="D3674" s="105"/>
      <c r="E3674" s="105"/>
      <c r="F3674" s="630" t="s">
        <v>464</v>
      </c>
      <c r="G3674" s="630"/>
      <c r="H3674" s="102">
        <v>10.84</v>
      </c>
    </row>
    <row r="3675" spans="1:8">
      <c r="B3675" s="105"/>
      <c r="C3675" s="105"/>
      <c r="D3675" s="105"/>
      <c r="E3675" s="105"/>
      <c r="F3675" s="634"/>
      <c r="G3675" s="634"/>
      <c r="H3675" s="634"/>
    </row>
    <row r="3676" spans="1:8" s="220" customFormat="1" ht="27" customHeight="1">
      <c r="A3676" s="178" t="str">
        <f>'3 - PLAN. ORÇAMENTÁRIA'!A610</f>
        <v>6.3.1.3</v>
      </c>
      <c r="B3676" s="178">
        <f>VLOOKUP(A3676,'3 - PLAN. ORÇAMENTÁRIA'!$A$16:$B$721,2,FALSE)</f>
        <v>91856</v>
      </c>
      <c r="C3676" s="631" t="str">
        <f>VLOOKUP(A3676,'3 - PLAN. ORÇAMENTÁRIA'!$A$16:$C$721,3,FALSE)</f>
        <v>ELETRODUTO FLEXÍVEL CORRUGADO, PVC, DN 32 MM (1") - FORNECIMENTO E INSTALAÇÃO. AF_03/2023</v>
      </c>
      <c r="D3676" s="632"/>
      <c r="E3676" s="632"/>
      <c r="F3676" s="632"/>
      <c r="G3676" s="633"/>
      <c r="H3676" s="493" t="str">
        <f>VLOOKUP(A3676,'3 - PLAN. ORÇAMENTÁRIA'!$A$17:$E$721,5,FALSE)</f>
        <v>M</v>
      </c>
    </row>
    <row r="3677" spans="1:8">
      <c r="B3677" s="628" t="s">
        <v>593</v>
      </c>
      <c r="C3677" s="628"/>
      <c r="D3677" s="103" t="s">
        <v>579</v>
      </c>
      <c r="E3677" s="103" t="s">
        <v>580</v>
      </c>
      <c r="F3677" s="103" t="s">
        <v>581</v>
      </c>
      <c r="G3677" s="103" t="s">
        <v>582</v>
      </c>
      <c r="H3677" s="103" t="s">
        <v>583</v>
      </c>
    </row>
    <row r="3678" spans="1:8">
      <c r="B3678" s="130" t="s">
        <v>1698</v>
      </c>
      <c r="C3678" s="229" t="s">
        <v>1699</v>
      </c>
      <c r="D3678" s="130" t="s">
        <v>119</v>
      </c>
      <c r="E3678" s="130" t="s">
        <v>173</v>
      </c>
      <c r="F3678" s="230">
        <v>1.0169999999999999</v>
      </c>
      <c r="G3678" s="494">
        <v>5.47</v>
      </c>
      <c r="H3678" s="494">
        <v>5.56</v>
      </c>
    </row>
    <row r="3679" spans="1:8">
      <c r="B3679" s="105"/>
      <c r="C3679" s="105"/>
      <c r="D3679" s="105"/>
      <c r="E3679" s="105"/>
      <c r="F3679" s="629" t="s">
        <v>604</v>
      </c>
      <c r="G3679" s="629"/>
      <c r="H3679" s="495">
        <v>5.56</v>
      </c>
    </row>
    <row r="3680" spans="1:8" ht="12.75" customHeight="1">
      <c r="B3680" s="628" t="s">
        <v>607</v>
      </c>
      <c r="C3680" s="628"/>
      <c r="D3680" s="103" t="s">
        <v>579</v>
      </c>
      <c r="E3680" s="103" t="s">
        <v>580</v>
      </c>
      <c r="F3680" s="103" t="s">
        <v>581</v>
      </c>
      <c r="G3680" s="103" t="s">
        <v>582</v>
      </c>
      <c r="H3680" s="103" t="s">
        <v>583</v>
      </c>
    </row>
    <row r="3681" spans="1:8">
      <c r="B3681" s="130" t="s">
        <v>1256</v>
      </c>
      <c r="C3681" s="229" t="s">
        <v>608</v>
      </c>
      <c r="D3681" s="130" t="s">
        <v>119</v>
      </c>
      <c r="E3681" s="130" t="s">
        <v>121</v>
      </c>
      <c r="F3681" s="230">
        <v>0.14899999999999999</v>
      </c>
      <c r="G3681" s="494">
        <v>25</v>
      </c>
      <c r="H3681" s="494">
        <v>3.73</v>
      </c>
    </row>
    <row r="3682" spans="1:8">
      <c r="B3682" s="130" t="s">
        <v>1257</v>
      </c>
      <c r="C3682" s="229" t="s">
        <v>609</v>
      </c>
      <c r="D3682" s="130" t="s">
        <v>119</v>
      </c>
      <c r="E3682" s="130" t="s">
        <v>121</v>
      </c>
      <c r="F3682" s="230">
        <v>0.14899999999999999</v>
      </c>
      <c r="G3682" s="494">
        <v>31.72</v>
      </c>
      <c r="H3682" s="494">
        <v>4.7300000000000004</v>
      </c>
    </row>
    <row r="3683" spans="1:8" ht="12.75" customHeight="1">
      <c r="B3683" s="105"/>
      <c r="C3683" s="105"/>
      <c r="D3683" s="105"/>
      <c r="E3683" s="105"/>
      <c r="F3683" s="629" t="s">
        <v>610</v>
      </c>
      <c r="G3683" s="629"/>
      <c r="H3683" s="495">
        <v>8.4600000000000009</v>
      </c>
    </row>
    <row r="3684" spans="1:8" ht="12.75" customHeight="1">
      <c r="B3684" s="105"/>
      <c r="C3684" s="105"/>
      <c r="D3684" s="105"/>
      <c r="E3684" s="105"/>
      <c r="F3684" s="630" t="s">
        <v>464</v>
      </c>
      <c r="G3684" s="630"/>
      <c r="H3684" s="102">
        <v>14</v>
      </c>
    </row>
    <row r="3685" spans="1:8">
      <c r="B3685" s="105"/>
      <c r="C3685" s="105"/>
      <c r="D3685" s="105"/>
      <c r="E3685" s="105"/>
      <c r="F3685" s="634"/>
      <c r="G3685" s="634"/>
      <c r="H3685" s="634"/>
    </row>
    <row r="3686" spans="1:8" s="220" customFormat="1" ht="27" customHeight="1">
      <c r="A3686" s="178" t="str">
        <f>'3 - PLAN. ORÇAMENTÁRIA'!A611</f>
        <v>6.3.1.4</v>
      </c>
      <c r="B3686" s="178">
        <f>VLOOKUP(A3686,'3 - PLAN. ORÇAMENTÁRIA'!$A$16:$B$721,2,FALSE)</f>
        <v>91856</v>
      </c>
      <c r="C3686" s="631" t="str">
        <f>VLOOKUP(A3686,'3 - PLAN. ORÇAMENTÁRIA'!$A$16:$C$721,3,FALSE)</f>
        <v>ELETRODUTO FLEXÍVEL CORRUGADO, PVC, DN 40 MM (1.1/2") - FORNECIMENTO E INSTALAÇÃO. AF_03/2023</v>
      </c>
      <c r="D3686" s="632"/>
      <c r="E3686" s="632"/>
      <c r="F3686" s="632"/>
      <c r="G3686" s="633"/>
      <c r="H3686" s="493" t="str">
        <f>VLOOKUP(A3686,'3 - PLAN. ORÇAMENTÁRIA'!$A$17:$E$721,5,FALSE)</f>
        <v>M</v>
      </c>
    </row>
    <row r="3687" spans="1:8">
      <c r="B3687" s="628" t="s">
        <v>593</v>
      </c>
      <c r="C3687" s="628"/>
      <c r="D3687" s="103" t="s">
        <v>579</v>
      </c>
      <c r="E3687" s="103" t="s">
        <v>580</v>
      </c>
      <c r="F3687" s="103" t="s">
        <v>581</v>
      </c>
      <c r="G3687" s="103" t="s">
        <v>582</v>
      </c>
      <c r="H3687" s="103" t="s">
        <v>583</v>
      </c>
    </row>
    <row r="3688" spans="1:8">
      <c r="B3688" s="130" t="s">
        <v>1698</v>
      </c>
      <c r="C3688" s="229" t="s">
        <v>1699</v>
      </c>
      <c r="D3688" s="130" t="s">
        <v>119</v>
      </c>
      <c r="E3688" s="130" t="s">
        <v>173</v>
      </c>
      <c r="F3688" s="230">
        <v>1.0169999999999999</v>
      </c>
      <c r="G3688" s="494">
        <v>5.47</v>
      </c>
      <c r="H3688" s="494">
        <v>5.56</v>
      </c>
    </row>
    <row r="3689" spans="1:8">
      <c r="B3689" s="105"/>
      <c r="C3689" s="105"/>
      <c r="D3689" s="105"/>
      <c r="E3689" s="105"/>
      <c r="F3689" s="629" t="s">
        <v>604</v>
      </c>
      <c r="G3689" s="629"/>
      <c r="H3689" s="495">
        <v>5.56</v>
      </c>
    </row>
    <row r="3690" spans="1:8" ht="12.75" customHeight="1">
      <c r="B3690" s="628" t="s">
        <v>607</v>
      </c>
      <c r="C3690" s="628"/>
      <c r="D3690" s="103" t="s">
        <v>579</v>
      </c>
      <c r="E3690" s="103" t="s">
        <v>580</v>
      </c>
      <c r="F3690" s="103" t="s">
        <v>581</v>
      </c>
      <c r="G3690" s="103" t="s">
        <v>582</v>
      </c>
      <c r="H3690" s="103" t="s">
        <v>583</v>
      </c>
    </row>
    <row r="3691" spans="1:8">
      <c r="B3691" s="130" t="s">
        <v>1256</v>
      </c>
      <c r="C3691" s="229" t="s">
        <v>608</v>
      </c>
      <c r="D3691" s="130" t="s">
        <v>119</v>
      </c>
      <c r="E3691" s="130" t="s">
        <v>121</v>
      </c>
      <c r="F3691" s="230">
        <v>0.14899999999999999</v>
      </c>
      <c r="G3691" s="494">
        <v>25</v>
      </c>
      <c r="H3691" s="494">
        <v>3.73</v>
      </c>
    </row>
    <row r="3692" spans="1:8">
      <c r="B3692" s="130" t="s">
        <v>1257</v>
      </c>
      <c r="C3692" s="229" t="s">
        <v>609</v>
      </c>
      <c r="D3692" s="130" t="s">
        <v>119</v>
      </c>
      <c r="E3692" s="130" t="s">
        <v>121</v>
      </c>
      <c r="F3692" s="230">
        <v>0.14899999999999999</v>
      </c>
      <c r="G3692" s="494">
        <v>31.72</v>
      </c>
      <c r="H3692" s="494">
        <v>4.7300000000000004</v>
      </c>
    </row>
    <row r="3693" spans="1:8" ht="12.75" customHeight="1">
      <c r="B3693" s="105"/>
      <c r="C3693" s="105"/>
      <c r="D3693" s="105"/>
      <c r="E3693" s="105"/>
      <c r="F3693" s="629" t="s">
        <v>610</v>
      </c>
      <c r="G3693" s="629"/>
      <c r="H3693" s="495">
        <v>8.4600000000000009</v>
      </c>
    </row>
    <row r="3694" spans="1:8" ht="12.75" customHeight="1">
      <c r="B3694" s="105"/>
      <c r="C3694" s="105"/>
      <c r="D3694" s="105"/>
      <c r="E3694" s="105"/>
      <c r="F3694" s="630" t="s">
        <v>464</v>
      </c>
      <c r="G3694" s="630"/>
      <c r="H3694" s="102">
        <v>14</v>
      </c>
    </row>
    <row r="3695" spans="1:8">
      <c r="B3695" s="105"/>
      <c r="C3695" s="105"/>
      <c r="D3695" s="105"/>
      <c r="E3695" s="105"/>
      <c r="F3695" s="634"/>
      <c r="G3695" s="634"/>
      <c r="H3695" s="634"/>
    </row>
    <row r="3696" spans="1:8" s="220" customFormat="1" ht="27" customHeight="1">
      <c r="A3696" s="178" t="str">
        <f>'3 - PLAN. ORÇAMENTÁRIA'!A613</f>
        <v>6.3.2.1</v>
      </c>
      <c r="B3696" s="178">
        <f>VLOOKUP(A3696,'3 - PLAN. ORÇAMENTÁRIA'!$A$16:$B$721,2,FALSE)</f>
        <v>38091</v>
      </c>
      <c r="C3696" s="631" t="str">
        <f>VLOOKUP(A3696,'3 - PLAN. ORÇAMENTÁRIA'!$A$16:$C$721,3,FALSE)</f>
        <v>PLACA COM FURO 4" X 2", PARA SAÍDA DE FIOS</v>
      </c>
      <c r="D3696" s="632"/>
      <c r="E3696" s="632"/>
      <c r="F3696" s="632"/>
      <c r="G3696" s="633"/>
      <c r="H3696" s="433" t="str">
        <f>VLOOKUP(A3696,'3 - PLAN. ORÇAMENTÁRIA'!$A$17:$E$721,5,FALSE)</f>
        <v>UN</v>
      </c>
    </row>
    <row r="3697" spans="1:8">
      <c r="B3697" s="628" t="s">
        <v>593</v>
      </c>
      <c r="C3697" s="628"/>
      <c r="D3697" s="103" t="s">
        <v>579</v>
      </c>
      <c r="E3697" s="103" t="s">
        <v>580</v>
      </c>
      <c r="F3697" s="103" t="s">
        <v>581</v>
      </c>
      <c r="G3697" s="103" t="s">
        <v>582</v>
      </c>
      <c r="H3697" s="103" t="s">
        <v>583</v>
      </c>
    </row>
    <row r="3698" spans="1:8">
      <c r="B3698" s="130" t="s">
        <v>425</v>
      </c>
      <c r="C3698" s="229" t="s">
        <v>1759</v>
      </c>
      <c r="D3698" s="130" t="s">
        <v>119</v>
      </c>
      <c r="E3698" s="130" t="s">
        <v>144</v>
      </c>
      <c r="F3698" s="230">
        <v>1</v>
      </c>
      <c r="G3698" s="494">
        <v>3.26</v>
      </c>
      <c r="H3698" s="494">
        <v>3.26</v>
      </c>
    </row>
    <row r="3699" spans="1:8">
      <c r="B3699" s="105"/>
      <c r="C3699" s="105"/>
      <c r="D3699" s="105"/>
      <c r="E3699" s="105"/>
      <c r="F3699" s="629" t="s">
        <v>604</v>
      </c>
      <c r="G3699" s="629"/>
      <c r="H3699" s="495">
        <v>3.26</v>
      </c>
    </row>
    <row r="3700" spans="1:8" ht="12.75" customHeight="1">
      <c r="B3700" s="105"/>
      <c r="C3700" s="105"/>
      <c r="D3700" s="105"/>
      <c r="E3700" s="105"/>
      <c r="F3700" s="630" t="s">
        <v>464</v>
      </c>
      <c r="G3700" s="630"/>
      <c r="H3700" s="102">
        <v>3.26</v>
      </c>
    </row>
    <row r="3701" spans="1:8">
      <c r="B3701" s="105"/>
      <c r="C3701" s="105"/>
      <c r="D3701" s="105"/>
      <c r="E3701" s="105"/>
      <c r="F3701" s="375"/>
      <c r="G3701" s="375"/>
      <c r="H3701" s="375"/>
    </row>
    <row r="3702" spans="1:8" s="220" customFormat="1" ht="27" customHeight="1">
      <c r="A3702" s="178" t="str">
        <f>'3 - PLAN. ORÇAMENTÁRIA'!A620</f>
        <v>6.3.3.1</v>
      </c>
      <c r="B3702" s="178">
        <f>VLOOKUP(A3702,'3 - PLAN. ORÇAMENTÁRIA'!$A$16:$B$721,2,FALSE)</f>
        <v>100553</v>
      </c>
      <c r="C3702" s="631" t="str">
        <f>VLOOKUP(A3702,'3 - PLAN. ORÇAMENTÁRIA'!$A$16:$C$721,3,FALSE)</f>
        <v>CABO COAXIAL RG11 95% - FORNECIMENTO E INSTALAÇÃO. AF_11/2019</v>
      </c>
      <c r="D3702" s="632"/>
      <c r="E3702" s="632"/>
      <c r="F3702" s="632"/>
      <c r="G3702" s="633"/>
      <c r="H3702" s="433" t="str">
        <f>VLOOKUP(A3702,'3 - PLAN. ORÇAMENTÁRIA'!$A$17:$E$721,5,FALSE)</f>
        <v>M</v>
      </c>
    </row>
    <row r="3703" spans="1:8">
      <c r="B3703" s="628" t="s">
        <v>593</v>
      </c>
      <c r="C3703" s="628"/>
      <c r="D3703" s="103" t="s">
        <v>579</v>
      </c>
      <c r="E3703" s="103" t="s">
        <v>580</v>
      </c>
      <c r="F3703" s="103" t="s">
        <v>581</v>
      </c>
      <c r="G3703" s="103" t="s">
        <v>582</v>
      </c>
      <c r="H3703" s="103" t="s">
        <v>583</v>
      </c>
    </row>
    <row r="3704" spans="1:8">
      <c r="B3704" s="130" t="s">
        <v>2530</v>
      </c>
      <c r="C3704" s="229" t="s">
        <v>2529</v>
      </c>
      <c r="D3704" s="130" t="s">
        <v>119</v>
      </c>
      <c r="E3704" s="130" t="s">
        <v>173</v>
      </c>
      <c r="F3704" s="230">
        <v>1.05</v>
      </c>
      <c r="G3704" s="494">
        <v>24</v>
      </c>
      <c r="H3704" s="494">
        <v>25.2</v>
      </c>
    </row>
    <row r="3705" spans="1:8">
      <c r="B3705" s="105"/>
      <c r="C3705" s="105"/>
      <c r="D3705" s="105"/>
      <c r="E3705" s="105"/>
      <c r="F3705" s="629" t="s">
        <v>604</v>
      </c>
      <c r="G3705" s="629"/>
      <c r="H3705" s="495">
        <v>25.2</v>
      </c>
    </row>
    <row r="3706" spans="1:8" ht="12.75" customHeight="1">
      <c r="B3706" s="628" t="s">
        <v>607</v>
      </c>
      <c r="C3706" s="628"/>
      <c r="D3706" s="103" t="s">
        <v>579</v>
      </c>
      <c r="E3706" s="103" t="s">
        <v>580</v>
      </c>
      <c r="F3706" s="103" t="s">
        <v>581</v>
      </c>
      <c r="G3706" s="103" t="s">
        <v>582</v>
      </c>
      <c r="H3706" s="103" t="s">
        <v>583</v>
      </c>
    </row>
    <row r="3707" spans="1:8">
      <c r="B3707" s="130" t="s">
        <v>1256</v>
      </c>
      <c r="C3707" s="229" t="s">
        <v>608</v>
      </c>
      <c r="D3707" s="130" t="s">
        <v>119</v>
      </c>
      <c r="E3707" s="130" t="s">
        <v>121</v>
      </c>
      <c r="F3707" s="230">
        <v>7.5999999999999998E-2</v>
      </c>
      <c r="G3707" s="494">
        <v>25</v>
      </c>
      <c r="H3707" s="494">
        <v>1.9</v>
      </c>
    </row>
    <row r="3708" spans="1:8">
      <c r="B3708" s="130" t="s">
        <v>1257</v>
      </c>
      <c r="C3708" s="229" t="s">
        <v>609</v>
      </c>
      <c r="D3708" s="130" t="s">
        <v>119</v>
      </c>
      <c r="E3708" s="130" t="s">
        <v>121</v>
      </c>
      <c r="F3708" s="230">
        <v>7.5999999999999998E-2</v>
      </c>
      <c r="G3708" s="494">
        <v>31.72</v>
      </c>
      <c r="H3708" s="494">
        <v>2.41</v>
      </c>
    </row>
    <row r="3709" spans="1:8" ht="12.75" customHeight="1">
      <c r="B3709" s="105"/>
      <c r="C3709" s="105"/>
      <c r="D3709" s="105"/>
      <c r="E3709" s="105"/>
      <c r="F3709" s="629" t="s">
        <v>610</v>
      </c>
      <c r="G3709" s="629"/>
      <c r="H3709" s="495">
        <v>4.3099999999999996</v>
      </c>
    </row>
    <row r="3710" spans="1:8" ht="12.75" customHeight="1">
      <c r="B3710" s="105"/>
      <c r="C3710" s="105"/>
      <c r="D3710" s="105"/>
      <c r="E3710" s="105"/>
      <c r="F3710" s="630" t="s">
        <v>464</v>
      </c>
      <c r="G3710" s="630"/>
      <c r="H3710" s="102">
        <v>29.51</v>
      </c>
    </row>
    <row r="3711" spans="1:8">
      <c r="B3711" s="105"/>
      <c r="C3711" s="105"/>
      <c r="D3711" s="105"/>
      <c r="E3711" s="105"/>
      <c r="F3711" s="375"/>
      <c r="G3711" s="375"/>
      <c r="H3711" s="375"/>
    </row>
    <row r="3712" spans="1:8" ht="30.75" customHeight="1">
      <c r="A3712" s="178" t="str">
        <f>'3 - PLAN. ORÇAMENTÁRIA'!A623</f>
        <v>6.4.1.1</v>
      </c>
      <c r="B3712" s="242">
        <f>VLOOKUP(A3712,'3 - PLAN. ORÇAMENTÁRIA'!$A$16:$B$721,2,FALSE)</f>
        <v>100560</v>
      </c>
      <c r="C3712" s="631" t="str">
        <f>VLOOKUP(A3712,'3 - PLAN. ORÇAMENTÁRIA'!$A$16:$C$721,3,FALSE)</f>
        <v>QUADRO DE DISTRIBUIÇÃO PARA TELEFONE N.2, 20X20X12CM EM CHAPA METALICA, DE EMBUTIR, SEM ACESSORIOS, FORNECIMENTO E INSTALAÇÃO. AF_11/2019</v>
      </c>
      <c r="D3712" s="632"/>
      <c r="E3712" s="632"/>
      <c r="F3712" s="632"/>
      <c r="G3712" s="633"/>
      <c r="H3712" s="376" t="str">
        <f>VLOOKUP(A3712,'3 - PLAN. ORÇAMENTÁRIA'!$A$17:$E$721,5,FALSE)</f>
        <v>UN</v>
      </c>
    </row>
    <row r="3713" spans="1:8">
      <c r="B3713" s="628" t="s">
        <v>593</v>
      </c>
      <c r="C3713" s="628"/>
      <c r="D3713" s="103" t="s">
        <v>579</v>
      </c>
      <c r="E3713" s="103" t="s">
        <v>580</v>
      </c>
      <c r="F3713" s="103" t="s">
        <v>581</v>
      </c>
      <c r="G3713" s="103" t="s">
        <v>582</v>
      </c>
      <c r="H3713" s="103" t="s">
        <v>583</v>
      </c>
    </row>
    <row r="3714" spans="1:8" ht="25.5">
      <c r="B3714" s="130" t="s">
        <v>1772</v>
      </c>
      <c r="C3714" s="229" t="s">
        <v>1773</v>
      </c>
      <c r="D3714" s="130" t="s">
        <v>119</v>
      </c>
      <c r="E3714" s="130" t="s">
        <v>144</v>
      </c>
      <c r="F3714" s="230">
        <v>1</v>
      </c>
      <c r="G3714" s="494">
        <v>51.84</v>
      </c>
      <c r="H3714" s="494">
        <v>51.84</v>
      </c>
    </row>
    <row r="3715" spans="1:8">
      <c r="B3715" s="105"/>
      <c r="C3715" s="105"/>
      <c r="D3715" s="105"/>
      <c r="E3715" s="105"/>
      <c r="F3715" s="629" t="s">
        <v>604</v>
      </c>
      <c r="G3715" s="629"/>
      <c r="H3715" s="495">
        <v>51.84</v>
      </c>
    </row>
    <row r="3716" spans="1:8" ht="12.75" customHeight="1">
      <c r="B3716" s="628" t="s">
        <v>607</v>
      </c>
      <c r="C3716" s="628"/>
      <c r="D3716" s="103" t="s">
        <v>579</v>
      </c>
      <c r="E3716" s="103" t="s">
        <v>580</v>
      </c>
      <c r="F3716" s="103" t="s">
        <v>581</v>
      </c>
      <c r="G3716" s="103" t="s">
        <v>582</v>
      </c>
      <c r="H3716" s="103" t="s">
        <v>583</v>
      </c>
    </row>
    <row r="3717" spans="1:8">
      <c r="B3717" s="130" t="s">
        <v>1256</v>
      </c>
      <c r="C3717" s="229" t="s">
        <v>608</v>
      </c>
      <c r="D3717" s="130" t="s">
        <v>119</v>
      </c>
      <c r="E3717" s="130" t="s">
        <v>121</v>
      </c>
      <c r="F3717" s="230">
        <v>0.88</v>
      </c>
      <c r="G3717" s="494">
        <v>25</v>
      </c>
      <c r="H3717" s="494">
        <v>22</v>
      </c>
    </row>
    <row r="3718" spans="1:8">
      <c r="B3718" s="130" t="s">
        <v>1257</v>
      </c>
      <c r="C3718" s="229" t="s">
        <v>609</v>
      </c>
      <c r="D3718" s="130" t="s">
        <v>119</v>
      </c>
      <c r="E3718" s="130" t="s">
        <v>121</v>
      </c>
      <c r="F3718" s="230">
        <v>0.88</v>
      </c>
      <c r="G3718" s="494">
        <v>31.72</v>
      </c>
      <c r="H3718" s="494">
        <v>27.91</v>
      </c>
    </row>
    <row r="3719" spans="1:8" ht="12.75" customHeight="1">
      <c r="B3719" s="105"/>
      <c r="C3719" s="105"/>
      <c r="D3719" s="105"/>
      <c r="E3719" s="105"/>
      <c r="F3719" s="629" t="s">
        <v>610</v>
      </c>
      <c r="G3719" s="629"/>
      <c r="H3719" s="495">
        <v>49.91</v>
      </c>
    </row>
    <row r="3720" spans="1:8">
      <c r="B3720" s="628" t="s">
        <v>586</v>
      </c>
      <c r="C3720" s="628"/>
      <c r="D3720" s="103" t="s">
        <v>579</v>
      </c>
      <c r="E3720" s="103" t="s">
        <v>580</v>
      </c>
      <c r="F3720" s="103" t="s">
        <v>581</v>
      </c>
      <c r="G3720" s="103" t="s">
        <v>582</v>
      </c>
      <c r="H3720" s="103" t="s">
        <v>583</v>
      </c>
    </row>
    <row r="3721" spans="1:8" ht="38.25">
      <c r="B3721" s="130" t="s">
        <v>1258</v>
      </c>
      <c r="C3721" s="229" t="s">
        <v>1259</v>
      </c>
      <c r="D3721" s="130" t="s">
        <v>119</v>
      </c>
      <c r="E3721" s="130" t="s">
        <v>167</v>
      </c>
      <c r="F3721" s="230">
        <v>4.3E-3</v>
      </c>
      <c r="G3721" s="494">
        <v>730.44</v>
      </c>
      <c r="H3721" s="494">
        <v>3.14</v>
      </c>
    </row>
    <row r="3722" spans="1:8">
      <c r="B3722" s="105"/>
      <c r="C3722" s="105"/>
      <c r="D3722" s="105"/>
      <c r="E3722" s="105"/>
      <c r="F3722" s="629" t="s">
        <v>587</v>
      </c>
      <c r="G3722" s="629"/>
      <c r="H3722" s="495">
        <v>3.14</v>
      </c>
    </row>
    <row r="3723" spans="1:8" ht="12.75" customHeight="1">
      <c r="B3723" s="105"/>
      <c r="C3723" s="105"/>
      <c r="D3723" s="105"/>
      <c r="E3723" s="105"/>
      <c r="F3723" s="630" t="s">
        <v>464</v>
      </c>
      <c r="G3723" s="630"/>
      <c r="H3723" s="102">
        <v>104.89</v>
      </c>
    </row>
    <row r="3724" spans="1:8">
      <c r="B3724" s="105"/>
      <c r="C3724" s="105"/>
      <c r="D3724" s="105"/>
      <c r="E3724" s="105"/>
      <c r="F3724" s="634"/>
      <c r="G3724" s="634"/>
      <c r="H3724" s="634"/>
    </row>
    <row r="3725" spans="1:8" s="220" customFormat="1" ht="27" customHeight="1">
      <c r="A3725" s="178" t="str">
        <f>'3 - PLAN. ORÇAMENTÁRIA'!A624</f>
        <v>6.4.1.2</v>
      </c>
      <c r="B3725" s="242">
        <f>VLOOKUP(A3725,'3 - PLAN. ORÇAMENTÁRIA'!$A$16:$B$721,2,FALSE)</f>
        <v>100555</v>
      </c>
      <c r="C3725" s="631" t="str">
        <f>VLOOKUP(A3725,'3 - PLAN. ORÇAMENTÁRIA'!$A$16:$C$721,3,FALSE)</f>
        <v>RACK ABERTO EM COLUNA PARA SERVIDOR - FORNECIMENTO E INSTALAÇÃO. AF_11/2019</v>
      </c>
      <c r="D3725" s="632"/>
      <c r="E3725" s="632"/>
      <c r="F3725" s="632"/>
      <c r="G3725" s="633"/>
      <c r="H3725" s="437" t="str">
        <f>VLOOKUP(A3725,'3 - PLAN. ORÇAMENTÁRIA'!$A$17:$E$721,5,FALSE)</f>
        <v>UN</v>
      </c>
    </row>
    <row r="3726" spans="1:8">
      <c r="B3726" s="628" t="s">
        <v>593</v>
      </c>
      <c r="C3726" s="628"/>
      <c r="D3726" s="103" t="s">
        <v>579</v>
      </c>
      <c r="E3726" s="103" t="s">
        <v>580</v>
      </c>
      <c r="F3726" s="103" t="s">
        <v>581</v>
      </c>
      <c r="G3726" s="103" t="s">
        <v>582</v>
      </c>
      <c r="H3726" s="103" t="s">
        <v>583</v>
      </c>
    </row>
    <row r="3727" spans="1:8">
      <c r="B3727" s="130" t="s">
        <v>1774</v>
      </c>
      <c r="C3727" s="229" t="s">
        <v>1775</v>
      </c>
      <c r="D3727" s="130" t="s">
        <v>119</v>
      </c>
      <c r="E3727" s="130" t="s">
        <v>144</v>
      </c>
      <c r="F3727" s="230">
        <v>1</v>
      </c>
      <c r="G3727" s="494">
        <v>1294.48</v>
      </c>
      <c r="H3727" s="494">
        <v>1294.48</v>
      </c>
    </row>
    <row r="3728" spans="1:8">
      <c r="B3728" s="105"/>
      <c r="C3728" s="105"/>
      <c r="D3728" s="105"/>
      <c r="E3728" s="105"/>
      <c r="F3728" s="629" t="s">
        <v>604</v>
      </c>
      <c r="G3728" s="629"/>
      <c r="H3728" s="495">
        <v>1294.48</v>
      </c>
    </row>
    <row r="3729" spans="1:8" ht="12.75" customHeight="1">
      <c r="B3729" s="628" t="s">
        <v>607</v>
      </c>
      <c r="C3729" s="628"/>
      <c r="D3729" s="103" t="s">
        <v>579</v>
      </c>
      <c r="E3729" s="103" t="s">
        <v>580</v>
      </c>
      <c r="F3729" s="103" t="s">
        <v>581</v>
      </c>
      <c r="G3729" s="103" t="s">
        <v>582</v>
      </c>
      <c r="H3729" s="103" t="s">
        <v>583</v>
      </c>
    </row>
    <row r="3730" spans="1:8">
      <c r="B3730" s="130" t="s">
        <v>1256</v>
      </c>
      <c r="C3730" s="229" t="s">
        <v>608</v>
      </c>
      <c r="D3730" s="130" t="s">
        <v>119</v>
      </c>
      <c r="E3730" s="130" t="s">
        <v>121</v>
      </c>
      <c r="F3730" s="230">
        <v>1.026</v>
      </c>
      <c r="G3730" s="494">
        <v>25</v>
      </c>
      <c r="H3730" s="494">
        <v>25.65</v>
      </c>
    </row>
    <row r="3731" spans="1:8">
      <c r="B3731" s="130" t="s">
        <v>1257</v>
      </c>
      <c r="C3731" s="229" t="s">
        <v>609</v>
      </c>
      <c r="D3731" s="130" t="s">
        <v>119</v>
      </c>
      <c r="E3731" s="130" t="s">
        <v>121</v>
      </c>
      <c r="F3731" s="230">
        <v>1.026</v>
      </c>
      <c r="G3731" s="494">
        <v>31.72</v>
      </c>
      <c r="H3731" s="494">
        <v>32.54</v>
      </c>
    </row>
    <row r="3732" spans="1:8" ht="12.75" customHeight="1">
      <c r="B3732" s="105"/>
      <c r="C3732" s="105"/>
      <c r="D3732" s="105"/>
      <c r="E3732" s="105"/>
      <c r="F3732" s="629" t="s">
        <v>610</v>
      </c>
      <c r="G3732" s="629"/>
      <c r="H3732" s="495">
        <v>58.19</v>
      </c>
    </row>
    <row r="3733" spans="1:8" ht="12.75" customHeight="1">
      <c r="B3733" s="105"/>
      <c r="C3733" s="105"/>
      <c r="D3733" s="105"/>
      <c r="E3733" s="105"/>
      <c r="F3733" s="630" t="s">
        <v>464</v>
      </c>
      <c r="G3733" s="630"/>
      <c r="H3733" s="102">
        <v>1352.67</v>
      </c>
    </row>
    <row r="3734" spans="1:8">
      <c r="B3734" s="105"/>
      <c r="C3734" s="105"/>
      <c r="D3734" s="105"/>
      <c r="E3734" s="105"/>
      <c r="F3734" s="375"/>
      <c r="G3734" s="375"/>
      <c r="H3734" s="375"/>
    </row>
    <row r="3735" spans="1:8" ht="30.75" customHeight="1">
      <c r="A3735" s="178" t="str">
        <f>'3 - PLAN. ORÇAMENTÁRIA'!A626</f>
        <v>6.4.1.4</v>
      </c>
      <c r="B3735" s="242">
        <f>VLOOKUP(A3735,'3 - PLAN. ORÇAMENTÁRIA'!$A$16:$B$721,2,FALSE)</f>
        <v>91940</v>
      </c>
      <c r="C3735" s="631" t="str">
        <f>VLOOKUP(A3735,'3 - PLAN. ORÇAMENTÁRIA'!$A$16:$C$721,3,FALSE)</f>
        <v>CAIXA RETANGULAR 4" X 2" MÉDIA, PVC, INSTALADA EM PAREDE - FORNECIMENTO E INSTALAÇÃO. AF_03/2023</v>
      </c>
      <c r="D3735" s="632"/>
      <c r="E3735" s="632"/>
      <c r="F3735" s="632"/>
      <c r="G3735" s="633"/>
      <c r="H3735" s="432" t="str">
        <f>VLOOKUP(A3735,'3 - PLAN. ORÇAMENTÁRIA'!$A$17:$E$721,5,FALSE)</f>
        <v>UN</v>
      </c>
    </row>
    <row r="3736" spans="1:8">
      <c r="B3736" s="628" t="s">
        <v>593</v>
      </c>
      <c r="C3736" s="628"/>
      <c r="D3736" s="103" t="s">
        <v>579</v>
      </c>
      <c r="E3736" s="103" t="s">
        <v>580</v>
      </c>
      <c r="F3736" s="103" t="s">
        <v>581</v>
      </c>
      <c r="G3736" s="103" t="s">
        <v>582</v>
      </c>
      <c r="H3736" s="103" t="s">
        <v>583</v>
      </c>
    </row>
    <row r="3737" spans="1:8">
      <c r="B3737" s="130" t="s">
        <v>686</v>
      </c>
      <c r="C3737" s="229" t="s">
        <v>687</v>
      </c>
      <c r="D3737" s="130" t="s">
        <v>119</v>
      </c>
      <c r="E3737" s="130" t="s">
        <v>144</v>
      </c>
      <c r="F3737" s="230">
        <v>1</v>
      </c>
      <c r="G3737" s="494">
        <v>2.81</v>
      </c>
      <c r="H3737" s="494">
        <v>2.81</v>
      </c>
    </row>
    <row r="3738" spans="1:8">
      <c r="B3738" s="105"/>
      <c r="C3738" s="105"/>
      <c r="D3738" s="105"/>
      <c r="E3738" s="105"/>
      <c r="F3738" s="629" t="s">
        <v>604</v>
      </c>
      <c r="G3738" s="629"/>
      <c r="H3738" s="495">
        <v>2.81</v>
      </c>
    </row>
    <row r="3739" spans="1:8" ht="12.75" customHeight="1">
      <c r="B3739" s="628" t="s">
        <v>607</v>
      </c>
      <c r="C3739" s="628"/>
      <c r="D3739" s="103" t="s">
        <v>579</v>
      </c>
      <c r="E3739" s="103" t="s">
        <v>580</v>
      </c>
      <c r="F3739" s="103" t="s">
        <v>581</v>
      </c>
      <c r="G3739" s="103" t="s">
        <v>582</v>
      </c>
      <c r="H3739" s="103" t="s">
        <v>583</v>
      </c>
    </row>
    <row r="3740" spans="1:8">
      <c r="B3740" s="130" t="s">
        <v>1256</v>
      </c>
      <c r="C3740" s="229" t="s">
        <v>608</v>
      </c>
      <c r="D3740" s="130" t="s">
        <v>119</v>
      </c>
      <c r="E3740" s="130" t="s">
        <v>121</v>
      </c>
      <c r="F3740" s="230">
        <v>0.29099999999999998</v>
      </c>
      <c r="G3740" s="494">
        <v>25</v>
      </c>
      <c r="H3740" s="494">
        <v>7.28</v>
      </c>
    </row>
    <row r="3741" spans="1:8">
      <c r="B3741" s="130" t="s">
        <v>1257</v>
      </c>
      <c r="C3741" s="229" t="s">
        <v>609</v>
      </c>
      <c r="D3741" s="130" t="s">
        <v>119</v>
      </c>
      <c r="E3741" s="130" t="s">
        <v>121</v>
      </c>
      <c r="F3741" s="230">
        <v>0.29099999999999998</v>
      </c>
      <c r="G3741" s="494">
        <v>31.72</v>
      </c>
      <c r="H3741" s="494">
        <v>9.23</v>
      </c>
    </row>
    <row r="3742" spans="1:8" ht="12.75" customHeight="1">
      <c r="B3742" s="105"/>
      <c r="C3742" s="105"/>
      <c r="D3742" s="105"/>
      <c r="E3742" s="105"/>
      <c r="F3742" s="629" t="s">
        <v>610</v>
      </c>
      <c r="G3742" s="629"/>
      <c r="H3742" s="495">
        <v>16.510000000000002</v>
      </c>
    </row>
    <row r="3743" spans="1:8">
      <c r="B3743" s="628" t="s">
        <v>586</v>
      </c>
      <c r="C3743" s="628"/>
      <c r="D3743" s="103" t="s">
        <v>579</v>
      </c>
      <c r="E3743" s="103" t="s">
        <v>580</v>
      </c>
      <c r="F3743" s="103" t="s">
        <v>581</v>
      </c>
      <c r="G3743" s="103" t="s">
        <v>582</v>
      </c>
      <c r="H3743" s="103" t="s">
        <v>583</v>
      </c>
    </row>
    <row r="3744" spans="1:8" ht="25.5">
      <c r="B3744" s="130" t="s">
        <v>1702</v>
      </c>
      <c r="C3744" s="229" t="s">
        <v>1703</v>
      </c>
      <c r="D3744" s="130" t="s">
        <v>119</v>
      </c>
      <c r="E3744" s="130" t="s">
        <v>167</v>
      </c>
      <c r="F3744" s="230">
        <v>8.9999999999999998E-4</v>
      </c>
      <c r="G3744" s="494">
        <v>627.14</v>
      </c>
      <c r="H3744" s="494">
        <v>0.56000000000000005</v>
      </c>
    </row>
    <row r="3745" spans="1:8">
      <c r="B3745" s="105"/>
      <c r="C3745" s="105"/>
      <c r="D3745" s="105"/>
      <c r="E3745" s="105"/>
      <c r="F3745" s="629" t="s">
        <v>587</v>
      </c>
      <c r="G3745" s="629"/>
      <c r="H3745" s="495">
        <v>0.56000000000000005</v>
      </c>
    </row>
    <row r="3746" spans="1:8" ht="12.75" customHeight="1">
      <c r="B3746" s="105"/>
      <c r="C3746" s="105"/>
      <c r="D3746" s="105"/>
      <c r="E3746" s="105"/>
      <c r="F3746" s="630" t="s">
        <v>464</v>
      </c>
      <c r="G3746" s="630"/>
      <c r="H3746" s="102">
        <v>19.88</v>
      </c>
    </row>
    <row r="3747" spans="1:8">
      <c r="B3747" s="105"/>
      <c r="C3747" s="105"/>
      <c r="D3747" s="105"/>
      <c r="E3747" s="105"/>
      <c r="F3747" s="634"/>
      <c r="G3747" s="634"/>
      <c r="H3747" s="634"/>
    </row>
    <row r="3748" spans="1:8" ht="30.75" customHeight="1">
      <c r="A3748" s="178" t="str">
        <f>'3 - PLAN. ORÇAMENTÁRIA'!A627</f>
        <v>6.4.1.5</v>
      </c>
      <c r="B3748" s="242">
        <f>VLOOKUP(A3748,'3 - PLAN. ORÇAMENTÁRIA'!$A$16:$B$721,2,FALSE)</f>
        <v>92872</v>
      </c>
      <c r="C3748" s="631" t="str">
        <f>VLOOKUP(A3748,'3 - PLAN. ORÇAMENTÁRIA'!$A$16:$C$721,3,FALSE)</f>
        <v>CAIXA RETANGULAR 4" X 4" PISO, METÁLICA - FORNECIMENTO E INSTALAÇÃO. AF_03/2023</v>
      </c>
      <c r="D3748" s="632"/>
      <c r="E3748" s="632"/>
      <c r="F3748" s="632"/>
      <c r="G3748" s="633"/>
      <c r="H3748" s="493" t="str">
        <f>VLOOKUP(A3748,'3 - PLAN. ORÇAMENTÁRIA'!$A$17:$E$721,5,FALSE)</f>
        <v>UN</v>
      </c>
    </row>
    <row r="3749" spans="1:8">
      <c r="B3749" s="628" t="s">
        <v>593</v>
      </c>
      <c r="C3749" s="628"/>
      <c r="D3749" s="103" t="s">
        <v>579</v>
      </c>
      <c r="E3749" s="103" t="s">
        <v>580</v>
      </c>
      <c r="F3749" s="103" t="s">
        <v>581</v>
      </c>
      <c r="G3749" s="103" t="s">
        <v>582</v>
      </c>
      <c r="H3749" s="103" t="s">
        <v>583</v>
      </c>
    </row>
    <row r="3750" spans="1:8">
      <c r="B3750" s="130" t="s">
        <v>2471</v>
      </c>
      <c r="C3750" s="229" t="s">
        <v>2472</v>
      </c>
      <c r="D3750" s="130" t="s">
        <v>119</v>
      </c>
      <c r="E3750" s="130" t="s">
        <v>144</v>
      </c>
      <c r="F3750" s="230">
        <v>1</v>
      </c>
      <c r="G3750" s="494">
        <v>2.83</v>
      </c>
      <c r="H3750" s="494">
        <v>2.83</v>
      </c>
    </row>
    <row r="3751" spans="1:8">
      <c r="B3751" s="105"/>
      <c r="C3751" s="105"/>
      <c r="D3751" s="105"/>
      <c r="E3751" s="105"/>
      <c r="F3751" s="629" t="s">
        <v>604</v>
      </c>
      <c r="G3751" s="629"/>
      <c r="H3751" s="495">
        <v>2.83</v>
      </c>
    </row>
    <row r="3752" spans="1:8" ht="12.75" customHeight="1">
      <c r="B3752" s="628" t="s">
        <v>607</v>
      </c>
      <c r="C3752" s="628"/>
      <c r="D3752" s="103" t="s">
        <v>579</v>
      </c>
      <c r="E3752" s="103" t="s">
        <v>580</v>
      </c>
      <c r="F3752" s="103" t="s">
        <v>581</v>
      </c>
      <c r="G3752" s="103" t="s">
        <v>582</v>
      </c>
      <c r="H3752" s="103" t="s">
        <v>583</v>
      </c>
    </row>
    <row r="3753" spans="1:8">
      <c r="B3753" s="130" t="s">
        <v>1256</v>
      </c>
      <c r="C3753" s="229" t="s">
        <v>608</v>
      </c>
      <c r="D3753" s="130" t="s">
        <v>119</v>
      </c>
      <c r="E3753" s="130" t="s">
        <v>121</v>
      </c>
      <c r="F3753" s="230">
        <v>0.16900000000000001</v>
      </c>
      <c r="G3753" s="494">
        <v>25</v>
      </c>
      <c r="H3753" s="494">
        <v>4.2300000000000004</v>
      </c>
    </row>
    <row r="3754" spans="1:8">
      <c r="B3754" s="130" t="s">
        <v>1257</v>
      </c>
      <c r="C3754" s="229" t="s">
        <v>609</v>
      </c>
      <c r="D3754" s="130" t="s">
        <v>119</v>
      </c>
      <c r="E3754" s="130" t="s">
        <v>121</v>
      </c>
      <c r="F3754" s="230">
        <v>0.16900000000000001</v>
      </c>
      <c r="G3754" s="494">
        <v>31.72</v>
      </c>
      <c r="H3754" s="494">
        <v>5.36</v>
      </c>
    </row>
    <row r="3755" spans="1:8" ht="12.75" customHeight="1">
      <c r="B3755" s="105"/>
      <c r="C3755" s="105"/>
      <c r="D3755" s="105"/>
      <c r="E3755" s="105"/>
      <c r="F3755" s="629" t="s">
        <v>610</v>
      </c>
      <c r="G3755" s="629"/>
      <c r="H3755" s="495">
        <v>9.59</v>
      </c>
    </row>
    <row r="3756" spans="1:8">
      <c r="B3756" s="628" t="s">
        <v>586</v>
      </c>
      <c r="C3756" s="628"/>
      <c r="D3756" s="103" t="s">
        <v>579</v>
      </c>
      <c r="E3756" s="103" t="s">
        <v>580</v>
      </c>
      <c r="F3756" s="103" t="s">
        <v>581</v>
      </c>
      <c r="G3756" s="103" t="s">
        <v>582</v>
      </c>
      <c r="H3756" s="103" t="s">
        <v>583</v>
      </c>
    </row>
    <row r="3757" spans="1:8" ht="25.5">
      <c r="B3757" s="130" t="s">
        <v>1702</v>
      </c>
      <c r="C3757" s="229" t="s">
        <v>1703</v>
      </c>
      <c r="D3757" s="130" t="s">
        <v>119</v>
      </c>
      <c r="E3757" s="130" t="s">
        <v>167</v>
      </c>
      <c r="F3757" s="230">
        <v>1.1999999999999999E-3</v>
      </c>
      <c r="G3757" s="494">
        <v>627.14</v>
      </c>
      <c r="H3757" s="494">
        <v>0.75</v>
      </c>
    </row>
    <row r="3758" spans="1:8">
      <c r="B3758" s="105"/>
      <c r="C3758" s="105"/>
      <c r="D3758" s="105"/>
      <c r="E3758" s="105"/>
      <c r="F3758" s="629" t="s">
        <v>587</v>
      </c>
      <c r="G3758" s="629"/>
      <c r="H3758" s="495">
        <v>0.75</v>
      </c>
    </row>
    <row r="3759" spans="1:8" ht="12.75" customHeight="1">
      <c r="B3759" s="105"/>
      <c r="C3759" s="105"/>
      <c r="D3759" s="105"/>
      <c r="E3759" s="105"/>
      <c r="F3759" s="630" t="s">
        <v>464</v>
      </c>
      <c r="G3759" s="630"/>
      <c r="H3759" s="102">
        <v>13.17</v>
      </c>
    </row>
    <row r="3760" spans="1:8">
      <c r="B3760" s="105"/>
      <c r="C3760" s="105"/>
      <c r="D3760" s="105"/>
      <c r="E3760" s="105"/>
      <c r="F3760" s="634"/>
      <c r="G3760" s="634"/>
      <c r="H3760" s="634"/>
    </row>
    <row r="3761" spans="1:8" ht="30.75" customHeight="1">
      <c r="A3761" s="178" t="str">
        <f>'3 - PLAN. ORÇAMENTÁRIA'!A628</f>
        <v>6.4.1.6</v>
      </c>
      <c r="B3761" s="242">
        <f>VLOOKUP(A3761,'3 - PLAN. ORÇAMENTÁRIA'!$A$16:$B$721,2,FALSE)</f>
        <v>97667</v>
      </c>
      <c r="C3761" s="631" t="str">
        <f>VLOOKUP(A3761,'3 - PLAN. ORÇAMENTÁRIA'!$A$16:$C$721,3,FALSE)</f>
        <v>ELETRODUTO FLEXÍVEL CORRUGADO, PEAD, DN 50 (1 1/2"), PARA REDE ENTERRADA DE DISTRIBUIÇÃO DE ENERGIA ELÉTRICA - FORNECIMENTO E INSTALAÇÃO. AF_12/2021</v>
      </c>
      <c r="D3761" s="632"/>
      <c r="E3761" s="632"/>
      <c r="F3761" s="632"/>
      <c r="G3761" s="633"/>
      <c r="H3761" s="493" t="str">
        <f>VLOOKUP(A3761,'3 - PLAN. ORÇAMENTÁRIA'!$A$17:$E$721,5,FALSE)</f>
        <v>M</v>
      </c>
    </row>
    <row r="3762" spans="1:8">
      <c r="B3762" s="628" t="s">
        <v>593</v>
      </c>
      <c r="C3762" s="628"/>
      <c r="D3762" s="103" t="s">
        <v>579</v>
      </c>
      <c r="E3762" s="103" t="s">
        <v>580</v>
      </c>
      <c r="F3762" s="103" t="s">
        <v>581</v>
      </c>
      <c r="G3762" s="103" t="s">
        <v>582</v>
      </c>
      <c r="H3762" s="103" t="s">
        <v>583</v>
      </c>
    </row>
    <row r="3763" spans="1:8" ht="25.5">
      <c r="B3763" s="130" t="s">
        <v>1693</v>
      </c>
      <c r="C3763" s="229" t="s">
        <v>1694</v>
      </c>
      <c r="D3763" s="130" t="s">
        <v>119</v>
      </c>
      <c r="E3763" s="130" t="s">
        <v>173</v>
      </c>
      <c r="F3763" s="230">
        <v>1.1000000000000001</v>
      </c>
      <c r="G3763" s="494">
        <v>4.5199999999999996</v>
      </c>
      <c r="H3763" s="494">
        <v>4.97</v>
      </c>
    </row>
    <row r="3764" spans="1:8">
      <c r="B3764" s="105"/>
      <c r="C3764" s="105"/>
      <c r="D3764" s="105"/>
      <c r="E3764" s="105"/>
      <c r="F3764" s="629" t="s">
        <v>604</v>
      </c>
      <c r="G3764" s="629"/>
      <c r="H3764" s="495">
        <v>4.97</v>
      </c>
    </row>
    <row r="3765" spans="1:8" ht="12.75" customHeight="1">
      <c r="B3765" s="628" t="s">
        <v>607</v>
      </c>
      <c r="C3765" s="628"/>
      <c r="D3765" s="103" t="s">
        <v>579</v>
      </c>
      <c r="E3765" s="103" t="s">
        <v>580</v>
      </c>
      <c r="F3765" s="103" t="s">
        <v>581</v>
      </c>
      <c r="G3765" s="103" t="s">
        <v>582</v>
      </c>
      <c r="H3765" s="103" t="s">
        <v>583</v>
      </c>
    </row>
    <row r="3766" spans="1:8">
      <c r="B3766" s="130" t="s">
        <v>1256</v>
      </c>
      <c r="C3766" s="229" t="s">
        <v>608</v>
      </c>
      <c r="D3766" s="130" t="s">
        <v>119</v>
      </c>
      <c r="E3766" s="130" t="s">
        <v>121</v>
      </c>
      <c r="F3766" s="230">
        <v>6.7199999999999996E-2</v>
      </c>
      <c r="G3766" s="494">
        <v>25</v>
      </c>
      <c r="H3766" s="494">
        <v>1.68</v>
      </c>
    </row>
    <row r="3767" spans="1:8">
      <c r="B3767" s="130" t="s">
        <v>1257</v>
      </c>
      <c r="C3767" s="229" t="s">
        <v>609</v>
      </c>
      <c r="D3767" s="130" t="s">
        <v>119</v>
      </c>
      <c r="E3767" s="130" t="s">
        <v>121</v>
      </c>
      <c r="F3767" s="230">
        <v>6.7199999999999996E-2</v>
      </c>
      <c r="G3767" s="494">
        <v>31.72</v>
      </c>
      <c r="H3767" s="494">
        <v>2.13</v>
      </c>
    </row>
    <row r="3768" spans="1:8" ht="12.75" customHeight="1">
      <c r="B3768" s="105"/>
      <c r="C3768" s="105"/>
      <c r="D3768" s="105"/>
      <c r="E3768" s="105"/>
      <c r="F3768" s="629" t="s">
        <v>610</v>
      </c>
      <c r="G3768" s="629"/>
      <c r="H3768" s="495">
        <v>3.81</v>
      </c>
    </row>
    <row r="3769" spans="1:8" ht="12.75" customHeight="1">
      <c r="B3769" s="105"/>
      <c r="C3769" s="105"/>
      <c r="D3769" s="105"/>
      <c r="E3769" s="105"/>
      <c r="F3769" s="630" t="s">
        <v>464</v>
      </c>
      <c r="G3769" s="630"/>
      <c r="H3769" s="102">
        <v>8.7799999999999994</v>
      </c>
    </row>
    <row r="3770" spans="1:8">
      <c r="B3770" s="105"/>
      <c r="C3770" s="105"/>
      <c r="D3770" s="105"/>
      <c r="E3770" s="105"/>
      <c r="F3770" s="634"/>
      <c r="G3770" s="634"/>
      <c r="H3770" s="634"/>
    </row>
    <row r="3771" spans="1:8" ht="30.75" customHeight="1">
      <c r="A3771" s="178" t="str">
        <f>'3 - PLAN. ORÇAMENTÁRIA'!A629</f>
        <v>6.4.1.7</v>
      </c>
      <c r="B3771" s="242">
        <f>VLOOKUP(A3771,'3 - PLAN. ORÇAMENTÁRIA'!$A$16:$B$721,2,FALSE)</f>
        <v>91854</v>
      </c>
      <c r="C3771" s="631" t="str">
        <f>VLOOKUP(A3771,'3 - PLAN. ORÇAMENTÁRIA'!$A$16:$C$721,3,FALSE)</f>
        <v>ELETRODUTO FLEXÍVEL CORRUGADO, PVC, DN 25 MM (3/4") - FORNECIMENTO E INSTALAÇÃO. AF_03/2023</v>
      </c>
      <c r="D3771" s="632"/>
      <c r="E3771" s="632"/>
      <c r="F3771" s="632"/>
      <c r="G3771" s="633"/>
      <c r="H3771" s="493" t="str">
        <f>VLOOKUP(A3771,'3 - PLAN. ORÇAMENTÁRIA'!$A$17:$E$721,5,FALSE)</f>
        <v>M</v>
      </c>
    </row>
    <row r="3772" spans="1:8">
      <c r="B3772" s="628" t="s">
        <v>593</v>
      </c>
      <c r="C3772" s="628"/>
      <c r="D3772" s="103" t="s">
        <v>579</v>
      </c>
      <c r="E3772" s="103" t="s">
        <v>580</v>
      </c>
      <c r="F3772" s="103" t="s">
        <v>581</v>
      </c>
      <c r="G3772" s="103" t="s">
        <v>582</v>
      </c>
      <c r="H3772" s="103" t="s">
        <v>583</v>
      </c>
    </row>
    <row r="3773" spans="1:8">
      <c r="B3773" s="130" t="s">
        <v>1700</v>
      </c>
      <c r="C3773" s="229" t="s">
        <v>1701</v>
      </c>
      <c r="D3773" s="130" t="s">
        <v>119</v>
      </c>
      <c r="E3773" s="130" t="s">
        <v>173</v>
      </c>
      <c r="F3773" s="230">
        <v>1.0169999999999999</v>
      </c>
      <c r="G3773" s="494">
        <v>3.19</v>
      </c>
      <c r="H3773" s="494">
        <v>3.24</v>
      </c>
    </row>
    <row r="3774" spans="1:8">
      <c r="B3774" s="105"/>
      <c r="C3774" s="105"/>
      <c r="D3774" s="105"/>
      <c r="E3774" s="105"/>
      <c r="F3774" s="629" t="s">
        <v>604</v>
      </c>
      <c r="G3774" s="629"/>
      <c r="H3774" s="495">
        <v>3.24</v>
      </c>
    </row>
    <row r="3775" spans="1:8" ht="12.75" customHeight="1">
      <c r="B3775" s="628" t="s">
        <v>607</v>
      </c>
      <c r="C3775" s="628"/>
      <c r="D3775" s="103" t="s">
        <v>579</v>
      </c>
      <c r="E3775" s="103" t="s">
        <v>580</v>
      </c>
      <c r="F3775" s="103" t="s">
        <v>581</v>
      </c>
      <c r="G3775" s="103" t="s">
        <v>582</v>
      </c>
      <c r="H3775" s="103" t="s">
        <v>583</v>
      </c>
    </row>
    <row r="3776" spans="1:8">
      <c r="B3776" s="130" t="s">
        <v>1256</v>
      </c>
      <c r="C3776" s="229" t="s">
        <v>608</v>
      </c>
      <c r="D3776" s="130" t="s">
        <v>119</v>
      </c>
      <c r="E3776" s="130" t="s">
        <v>121</v>
      </c>
      <c r="F3776" s="230">
        <v>0.13400000000000001</v>
      </c>
      <c r="G3776" s="494">
        <v>25</v>
      </c>
      <c r="H3776" s="494">
        <v>3.35</v>
      </c>
    </row>
    <row r="3777" spans="1:8">
      <c r="B3777" s="130" t="s">
        <v>1257</v>
      </c>
      <c r="C3777" s="229" t="s">
        <v>609</v>
      </c>
      <c r="D3777" s="130" t="s">
        <v>119</v>
      </c>
      <c r="E3777" s="130" t="s">
        <v>121</v>
      </c>
      <c r="F3777" s="230">
        <v>0.13400000000000001</v>
      </c>
      <c r="G3777" s="494">
        <v>31.72</v>
      </c>
      <c r="H3777" s="494">
        <v>4.25</v>
      </c>
    </row>
    <row r="3778" spans="1:8" ht="12.75" customHeight="1">
      <c r="B3778" s="105"/>
      <c r="C3778" s="105"/>
      <c r="D3778" s="105"/>
      <c r="E3778" s="105"/>
      <c r="F3778" s="629" t="s">
        <v>610</v>
      </c>
      <c r="G3778" s="629"/>
      <c r="H3778" s="495">
        <v>7.6</v>
      </c>
    </row>
    <row r="3779" spans="1:8" ht="12.75" customHeight="1">
      <c r="B3779" s="105"/>
      <c r="C3779" s="105"/>
      <c r="D3779" s="105"/>
      <c r="E3779" s="105"/>
      <c r="F3779" s="630" t="s">
        <v>464</v>
      </c>
      <c r="G3779" s="630"/>
      <c r="H3779" s="102">
        <v>10.84</v>
      </c>
    </row>
    <row r="3780" spans="1:8">
      <c r="B3780" s="105"/>
      <c r="C3780" s="105"/>
      <c r="D3780" s="105"/>
      <c r="E3780" s="105"/>
      <c r="F3780" s="634"/>
      <c r="G3780" s="634"/>
      <c r="H3780" s="634"/>
    </row>
    <row r="3781" spans="1:8" ht="30.75" customHeight="1">
      <c r="A3781" s="178" t="str">
        <f>'3 - PLAN. ORÇAMENTÁRIA'!A630</f>
        <v>6.4.1.8</v>
      </c>
      <c r="B3781" s="242">
        <f>VLOOKUP(A3781,'3 - PLAN. ORÇAMENTÁRIA'!$A$16:$B$721,2,FALSE)</f>
        <v>91856</v>
      </c>
      <c r="C3781" s="631" t="str">
        <f>VLOOKUP(A3781,'3 - PLAN. ORÇAMENTÁRIA'!$A$16:$C$721,3,FALSE)</f>
        <v>ELETRODUTO FLEXÍVEL CORRUGADO, PVC, DN 32 MM (1") - FORNECIMENTO E INSTALAÇÃO. AF_03/2023</v>
      </c>
      <c r="D3781" s="632"/>
      <c r="E3781" s="632"/>
      <c r="F3781" s="632"/>
      <c r="G3781" s="633"/>
      <c r="H3781" s="493" t="str">
        <f>VLOOKUP(A3781,'3 - PLAN. ORÇAMENTÁRIA'!$A$17:$E$721,5,FALSE)</f>
        <v>M</v>
      </c>
    </row>
    <row r="3782" spans="1:8">
      <c r="B3782" s="628" t="s">
        <v>593</v>
      </c>
      <c r="C3782" s="628"/>
      <c r="D3782" s="103" t="s">
        <v>579</v>
      </c>
      <c r="E3782" s="103" t="s">
        <v>580</v>
      </c>
      <c r="F3782" s="103" t="s">
        <v>581</v>
      </c>
      <c r="G3782" s="103" t="s">
        <v>582</v>
      </c>
      <c r="H3782" s="103" t="s">
        <v>583</v>
      </c>
    </row>
    <row r="3783" spans="1:8">
      <c r="B3783" s="130" t="s">
        <v>1698</v>
      </c>
      <c r="C3783" s="229" t="s">
        <v>1699</v>
      </c>
      <c r="D3783" s="130" t="s">
        <v>119</v>
      </c>
      <c r="E3783" s="130" t="s">
        <v>173</v>
      </c>
      <c r="F3783" s="230">
        <v>1.0169999999999999</v>
      </c>
      <c r="G3783" s="494">
        <v>5.47</v>
      </c>
      <c r="H3783" s="494">
        <v>5.56</v>
      </c>
    </row>
    <row r="3784" spans="1:8">
      <c r="B3784" s="105"/>
      <c r="C3784" s="105"/>
      <c r="D3784" s="105"/>
      <c r="E3784" s="105"/>
      <c r="F3784" s="629" t="s">
        <v>604</v>
      </c>
      <c r="G3784" s="629"/>
      <c r="H3784" s="495">
        <v>5.56</v>
      </c>
    </row>
    <row r="3785" spans="1:8" ht="12.75" customHeight="1">
      <c r="B3785" s="628" t="s">
        <v>607</v>
      </c>
      <c r="C3785" s="628"/>
      <c r="D3785" s="103" t="s">
        <v>579</v>
      </c>
      <c r="E3785" s="103" t="s">
        <v>580</v>
      </c>
      <c r="F3785" s="103" t="s">
        <v>581</v>
      </c>
      <c r="G3785" s="103" t="s">
        <v>582</v>
      </c>
      <c r="H3785" s="103" t="s">
        <v>583</v>
      </c>
    </row>
    <row r="3786" spans="1:8">
      <c r="B3786" s="130" t="s">
        <v>1256</v>
      </c>
      <c r="C3786" s="229" t="s">
        <v>608</v>
      </c>
      <c r="D3786" s="130" t="s">
        <v>119</v>
      </c>
      <c r="E3786" s="130" t="s">
        <v>121</v>
      </c>
      <c r="F3786" s="230">
        <v>0.14899999999999999</v>
      </c>
      <c r="G3786" s="494">
        <v>25</v>
      </c>
      <c r="H3786" s="494">
        <v>3.73</v>
      </c>
    </row>
    <row r="3787" spans="1:8">
      <c r="B3787" s="130" t="s">
        <v>1257</v>
      </c>
      <c r="C3787" s="229" t="s">
        <v>609</v>
      </c>
      <c r="D3787" s="130" t="s">
        <v>119</v>
      </c>
      <c r="E3787" s="130" t="s">
        <v>121</v>
      </c>
      <c r="F3787" s="230">
        <v>0.14899999999999999</v>
      </c>
      <c r="G3787" s="494">
        <v>31.72</v>
      </c>
      <c r="H3787" s="494">
        <v>4.7300000000000004</v>
      </c>
    </row>
    <row r="3788" spans="1:8" ht="12.75" customHeight="1">
      <c r="B3788" s="105"/>
      <c r="C3788" s="105"/>
      <c r="D3788" s="105"/>
      <c r="E3788" s="105"/>
      <c r="F3788" s="629" t="s">
        <v>610</v>
      </c>
      <c r="G3788" s="629"/>
      <c r="H3788" s="495">
        <v>8.4600000000000009</v>
      </c>
    </row>
    <row r="3789" spans="1:8" ht="12.75" customHeight="1">
      <c r="B3789" s="105"/>
      <c r="C3789" s="105"/>
      <c r="D3789" s="105"/>
      <c r="E3789" s="105"/>
      <c r="F3789" s="630" t="s">
        <v>464</v>
      </c>
      <c r="G3789" s="630"/>
      <c r="H3789" s="102">
        <v>14</v>
      </c>
    </row>
    <row r="3790" spans="1:8">
      <c r="B3790" s="105"/>
      <c r="C3790" s="105"/>
      <c r="D3790" s="105"/>
      <c r="E3790" s="105"/>
      <c r="F3790" s="634"/>
      <c r="G3790" s="634"/>
      <c r="H3790" s="634"/>
    </row>
    <row r="3791" spans="1:8" ht="30.75" customHeight="1">
      <c r="A3791" s="178" t="str">
        <f>'3 - PLAN. ORÇAMENTÁRIA'!A631</f>
        <v>6.4.1.9</v>
      </c>
      <c r="B3791" s="242">
        <f>VLOOKUP(A3791,'3 - PLAN. ORÇAMENTÁRIA'!$A$16:$B$721,2,FALSE)</f>
        <v>91856</v>
      </c>
      <c r="C3791" s="631" t="str">
        <f>VLOOKUP(A3791,'3 - PLAN. ORÇAMENTÁRIA'!$A$16:$C$721,3,FALSE)</f>
        <v>ELETRODUTO FLEXÍVEL CORRUGADO, PVC, DN 40 MM (1.1/2") - FORNECIMENTO E INSTALAÇÃO. AF_03/2023</v>
      </c>
      <c r="D3791" s="632"/>
      <c r="E3791" s="632"/>
      <c r="F3791" s="632"/>
      <c r="G3791" s="633"/>
      <c r="H3791" s="493" t="str">
        <f>VLOOKUP(A3791,'3 - PLAN. ORÇAMENTÁRIA'!$A$17:$E$721,5,FALSE)</f>
        <v>M</v>
      </c>
    </row>
    <row r="3792" spans="1:8">
      <c r="B3792" s="628" t="s">
        <v>593</v>
      </c>
      <c r="C3792" s="628"/>
      <c r="D3792" s="103" t="s">
        <v>579</v>
      </c>
      <c r="E3792" s="103" t="s">
        <v>580</v>
      </c>
      <c r="F3792" s="103" t="s">
        <v>581</v>
      </c>
      <c r="G3792" s="103" t="s">
        <v>582</v>
      </c>
      <c r="H3792" s="103" t="s">
        <v>583</v>
      </c>
    </row>
    <row r="3793" spans="1:8">
      <c r="B3793" s="130" t="s">
        <v>1698</v>
      </c>
      <c r="C3793" s="229" t="s">
        <v>1699</v>
      </c>
      <c r="D3793" s="130" t="s">
        <v>119</v>
      </c>
      <c r="E3793" s="130" t="s">
        <v>173</v>
      </c>
      <c r="F3793" s="230">
        <v>1.0169999999999999</v>
      </c>
      <c r="G3793" s="494">
        <v>5.47</v>
      </c>
      <c r="H3793" s="494">
        <v>5.56</v>
      </c>
    </row>
    <row r="3794" spans="1:8">
      <c r="B3794" s="105"/>
      <c r="C3794" s="105"/>
      <c r="D3794" s="105"/>
      <c r="E3794" s="105"/>
      <c r="F3794" s="629" t="s">
        <v>604</v>
      </c>
      <c r="G3794" s="629"/>
      <c r="H3794" s="495">
        <v>5.56</v>
      </c>
    </row>
    <row r="3795" spans="1:8" ht="12.75" customHeight="1">
      <c r="B3795" s="628" t="s">
        <v>607</v>
      </c>
      <c r="C3795" s="628"/>
      <c r="D3795" s="103" t="s">
        <v>579</v>
      </c>
      <c r="E3795" s="103" t="s">
        <v>580</v>
      </c>
      <c r="F3795" s="103" t="s">
        <v>581</v>
      </c>
      <c r="G3795" s="103" t="s">
        <v>582</v>
      </c>
      <c r="H3795" s="103" t="s">
        <v>583</v>
      </c>
    </row>
    <row r="3796" spans="1:8">
      <c r="B3796" s="130" t="s">
        <v>1256</v>
      </c>
      <c r="C3796" s="229" t="s">
        <v>608</v>
      </c>
      <c r="D3796" s="130" t="s">
        <v>119</v>
      </c>
      <c r="E3796" s="130" t="s">
        <v>121</v>
      </c>
      <c r="F3796" s="230">
        <v>0.14899999999999999</v>
      </c>
      <c r="G3796" s="494">
        <v>25</v>
      </c>
      <c r="H3796" s="494">
        <v>3.73</v>
      </c>
    </row>
    <row r="3797" spans="1:8">
      <c r="B3797" s="130" t="s">
        <v>1257</v>
      </c>
      <c r="C3797" s="229" t="s">
        <v>609</v>
      </c>
      <c r="D3797" s="130" t="s">
        <v>119</v>
      </c>
      <c r="E3797" s="130" t="s">
        <v>121</v>
      </c>
      <c r="F3797" s="230">
        <v>0.14899999999999999</v>
      </c>
      <c r="G3797" s="494">
        <v>31.72</v>
      </c>
      <c r="H3797" s="494">
        <v>4.7300000000000004</v>
      </c>
    </row>
    <row r="3798" spans="1:8" ht="12.75" customHeight="1">
      <c r="B3798" s="105"/>
      <c r="C3798" s="105"/>
      <c r="D3798" s="105"/>
      <c r="E3798" s="105"/>
      <c r="F3798" s="629" t="s">
        <v>610</v>
      </c>
      <c r="G3798" s="629"/>
      <c r="H3798" s="495">
        <v>8.4600000000000009</v>
      </c>
    </row>
    <row r="3799" spans="1:8" ht="12.75" customHeight="1">
      <c r="B3799" s="105"/>
      <c r="C3799" s="105"/>
      <c r="D3799" s="105"/>
      <c r="E3799" s="105"/>
      <c r="F3799" s="630" t="s">
        <v>464</v>
      </c>
      <c r="G3799" s="630"/>
      <c r="H3799" s="102">
        <v>14</v>
      </c>
    </row>
    <row r="3800" spans="1:8">
      <c r="B3800" s="105"/>
      <c r="C3800" s="105"/>
      <c r="D3800" s="105"/>
      <c r="E3800" s="105"/>
      <c r="F3800" s="375"/>
      <c r="G3800" s="375"/>
      <c r="H3800" s="375"/>
    </row>
    <row r="3801" spans="1:8" s="220" customFormat="1" ht="27" customHeight="1">
      <c r="A3801" s="178" t="str">
        <f>'3 - PLAN. ORÇAMENTÁRIA'!A636</f>
        <v>6.4.1.14</v>
      </c>
      <c r="B3801" s="178">
        <f>VLOOKUP(A3801,'3 - PLAN. ORÇAMENTÁRIA'!$A$16:$B$721,2,FALSE)</f>
        <v>95796</v>
      </c>
      <c r="C3801" s="631" t="str">
        <f>VLOOKUP(A3801,'3 - PLAN. ORÇAMENTÁRIA'!$A$16:$C$721,3,FALSE)</f>
        <v>CONDULETE DE ALUMÍNIO, PARA ELETRODUTO DE AÇO GALVANIZADO DN 25 MM (1''), APARENTE - FORNECIMENTO E INSTALAÇÃO. AF_10/2022</v>
      </c>
      <c r="D3801" s="632"/>
      <c r="E3801" s="632"/>
      <c r="F3801" s="632"/>
      <c r="G3801" s="633"/>
      <c r="H3801" s="433" t="str">
        <f>VLOOKUP(A3801,'3 - PLAN. ORÇAMENTÁRIA'!$A$17:$E$721,5,FALSE)</f>
        <v>UN</v>
      </c>
    </row>
    <row r="3802" spans="1:8">
      <c r="B3802" s="628" t="s">
        <v>593</v>
      </c>
      <c r="C3802" s="628"/>
      <c r="D3802" s="103" t="s">
        <v>579</v>
      </c>
      <c r="E3802" s="103" t="s">
        <v>580</v>
      </c>
      <c r="F3802" s="103" t="s">
        <v>581</v>
      </c>
      <c r="G3802" s="103" t="s">
        <v>582</v>
      </c>
      <c r="H3802" s="103" t="s">
        <v>583</v>
      </c>
    </row>
    <row r="3803" spans="1:8" ht="25.5">
      <c r="B3803" s="130" t="s">
        <v>2656</v>
      </c>
      <c r="C3803" s="229" t="s">
        <v>2657</v>
      </c>
      <c r="D3803" s="130" t="s">
        <v>119</v>
      </c>
      <c r="E3803" s="130" t="s">
        <v>144</v>
      </c>
      <c r="F3803" s="230">
        <v>2</v>
      </c>
      <c r="G3803" s="494">
        <v>0.39</v>
      </c>
      <c r="H3803" s="494">
        <v>0.78</v>
      </c>
    </row>
    <row r="3804" spans="1:8">
      <c r="B3804" s="130" t="s">
        <v>2735</v>
      </c>
      <c r="C3804" s="229" t="s">
        <v>2736</v>
      </c>
      <c r="D3804" s="130" t="s">
        <v>119</v>
      </c>
      <c r="E3804" s="130" t="s">
        <v>144</v>
      </c>
      <c r="F3804" s="230">
        <v>1</v>
      </c>
      <c r="G3804" s="494">
        <v>19.62</v>
      </c>
      <c r="H3804" s="494">
        <v>19.62</v>
      </c>
    </row>
    <row r="3805" spans="1:8">
      <c r="B3805" s="105"/>
      <c r="C3805" s="105"/>
      <c r="D3805" s="105"/>
      <c r="E3805" s="105"/>
      <c r="F3805" s="629" t="s">
        <v>604</v>
      </c>
      <c r="G3805" s="629"/>
      <c r="H3805" s="495">
        <v>20.399999999999999</v>
      </c>
    </row>
    <row r="3806" spans="1:8" ht="12.75" customHeight="1">
      <c r="B3806" s="628" t="s">
        <v>607</v>
      </c>
      <c r="C3806" s="628"/>
      <c r="D3806" s="103" t="s">
        <v>579</v>
      </c>
      <c r="E3806" s="103" t="s">
        <v>580</v>
      </c>
      <c r="F3806" s="103" t="s">
        <v>581</v>
      </c>
      <c r="G3806" s="103" t="s">
        <v>582</v>
      </c>
      <c r="H3806" s="103" t="s">
        <v>583</v>
      </c>
    </row>
    <row r="3807" spans="1:8">
      <c r="B3807" s="130" t="s">
        <v>1256</v>
      </c>
      <c r="C3807" s="229" t="s">
        <v>608</v>
      </c>
      <c r="D3807" s="130" t="s">
        <v>119</v>
      </c>
      <c r="E3807" s="130" t="s">
        <v>121</v>
      </c>
      <c r="F3807" s="230">
        <v>0.45779999999999998</v>
      </c>
      <c r="G3807" s="494">
        <v>25</v>
      </c>
      <c r="H3807" s="494">
        <v>11.45</v>
      </c>
    </row>
    <row r="3808" spans="1:8">
      <c r="B3808" s="130" t="s">
        <v>1257</v>
      </c>
      <c r="C3808" s="229" t="s">
        <v>609</v>
      </c>
      <c r="D3808" s="130" t="s">
        <v>119</v>
      </c>
      <c r="E3808" s="130" t="s">
        <v>121</v>
      </c>
      <c r="F3808" s="230">
        <v>0.45779999999999998</v>
      </c>
      <c r="G3808" s="494">
        <v>31.72</v>
      </c>
      <c r="H3808" s="494">
        <v>14.52</v>
      </c>
    </row>
    <row r="3809" spans="1:8" ht="12.75" customHeight="1">
      <c r="B3809" s="105"/>
      <c r="C3809" s="105"/>
      <c r="D3809" s="105"/>
      <c r="E3809" s="105"/>
      <c r="F3809" s="629" t="s">
        <v>610</v>
      </c>
      <c r="G3809" s="629"/>
      <c r="H3809" s="495">
        <v>25.97</v>
      </c>
    </row>
    <row r="3810" spans="1:8" ht="12.75" customHeight="1">
      <c r="B3810" s="105"/>
      <c r="C3810" s="105"/>
      <c r="D3810" s="105"/>
      <c r="E3810" s="105"/>
      <c r="F3810" s="630" t="s">
        <v>464</v>
      </c>
      <c r="G3810" s="630"/>
      <c r="H3810" s="102">
        <v>46.36</v>
      </c>
    </row>
    <row r="3811" spans="1:8">
      <c r="B3811" s="105"/>
      <c r="C3811" s="105"/>
      <c r="D3811" s="105"/>
      <c r="E3811" s="105"/>
      <c r="F3811" s="405"/>
      <c r="G3811" s="405"/>
      <c r="H3811" s="405"/>
    </row>
    <row r="3812" spans="1:8" s="220" customFormat="1" ht="27" customHeight="1">
      <c r="A3812" s="178" t="str">
        <f>'3 - PLAN. ORÇAMENTÁRIA'!A645</f>
        <v>6.4.3.1</v>
      </c>
      <c r="B3812" s="178">
        <f>VLOOKUP(A3812,'3 - PLAN. ORÇAMENTÁRIA'!$A$16:$B$721,2,FALSE)</f>
        <v>98299</v>
      </c>
      <c r="C3812" s="631" t="str">
        <f>VLOOKUP(A3812,'3 - PLAN. ORÇAMENTÁRIA'!$A$16:$C$721,3,FALSE)</f>
        <v>CABO ELETRÔNICO CATEGORIA 6A, INSTALADO EM EDIFICAÇÃO INSTITUCIONAL - FORNECIMENTO E INSTALAÇÃO. AF_11/2019</v>
      </c>
      <c r="D3812" s="632"/>
      <c r="E3812" s="632"/>
      <c r="F3812" s="632"/>
      <c r="G3812" s="633"/>
      <c r="H3812" s="433" t="str">
        <f>VLOOKUP(A3812,'3 - PLAN. ORÇAMENTÁRIA'!$A$17:$E$721,5,FALSE)</f>
        <v>M</v>
      </c>
    </row>
    <row r="3813" spans="1:8">
      <c r="B3813" s="628" t="s">
        <v>593</v>
      </c>
      <c r="C3813" s="628"/>
      <c r="D3813" s="103" t="s">
        <v>579</v>
      </c>
      <c r="E3813" s="103" t="s">
        <v>580</v>
      </c>
      <c r="F3813" s="103" t="s">
        <v>581</v>
      </c>
      <c r="G3813" s="103" t="s">
        <v>582</v>
      </c>
      <c r="H3813" s="103" t="s">
        <v>583</v>
      </c>
    </row>
    <row r="3814" spans="1:8">
      <c r="B3814" s="130" t="s">
        <v>2185</v>
      </c>
      <c r="C3814" s="229" t="s">
        <v>2186</v>
      </c>
      <c r="D3814" s="130" t="s">
        <v>119</v>
      </c>
      <c r="E3814" s="130" t="s">
        <v>173</v>
      </c>
      <c r="F3814" s="230">
        <v>1.05</v>
      </c>
      <c r="G3814" s="494">
        <v>24.59</v>
      </c>
      <c r="H3814" s="494">
        <v>25.82</v>
      </c>
    </row>
    <row r="3815" spans="1:8">
      <c r="B3815" s="105"/>
      <c r="C3815" s="105"/>
      <c r="D3815" s="105"/>
      <c r="E3815" s="105"/>
      <c r="F3815" s="629" t="s">
        <v>604</v>
      </c>
      <c r="G3815" s="629"/>
      <c r="H3815" s="495">
        <v>25.82</v>
      </c>
    </row>
    <row r="3816" spans="1:8" ht="12.75" customHeight="1">
      <c r="B3816" s="628" t="s">
        <v>607</v>
      </c>
      <c r="C3816" s="628"/>
      <c r="D3816" s="103" t="s">
        <v>579</v>
      </c>
      <c r="E3816" s="103" t="s">
        <v>580</v>
      </c>
      <c r="F3816" s="103" t="s">
        <v>581</v>
      </c>
      <c r="G3816" s="103" t="s">
        <v>582</v>
      </c>
      <c r="H3816" s="103" t="s">
        <v>583</v>
      </c>
    </row>
    <row r="3817" spans="1:8">
      <c r="B3817" s="130" t="s">
        <v>1256</v>
      </c>
      <c r="C3817" s="229" t="s">
        <v>608</v>
      </c>
      <c r="D3817" s="130" t="s">
        <v>119</v>
      </c>
      <c r="E3817" s="130" t="s">
        <v>121</v>
      </c>
      <c r="F3817" s="230">
        <v>5.4999999999999997E-3</v>
      </c>
      <c r="G3817" s="494">
        <v>25</v>
      </c>
      <c r="H3817" s="494">
        <v>0.14000000000000001</v>
      </c>
    </row>
    <row r="3818" spans="1:8">
      <c r="B3818" s="130" t="s">
        <v>1257</v>
      </c>
      <c r="C3818" s="229" t="s">
        <v>609</v>
      </c>
      <c r="D3818" s="130" t="s">
        <v>119</v>
      </c>
      <c r="E3818" s="130" t="s">
        <v>121</v>
      </c>
      <c r="F3818" s="230">
        <v>5.4999999999999997E-3</v>
      </c>
      <c r="G3818" s="494">
        <v>31.72</v>
      </c>
      <c r="H3818" s="494">
        <v>0.17</v>
      </c>
    </row>
    <row r="3819" spans="1:8" ht="12.75" customHeight="1">
      <c r="B3819" s="105"/>
      <c r="C3819" s="105"/>
      <c r="D3819" s="105"/>
      <c r="E3819" s="105"/>
      <c r="F3819" s="629" t="s">
        <v>610</v>
      </c>
      <c r="G3819" s="629"/>
      <c r="H3819" s="495">
        <v>0.31</v>
      </c>
    </row>
    <row r="3820" spans="1:8" ht="12.75" customHeight="1">
      <c r="B3820" s="105"/>
      <c r="C3820" s="105"/>
      <c r="D3820" s="105"/>
      <c r="E3820" s="105"/>
      <c r="F3820" s="630" t="s">
        <v>464</v>
      </c>
      <c r="G3820" s="630"/>
      <c r="H3820" s="102">
        <v>26.11</v>
      </c>
    </row>
    <row r="3821" spans="1:8">
      <c r="B3821" s="156"/>
      <c r="C3821" s="156"/>
      <c r="D3821" s="156"/>
      <c r="E3821" s="156"/>
      <c r="F3821" s="635"/>
      <c r="G3821" s="635"/>
      <c r="H3821" s="635"/>
    </row>
    <row r="3822" spans="1:8" ht="26.25" customHeight="1">
      <c r="A3822" s="178" t="str">
        <f>'3 - PLAN. ORÇAMENTÁRIA'!A648</f>
        <v>6.5.1.1</v>
      </c>
      <c r="B3822" s="242">
        <f>VLOOKUP(A3822,'3 - PLAN. ORÇAMENTÁRIA'!$A$16:$B$721,2,FALSE)</f>
        <v>91854</v>
      </c>
      <c r="C3822" s="631" t="str">
        <f>VLOOKUP(A3822,'3 - PLAN. ORÇAMENTÁRIA'!$A$16:$C$721,3,FALSE)</f>
        <v>ELETRODUTO FLEXÍVEL CORRUGADO, PVC, DN 25 MM (3/4") - FORNECIMENTO E INSTALAÇÃO. AF_03/2023</v>
      </c>
      <c r="D3822" s="632"/>
      <c r="E3822" s="632"/>
      <c r="F3822" s="632"/>
      <c r="G3822" s="633"/>
      <c r="H3822" s="376" t="str">
        <f>VLOOKUP(A3822,'3 - PLAN. ORÇAMENTÁRIA'!$A$17:$E$721,5,FALSE)</f>
        <v>M</v>
      </c>
    </row>
    <row r="3823" spans="1:8">
      <c r="B3823" s="628" t="s">
        <v>593</v>
      </c>
      <c r="C3823" s="628"/>
      <c r="D3823" s="103" t="s">
        <v>579</v>
      </c>
      <c r="E3823" s="103" t="s">
        <v>580</v>
      </c>
      <c r="F3823" s="103" t="s">
        <v>581</v>
      </c>
      <c r="G3823" s="103" t="s">
        <v>582</v>
      </c>
      <c r="H3823" s="103" t="s">
        <v>583</v>
      </c>
    </row>
    <row r="3824" spans="1:8">
      <c r="B3824" s="130" t="s">
        <v>1700</v>
      </c>
      <c r="C3824" s="229" t="s">
        <v>1701</v>
      </c>
      <c r="D3824" s="130" t="s">
        <v>119</v>
      </c>
      <c r="E3824" s="130" t="s">
        <v>173</v>
      </c>
      <c r="F3824" s="230">
        <v>1.0169999999999999</v>
      </c>
      <c r="G3824" s="494">
        <v>3.19</v>
      </c>
      <c r="H3824" s="494">
        <v>3.24</v>
      </c>
    </row>
    <row r="3825" spans="1:8">
      <c r="B3825" s="105"/>
      <c r="C3825" s="105"/>
      <c r="D3825" s="105"/>
      <c r="E3825" s="105"/>
      <c r="F3825" s="629" t="s">
        <v>604</v>
      </c>
      <c r="G3825" s="629"/>
      <c r="H3825" s="495">
        <v>3.24</v>
      </c>
    </row>
    <row r="3826" spans="1:8" ht="12.75" customHeight="1">
      <c r="B3826" s="628" t="s">
        <v>607</v>
      </c>
      <c r="C3826" s="628"/>
      <c r="D3826" s="103" t="s">
        <v>579</v>
      </c>
      <c r="E3826" s="103" t="s">
        <v>580</v>
      </c>
      <c r="F3826" s="103" t="s">
        <v>581</v>
      </c>
      <c r="G3826" s="103" t="s">
        <v>582</v>
      </c>
      <c r="H3826" s="103" t="s">
        <v>583</v>
      </c>
    </row>
    <row r="3827" spans="1:8">
      <c r="B3827" s="130" t="s">
        <v>1256</v>
      </c>
      <c r="C3827" s="229" t="s">
        <v>608</v>
      </c>
      <c r="D3827" s="130" t="s">
        <v>119</v>
      </c>
      <c r="E3827" s="130" t="s">
        <v>121</v>
      </c>
      <c r="F3827" s="230">
        <v>0.13400000000000001</v>
      </c>
      <c r="G3827" s="494">
        <v>25</v>
      </c>
      <c r="H3827" s="494">
        <v>3.35</v>
      </c>
    </row>
    <row r="3828" spans="1:8">
      <c r="B3828" s="130" t="s">
        <v>1257</v>
      </c>
      <c r="C3828" s="229" t="s">
        <v>609</v>
      </c>
      <c r="D3828" s="130" t="s">
        <v>119</v>
      </c>
      <c r="E3828" s="130" t="s">
        <v>121</v>
      </c>
      <c r="F3828" s="230">
        <v>0.13400000000000001</v>
      </c>
      <c r="G3828" s="494">
        <v>31.72</v>
      </c>
      <c r="H3828" s="494">
        <v>4.25</v>
      </c>
    </row>
    <row r="3829" spans="1:8" ht="12.75" customHeight="1">
      <c r="B3829" s="105"/>
      <c r="C3829" s="105"/>
      <c r="D3829" s="105"/>
      <c r="E3829" s="105"/>
      <c r="F3829" s="629" t="s">
        <v>610</v>
      </c>
      <c r="G3829" s="629"/>
      <c r="H3829" s="495">
        <v>7.6</v>
      </c>
    </row>
    <row r="3830" spans="1:8" ht="12.75" customHeight="1">
      <c r="B3830" s="105"/>
      <c r="C3830" s="105"/>
      <c r="D3830" s="105"/>
      <c r="E3830" s="105"/>
      <c r="F3830" s="630" t="s">
        <v>464</v>
      </c>
      <c r="G3830" s="630"/>
      <c r="H3830" s="102">
        <v>10.84</v>
      </c>
    </row>
    <row r="3831" spans="1:8">
      <c r="B3831" s="105"/>
      <c r="C3831" s="105"/>
      <c r="D3831" s="105"/>
      <c r="E3831" s="105"/>
      <c r="F3831" s="375"/>
      <c r="G3831" s="375"/>
      <c r="H3831" s="375"/>
    </row>
    <row r="3832" spans="1:8" ht="26.25" customHeight="1">
      <c r="A3832" s="178" t="str">
        <f>'3 - PLAN. ORÇAMENTÁRIA'!A661</f>
        <v>6.7.1</v>
      </c>
      <c r="B3832" s="242">
        <f>VLOOKUP(A3832,'3 - PLAN. ORÇAMENTÁRIA'!$A$16:$B$721,2,FALSE)</f>
        <v>91222</v>
      </c>
      <c r="C3832" s="631" t="str">
        <f>VLOOKUP(A3832,'3 - PLAN. ORÇAMENTÁRIA'!$A$16:$C$721,3,FALSE)</f>
        <v>RASGO LINEAR MANUAL EM ALVENARIA, PARA ELETRODUTOS, DIÂMETROS MAIORES QUE 40 MM E MENORES OU IGUAIS A 75 MM. AF_09/2023</v>
      </c>
      <c r="D3832" s="632"/>
      <c r="E3832" s="632"/>
      <c r="F3832" s="632"/>
      <c r="G3832" s="633"/>
      <c r="H3832" s="432" t="str">
        <f>VLOOKUP(A3832,'3 - PLAN. ORÇAMENTÁRIA'!$A$17:$E$721,5,FALSE)</f>
        <v>M</v>
      </c>
    </row>
    <row r="3833" spans="1:8" ht="12.75" customHeight="1">
      <c r="B3833" s="628" t="s">
        <v>607</v>
      </c>
      <c r="C3833" s="628"/>
      <c r="D3833" s="103" t="s">
        <v>579</v>
      </c>
      <c r="E3833" s="103" t="s">
        <v>580</v>
      </c>
      <c r="F3833" s="103" t="s">
        <v>581</v>
      </c>
      <c r="G3833" s="103" t="s">
        <v>582</v>
      </c>
      <c r="H3833" s="103" t="s">
        <v>583</v>
      </c>
    </row>
    <row r="3834" spans="1:8">
      <c r="B3834" s="130" t="s">
        <v>1296</v>
      </c>
      <c r="C3834" s="229" t="s">
        <v>611</v>
      </c>
      <c r="D3834" s="130" t="s">
        <v>119</v>
      </c>
      <c r="E3834" s="130" t="s">
        <v>121</v>
      </c>
      <c r="F3834" s="230">
        <v>7.3400000000000007E-2</v>
      </c>
      <c r="G3834" s="494">
        <v>24.02</v>
      </c>
      <c r="H3834" s="494">
        <v>1.76</v>
      </c>
    </row>
    <row r="3835" spans="1:8">
      <c r="B3835" s="130" t="s">
        <v>1297</v>
      </c>
      <c r="C3835" s="229" t="s">
        <v>612</v>
      </c>
      <c r="D3835" s="130" t="s">
        <v>119</v>
      </c>
      <c r="E3835" s="130" t="s">
        <v>121</v>
      </c>
      <c r="F3835" s="230">
        <v>0.26090000000000002</v>
      </c>
      <c r="G3835" s="494">
        <v>30.62</v>
      </c>
      <c r="H3835" s="494">
        <v>7.99</v>
      </c>
    </row>
    <row r="3836" spans="1:8" ht="12.75" customHeight="1">
      <c r="B3836" s="105"/>
      <c r="C3836" s="105"/>
      <c r="D3836" s="105"/>
      <c r="E3836" s="105"/>
      <c r="F3836" s="629" t="s">
        <v>610</v>
      </c>
      <c r="G3836" s="629"/>
      <c r="H3836" s="495">
        <v>9.75</v>
      </c>
    </row>
    <row r="3837" spans="1:8" ht="12.75" customHeight="1">
      <c r="B3837" s="105"/>
      <c r="C3837" s="105"/>
      <c r="D3837" s="105"/>
      <c r="E3837" s="105"/>
      <c r="F3837" s="630" t="s">
        <v>464</v>
      </c>
      <c r="G3837" s="630"/>
      <c r="H3837" s="102">
        <v>9.74</v>
      </c>
    </row>
    <row r="3838" spans="1:8">
      <c r="B3838" s="105"/>
      <c r="C3838" s="105"/>
      <c r="D3838" s="105"/>
      <c r="E3838" s="105"/>
      <c r="F3838" s="634"/>
      <c r="G3838" s="634"/>
      <c r="H3838" s="634"/>
    </row>
    <row r="3839" spans="1:8" ht="26.25" customHeight="1">
      <c r="A3839" s="178" t="str">
        <f>'3 - PLAN. ORÇAMENTÁRIA'!A662</f>
        <v>6.7.2</v>
      </c>
      <c r="B3839" s="242">
        <f>VLOOKUP(A3839,'3 - PLAN. ORÇAMENTÁRIA'!$A$16:$B$721,2,FALSE)</f>
        <v>90447</v>
      </c>
      <c r="C3839" s="631" t="str">
        <f>VLOOKUP(A3839,'3 - PLAN. ORÇAMENTÁRIA'!$A$16:$C$721,3,FALSE)</f>
        <v>RASGO LINEAR MANUAL EM ALVENARIA, PARA ELETRODUTOS, DIÂMETROS MENORES OU IGUAIS A 40 MM. AF_09/2023</v>
      </c>
      <c r="D3839" s="632"/>
      <c r="E3839" s="632"/>
      <c r="F3839" s="632"/>
      <c r="G3839" s="633"/>
      <c r="H3839" s="493" t="str">
        <f>VLOOKUP(A3839,'3 - PLAN. ORÇAMENTÁRIA'!$A$17:$E$721,5,FALSE)</f>
        <v>M</v>
      </c>
    </row>
    <row r="3840" spans="1:8" ht="12.75" customHeight="1">
      <c r="B3840" s="628" t="s">
        <v>607</v>
      </c>
      <c r="C3840" s="628"/>
      <c r="D3840" s="103" t="s">
        <v>579</v>
      </c>
      <c r="E3840" s="103" t="s">
        <v>580</v>
      </c>
      <c r="F3840" s="103" t="s">
        <v>581</v>
      </c>
      <c r="G3840" s="103" t="s">
        <v>582</v>
      </c>
      <c r="H3840" s="103" t="s">
        <v>583</v>
      </c>
    </row>
    <row r="3841" spans="1:8">
      <c r="B3841" s="130" t="s">
        <v>1256</v>
      </c>
      <c r="C3841" s="229" t="s">
        <v>608</v>
      </c>
      <c r="D3841" s="130" t="s">
        <v>119</v>
      </c>
      <c r="E3841" s="130" t="s">
        <v>121</v>
      </c>
      <c r="F3841" s="230">
        <v>6.6000000000000003E-2</v>
      </c>
      <c r="G3841" s="494">
        <v>25</v>
      </c>
      <c r="H3841" s="494">
        <v>1.65</v>
      </c>
    </row>
    <row r="3842" spans="1:8">
      <c r="B3842" s="130" t="s">
        <v>1257</v>
      </c>
      <c r="C3842" s="229" t="s">
        <v>609</v>
      </c>
      <c r="D3842" s="130" t="s">
        <v>119</v>
      </c>
      <c r="E3842" s="130" t="s">
        <v>121</v>
      </c>
      <c r="F3842" s="230">
        <v>0.23480000000000001</v>
      </c>
      <c r="G3842" s="494">
        <v>31.72</v>
      </c>
      <c r="H3842" s="494">
        <v>7.45</v>
      </c>
    </row>
    <row r="3843" spans="1:8" ht="12.75" customHeight="1">
      <c r="B3843" s="105"/>
      <c r="C3843" s="105"/>
      <c r="D3843" s="105"/>
      <c r="E3843" s="105"/>
      <c r="F3843" s="629" t="s">
        <v>610</v>
      </c>
      <c r="G3843" s="629"/>
      <c r="H3843" s="495">
        <v>9.1</v>
      </c>
    </row>
    <row r="3844" spans="1:8" ht="12.75" customHeight="1">
      <c r="B3844" s="105"/>
      <c r="C3844" s="105"/>
      <c r="D3844" s="105"/>
      <c r="E3844" s="105"/>
      <c r="F3844" s="630" t="s">
        <v>464</v>
      </c>
      <c r="G3844" s="630"/>
      <c r="H3844" s="102">
        <v>9.09</v>
      </c>
    </row>
    <row r="3845" spans="1:8">
      <c r="B3845" s="105"/>
      <c r="C3845" s="105"/>
      <c r="D3845" s="105"/>
      <c r="E3845" s="105"/>
      <c r="F3845" s="634"/>
      <c r="G3845" s="634"/>
      <c r="H3845" s="634"/>
    </row>
    <row r="3846" spans="1:8" ht="26.25" customHeight="1">
      <c r="A3846" s="178" t="str">
        <f>'3 - PLAN. ORÇAMENTÁRIA'!A663</f>
        <v>6.7.3</v>
      </c>
      <c r="B3846" s="242">
        <f>VLOOKUP(A3846,'3 - PLAN. ORÇAMENTÁRIA'!$A$16:$B$721,2,FALSE)</f>
        <v>90467</v>
      </c>
      <c r="C3846" s="631" t="str">
        <f>VLOOKUP(A3846,'3 - PLAN. ORÇAMENTÁRIA'!$A$16:$C$721,3,FALSE)</f>
        <v>CHUMBAMENTO LINEAR EM ALVENARIA PARA ELETRODUTOS COM DIÂMETROS MAIORES QUE 40 MM E MENORES OU IGUAIS A 75 MM. AF_09/2023</v>
      </c>
      <c r="D3846" s="632"/>
      <c r="E3846" s="632"/>
      <c r="F3846" s="632"/>
      <c r="G3846" s="633"/>
      <c r="H3846" s="493" t="str">
        <f>VLOOKUP(A3846,'3 - PLAN. ORÇAMENTÁRIA'!$A$17:$E$721,5,FALSE)</f>
        <v>M</v>
      </c>
    </row>
    <row r="3847" spans="1:8" ht="12.75" customHeight="1">
      <c r="B3847" s="628" t="s">
        <v>607</v>
      </c>
      <c r="C3847" s="628"/>
      <c r="D3847" s="103" t="s">
        <v>579</v>
      </c>
      <c r="E3847" s="103" t="s">
        <v>580</v>
      </c>
      <c r="F3847" s="103" t="s">
        <v>581</v>
      </c>
      <c r="G3847" s="103" t="s">
        <v>582</v>
      </c>
      <c r="H3847" s="103" t="s">
        <v>583</v>
      </c>
    </row>
    <row r="3848" spans="1:8">
      <c r="B3848" s="130" t="s">
        <v>1296</v>
      </c>
      <c r="C3848" s="229" t="s">
        <v>611</v>
      </c>
      <c r="D3848" s="130" t="s">
        <v>119</v>
      </c>
      <c r="E3848" s="130" t="s">
        <v>121</v>
      </c>
      <c r="F3848" s="230">
        <v>0.1236</v>
      </c>
      <c r="G3848" s="494">
        <v>24.02</v>
      </c>
      <c r="H3848" s="494">
        <v>2.97</v>
      </c>
    </row>
    <row r="3849" spans="1:8">
      <c r="B3849" s="130" t="s">
        <v>1297</v>
      </c>
      <c r="C3849" s="229" t="s">
        <v>612</v>
      </c>
      <c r="D3849" s="130" t="s">
        <v>119</v>
      </c>
      <c r="E3849" s="130" t="s">
        <v>121</v>
      </c>
      <c r="F3849" s="230">
        <v>0.54390000000000005</v>
      </c>
      <c r="G3849" s="494">
        <v>30.62</v>
      </c>
      <c r="H3849" s="494">
        <v>16.649999999999999</v>
      </c>
    </row>
    <row r="3850" spans="1:8" ht="12.75" customHeight="1">
      <c r="B3850" s="105"/>
      <c r="C3850" s="105"/>
      <c r="D3850" s="105"/>
      <c r="E3850" s="105"/>
      <c r="F3850" s="629" t="s">
        <v>610</v>
      </c>
      <c r="G3850" s="629"/>
      <c r="H3850" s="495">
        <v>19.62</v>
      </c>
    </row>
    <row r="3851" spans="1:8">
      <c r="B3851" s="628" t="s">
        <v>586</v>
      </c>
      <c r="C3851" s="628"/>
      <c r="D3851" s="103" t="s">
        <v>579</v>
      </c>
      <c r="E3851" s="103" t="s">
        <v>580</v>
      </c>
      <c r="F3851" s="103" t="s">
        <v>581</v>
      </c>
      <c r="G3851" s="103" t="s">
        <v>582</v>
      </c>
      <c r="H3851" s="103" t="s">
        <v>583</v>
      </c>
    </row>
    <row r="3852" spans="1:8" ht="25.5">
      <c r="B3852" s="130" t="s">
        <v>1702</v>
      </c>
      <c r="C3852" s="229" t="s">
        <v>1703</v>
      </c>
      <c r="D3852" s="130" t="s">
        <v>119</v>
      </c>
      <c r="E3852" s="130" t="s">
        <v>167</v>
      </c>
      <c r="F3852" s="230">
        <v>7.9000000000000008E-3</v>
      </c>
      <c r="G3852" s="494">
        <v>627.14</v>
      </c>
      <c r="H3852" s="494">
        <v>4.95</v>
      </c>
    </row>
    <row r="3853" spans="1:8">
      <c r="B3853" s="105"/>
      <c r="C3853" s="105"/>
      <c r="D3853" s="105"/>
      <c r="E3853" s="105"/>
      <c r="F3853" s="629" t="s">
        <v>587</v>
      </c>
      <c r="G3853" s="629"/>
      <c r="H3853" s="495">
        <v>4.95</v>
      </c>
    </row>
    <row r="3854" spans="1:8" ht="12.75" customHeight="1">
      <c r="B3854" s="105"/>
      <c r="C3854" s="105"/>
      <c r="D3854" s="105"/>
      <c r="E3854" s="105"/>
      <c r="F3854" s="630" t="s">
        <v>464</v>
      </c>
      <c r="G3854" s="630"/>
      <c r="H3854" s="102">
        <v>24.57</v>
      </c>
    </row>
    <row r="3855" spans="1:8">
      <c r="B3855" s="105"/>
      <c r="C3855" s="105"/>
      <c r="D3855" s="105"/>
      <c r="E3855" s="105"/>
      <c r="F3855" s="634"/>
      <c r="G3855" s="634"/>
      <c r="H3855" s="634"/>
    </row>
    <row r="3856" spans="1:8" ht="26.25" customHeight="1">
      <c r="A3856" s="178" t="str">
        <f>'3 - PLAN. ORÇAMENTÁRIA'!A664</f>
        <v>6.7.4</v>
      </c>
      <c r="B3856" s="242">
        <f>VLOOKUP(A3856,'3 - PLAN. ORÇAMENTÁRIA'!$A$16:$B$721,2,FALSE)</f>
        <v>104766</v>
      </c>
      <c r="C3856" s="631" t="str">
        <f>VLOOKUP(A3856,'3 - PLAN. ORÇAMENTÁRIA'!$A$16:$C$721,3,FALSE)</f>
        <v>CHUMBAMENTO LINEAR EM ALVENARIA PARA ELETRODUTOS COM DIÂMETROS MENORES OU IGUAIS A 40 MM. AF_09/2023</v>
      </c>
      <c r="D3856" s="632"/>
      <c r="E3856" s="632"/>
      <c r="F3856" s="632"/>
      <c r="G3856" s="633"/>
      <c r="H3856" s="493" t="str">
        <f>VLOOKUP(A3856,'3 - PLAN. ORÇAMENTÁRIA'!$A$17:$E$721,5,FALSE)</f>
        <v>M</v>
      </c>
    </row>
    <row r="3857" spans="1:8" ht="12.75" customHeight="1">
      <c r="B3857" s="628" t="s">
        <v>607</v>
      </c>
      <c r="C3857" s="628"/>
      <c r="D3857" s="103" t="s">
        <v>579</v>
      </c>
      <c r="E3857" s="103" t="s">
        <v>580</v>
      </c>
      <c r="F3857" s="103" t="s">
        <v>581</v>
      </c>
      <c r="G3857" s="103" t="s">
        <v>582</v>
      </c>
      <c r="H3857" s="103" t="s">
        <v>583</v>
      </c>
    </row>
    <row r="3858" spans="1:8">
      <c r="B3858" s="130" t="s">
        <v>1256</v>
      </c>
      <c r="C3858" s="229" t="s">
        <v>608</v>
      </c>
      <c r="D3858" s="130" t="s">
        <v>119</v>
      </c>
      <c r="E3858" s="130" t="s">
        <v>121</v>
      </c>
      <c r="F3858" s="230">
        <v>8.3000000000000004E-2</v>
      </c>
      <c r="G3858" s="494">
        <v>25</v>
      </c>
      <c r="H3858" s="494">
        <v>2.08</v>
      </c>
    </row>
    <row r="3859" spans="1:8">
      <c r="B3859" s="130" t="s">
        <v>1257</v>
      </c>
      <c r="C3859" s="229" t="s">
        <v>609</v>
      </c>
      <c r="D3859" s="130" t="s">
        <v>119</v>
      </c>
      <c r="E3859" s="130" t="s">
        <v>121</v>
      </c>
      <c r="F3859" s="230">
        <v>0.36499999999999999</v>
      </c>
      <c r="G3859" s="494">
        <v>31.72</v>
      </c>
      <c r="H3859" s="494">
        <v>11.58</v>
      </c>
    </row>
    <row r="3860" spans="1:8" ht="12.75" customHeight="1">
      <c r="B3860" s="105"/>
      <c r="C3860" s="105"/>
      <c r="D3860" s="105"/>
      <c r="E3860" s="105"/>
      <c r="F3860" s="629" t="s">
        <v>610</v>
      </c>
      <c r="G3860" s="629"/>
      <c r="H3860" s="495">
        <v>13.66</v>
      </c>
    </row>
    <row r="3861" spans="1:8">
      <c r="B3861" s="628" t="s">
        <v>586</v>
      </c>
      <c r="C3861" s="628"/>
      <c r="D3861" s="103" t="s">
        <v>579</v>
      </c>
      <c r="E3861" s="103" t="s">
        <v>580</v>
      </c>
      <c r="F3861" s="103" t="s">
        <v>581</v>
      </c>
      <c r="G3861" s="103" t="s">
        <v>582</v>
      </c>
      <c r="H3861" s="103" t="s">
        <v>583</v>
      </c>
    </row>
    <row r="3862" spans="1:8" ht="25.5">
      <c r="B3862" s="130" t="s">
        <v>1702</v>
      </c>
      <c r="C3862" s="229" t="s">
        <v>1703</v>
      </c>
      <c r="D3862" s="130" t="s">
        <v>119</v>
      </c>
      <c r="E3862" s="130" t="s">
        <v>167</v>
      </c>
      <c r="F3862" s="230">
        <v>5.1000000000000004E-3</v>
      </c>
      <c r="G3862" s="494">
        <v>627.14</v>
      </c>
      <c r="H3862" s="494">
        <v>3.2</v>
      </c>
    </row>
    <row r="3863" spans="1:8">
      <c r="B3863" s="105"/>
      <c r="C3863" s="105"/>
      <c r="D3863" s="105"/>
      <c r="E3863" s="105"/>
      <c r="F3863" s="629" t="s">
        <v>587</v>
      </c>
      <c r="G3863" s="629"/>
      <c r="H3863" s="495">
        <v>3.2</v>
      </c>
    </row>
    <row r="3864" spans="1:8" ht="12.75" customHeight="1">
      <c r="B3864" s="105"/>
      <c r="C3864" s="105"/>
      <c r="D3864" s="105"/>
      <c r="E3864" s="105"/>
      <c r="F3864" s="630" t="s">
        <v>464</v>
      </c>
      <c r="G3864" s="630"/>
      <c r="H3864" s="102">
        <v>16.86</v>
      </c>
    </row>
    <row r="3865" spans="1:8">
      <c r="B3865" s="105"/>
      <c r="C3865" s="105"/>
      <c r="D3865" s="105"/>
      <c r="E3865" s="105"/>
      <c r="F3865" s="634"/>
      <c r="G3865" s="634"/>
      <c r="H3865" s="634"/>
    </row>
    <row r="3866" spans="1:8" ht="26.25" customHeight="1">
      <c r="A3866" s="178" t="str">
        <f>'3 - PLAN. ORÇAMENTÁRIA'!A665</f>
        <v>6.7.5</v>
      </c>
      <c r="B3866" s="242">
        <f>VLOOKUP(A3866,'3 - PLAN. ORÇAMENTÁRIA'!$A$16:$B$721,2,FALSE)</f>
        <v>93358</v>
      </c>
      <c r="C3866" s="631" t="str">
        <f>VLOOKUP(A3866,'3 - PLAN. ORÇAMENTÁRIA'!$A$16:$C$721,3,FALSE)</f>
        <v>ESCAVAÇÃO MANUAL DE VALA. AF_09/2024</v>
      </c>
      <c r="D3866" s="632"/>
      <c r="E3866" s="632"/>
      <c r="F3866" s="632"/>
      <c r="G3866" s="633"/>
      <c r="H3866" s="493" t="str">
        <f>VLOOKUP(A3866,'3 - PLAN. ORÇAMENTÁRIA'!$A$17:$E$721,5,FALSE)</f>
        <v>M3</v>
      </c>
    </row>
    <row r="3867" spans="1:8" ht="12.75" customHeight="1">
      <c r="B3867" s="628" t="s">
        <v>607</v>
      </c>
      <c r="C3867" s="628"/>
      <c r="D3867" s="103" t="s">
        <v>579</v>
      </c>
      <c r="E3867" s="103" t="s">
        <v>580</v>
      </c>
      <c r="F3867" s="103" t="s">
        <v>581</v>
      </c>
      <c r="G3867" s="103" t="s">
        <v>582</v>
      </c>
      <c r="H3867" s="103" t="s">
        <v>583</v>
      </c>
    </row>
    <row r="3868" spans="1:8">
      <c r="B3868" s="130" t="s">
        <v>625</v>
      </c>
      <c r="C3868" s="229" t="s">
        <v>626</v>
      </c>
      <c r="D3868" s="130" t="s">
        <v>119</v>
      </c>
      <c r="E3868" s="130" t="s">
        <v>121</v>
      </c>
      <c r="F3868" s="230">
        <v>3.9557666999999999</v>
      </c>
      <c r="G3868" s="494">
        <v>23.75</v>
      </c>
      <c r="H3868" s="494">
        <v>93.95</v>
      </c>
    </row>
    <row r="3869" spans="1:8" ht="12.75" customHeight="1">
      <c r="B3869" s="105"/>
      <c r="C3869" s="105"/>
      <c r="D3869" s="105"/>
      <c r="E3869" s="105"/>
      <c r="F3869" s="629" t="s">
        <v>610</v>
      </c>
      <c r="G3869" s="629"/>
      <c r="H3869" s="495">
        <v>93.95</v>
      </c>
    </row>
    <row r="3870" spans="1:8" ht="12.75" customHeight="1">
      <c r="B3870" s="105"/>
      <c r="C3870" s="105"/>
      <c r="D3870" s="105"/>
      <c r="E3870" s="105"/>
      <c r="F3870" s="630" t="s">
        <v>464</v>
      </c>
      <c r="G3870" s="630"/>
      <c r="H3870" s="102">
        <v>93.94</v>
      </c>
    </row>
    <row r="3871" spans="1:8">
      <c r="B3871" s="105"/>
      <c r="C3871" s="105"/>
      <c r="D3871" s="105"/>
      <c r="E3871" s="105"/>
      <c r="F3871" s="634"/>
      <c r="G3871" s="634"/>
      <c r="H3871" s="634"/>
    </row>
    <row r="3872" spans="1:8" ht="26.25" customHeight="1">
      <c r="A3872" s="178" t="str">
        <f>'3 - PLAN. ORÇAMENTÁRIA'!A666</f>
        <v>6.7.6</v>
      </c>
      <c r="B3872" s="242">
        <f>VLOOKUP(A3872,'3 - PLAN. ORÇAMENTÁRIA'!$A$16:$B$721,2,FALSE)</f>
        <v>101616</v>
      </c>
      <c r="C3872" s="631" t="str">
        <f>VLOOKUP(A3872,'3 - PLAN. ORÇAMENTÁRIA'!$A$16:$C$721,3,FALSE)</f>
        <v>PREPARO DE FUNDO DE VALA COM LARGURA MENOR QUE 1,5 M (ACERTO DO SOLO NATURAL). AF_08/2020</v>
      </c>
      <c r="D3872" s="632"/>
      <c r="E3872" s="632"/>
      <c r="F3872" s="632"/>
      <c r="G3872" s="633"/>
      <c r="H3872" s="493" t="str">
        <f>VLOOKUP(A3872,'3 - PLAN. ORÇAMENTÁRIA'!$A$17:$E$721,5,FALSE)</f>
        <v>M2</v>
      </c>
    </row>
    <row r="3873" spans="1:8" ht="12.75" customHeight="1">
      <c r="B3873" s="628" t="s">
        <v>1301</v>
      </c>
      <c r="C3873" s="628"/>
      <c r="D3873" s="103" t="s">
        <v>579</v>
      </c>
      <c r="E3873" s="103" t="s">
        <v>580</v>
      </c>
      <c r="F3873" s="103" t="s">
        <v>581</v>
      </c>
      <c r="G3873" s="103" t="s">
        <v>582</v>
      </c>
      <c r="H3873" s="103" t="s">
        <v>583</v>
      </c>
    </row>
    <row r="3874" spans="1:8" ht="25.5">
      <c r="B3874" s="130" t="s">
        <v>1385</v>
      </c>
      <c r="C3874" s="229" t="s">
        <v>1386</v>
      </c>
      <c r="D3874" s="130" t="s">
        <v>119</v>
      </c>
      <c r="E3874" s="130" t="s">
        <v>1304</v>
      </c>
      <c r="F3874" s="230">
        <v>3.5999999999999999E-3</v>
      </c>
      <c r="G3874" s="494">
        <v>27.12</v>
      </c>
      <c r="H3874" s="494">
        <v>0.1</v>
      </c>
    </row>
    <row r="3875" spans="1:8" ht="25.5">
      <c r="B3875" s="130" t="s">
        <v>1387</v>
      </c>
      <c r="C3875" s="229" t="s">
        <v>1388</v>
      </c>
      <c r="D3875" s="130" t="s">
        <v>119</v>
      </c>
      <c r="E3875" s="130" t="s">
        <v>1307</v>
      </c>
      <c r="F3875" s="230">
        <v>3.5999999999999999E-3</v>
      </c>
      <c r="G3875" s="494">
        <v>34.299999999999997</v>
      </c>
      <c r="H3875" s="494">
        <v>0.12</v>
      </c>
    </row>
    <row r="3876" spans="1:8" ht="12.75" customHeight="1">
      <c r="B3876" s="105"/>
      <c r="C3876" s="105"/>
      <c r="D3876" s="105"/>
      <c r="E3876" s="105"/>
      <c r="F3876" s="629" t="s">
        <v>1308</v>
      </c>
      <c r="G3876" s="629"/>
      <c r="H3876" s="495">
        <v>0.22</v>
      </c>
    </row>
    <row r="3877" spans="1:8" ht="12.75" customHeight="1">
      <c r="B3877" s="628" t="s">
        <v>607</v>
      </c>
      <c r="C3877" s="628"/>
      <c r="D3877" s="103" t="s">
        <v>579</v>
      </c>
      <c r="E3877" s="103" t="s">
        <v>580</v>
      </c>
      <c r="F3877" s="103" t="s">
        <v>581</v>
      </c>
      <c r="G3877" s="103" t="s">
        <v>582</v>
      </c>
      <c r="H3877" s="103" t="s">
        <v>583</v>
      </c>
    </row>
    <row r="3878" spans="1:8">
      <c r="B3878" s="130" t="s">
        <v>639</v>
      </c>
      <c r="C3878" s="229" t="s">
        <v>640</v>
      </c>
      <c r="D3878" s="130" t="s">
        <v>119</v>
      </c>
      <c r="E3878" s="130" t="s">
        <v>121</v>
      </c>
      <c r="F3878" s="230">
        <v>0.10199999999999999</v>
      </c>
      <c r="G3878" s="494">
        <v>31.34</v>
      </c>
      <c r="H3878" s="494">
        <v>3.2</v>
      </c>
    </row>
    <row r="3879" spans="1:8">
      <c r="B3879" s="130" t="s">
        <v>625</v>
      </c>
      <c r="C3879" s="229" t="s">
        <v>626</v>
      </c>
      <c r="D3879" s="130" t="s">
        <v>119</v>
      </c>
      <c r="E3879" s="130" t="s">
        <v>121</v>
      </c>
      <c r="F3879" s="230">
        <v>0.15310000000000001</v>
      </c>
      <c r="G3879" s="494">
        <v>23.75</v>
      </c>
      <c r="H3879" s="494">
        <v>3.64</v>
      </c>
    </row>
    <row r="3880" spans="1:8" ht="12.75" customHeight="1">
      <c r="B3880" s="105"/>
      <c r="C3880" s="105"/>
      <c r="D3880" s="105"/>
      <c r="E3880" s="105"/>
      <c r="F3880" s="629" t="s">
        <v>610</v>
      </c>
      <c r="G3880" s="629"/>
      <c r="H3880" s="495">
        <v>6.84</v>
      </c>
    </row>
    <row r="3881" spans="1:8" ht="12.75" customHeight="1">
      <c r="B3881" s="105"/>
      <c r="C3881" s="105"/>
      <c r="D3881" s="105"/>
      <c r="E3881" s="105"/>
      <c r="F3881" s="630" t="s">
        <v>464</v>
      </c>
      <c r="G3881" s="630"/>
      <c r="H3881" s="102">
        <v>7.03</v>
      </c>
    </row>
    <row r="3882" spans="1:8">
      <c r="B3882" s="105"/>
      <c r="C3882" s="105"/>
      <c r="D3882" s="105"/>
      <c r="E3882" s="105"/>
      <c r="F3882" s="634"/>
      <c r="G3882" s="634"/>
      <c r="H3882" s="634"/>
    </row>
    <row r="3883" spans="1:8" ht="26.25" customHeight="1">
      <c r="A3883" s="178" t="str">
        <f>'3 - PLAN. ORÇAMENTÁRIA'!A667</f>
        <v>6.7.7</v>
      </c>
      <c r="B3883" s="242">
        <f>VLOOKUP(A3883,'3 - PLAN. ORÇAMENTÁRIA'!$A$16:$B$721,2,FALSE)</f>
        <v>93382</v>
      </c>
      <c r="C3883" s="631" t="str">
        <f>VLOOKUP(A3883,'3 - PLAN. ORÇAMENTÁRIA'!$A$16:$C$721,3,FALSE)</f>
        <v>REATERRO MANUAL DE VALAS, COM COMPACTADOR DE SOLOS DE PERCUSSÃO. AF_08/2023</v>
      </c>
      <c r="D3883" s="632"/>
      <c r="E3883" s="632"/>
      <c r="F3883" s="632"/>
      <c r="G3883" s="633"/>
      <c r="H3883" s="493" t="str">
        <f>VLOOKUP(A3883,'3 - PLAN. ORÇAMENTÁRIA'!$A$17:$E$721,5,FALSE)</f>
        <v>M3</v>
      </c>
    </row>
    <row r="3884" spans="1:8" ht="12.75" customHeight="1">
      <c r="B3884" s="628" t="s">
        <v>1301</v>
      </c>
      <c r="C3884" s="628"/>
      <c r="D3884" s="103" t="s">
        <v>579</v>
      </c>
      <c r="E3884" s="103" t="s">
        <v>580</v>
      </c>
      <c r="F3884" s="103" t="s">
        <v>581</v>
      </c>
      <c r="G3884" s="103" t="s">
        <v>582</v>
      </c>
      <c r="H3884" s="103" t="s">
        <v>583</v>
      </c>
    </row>
    <row r="3885" spans="1:8" ht="38.25">
      <c r="B3885" s="130" t="s">
        <v>1350</v>
      </c>
      <c r="C3885" s="229" t="s">
        <v>1351</v>
      </c>
      <c r="D3885" s="130" t="s">
        <v>119</v>
      </c>
      <c r="E3885" s="130" t="s">
        <v>1304</v>
      </c>
      <c r="F3885" s="230">
        <v>5.9999999999999995E-4</v>
      </c>
      <c r="G3885" s="494">
        <v>75.08</v>
      </c>
      <c r="H3885" s="494">
        <v>0.05</v>
      </c>
    </row>
    <row r="3886" spans="1:8" ht="38.25">
      <c r="B3886" s="130" t="s">
        <v>1352</v>
      </c>
      <c r="C3886" s="229" t="s">
        <v>1353</v>
      </c>
      <c r="D3886" s="130" t="s">
        <v>119</v>
      </c>
      <c r="E3886" s="130" t="s">
        <v>1307</v>
      </c>
      <c r="F3886" s="230">
        <v>5.4000000000000003E-3</v>
      </c>
      <c r="G3886" s="494">
        <v>317.85000000000002</v>
      </c>
      <c r="H3886" s="494">
        <v>1.72</v>
      </c>
    </row>
    <row r="3887" spans="1:8" ht="25.5">
      <c r="B3887" s="130" t="s">
        <v>1387</v>
      </c>
      <c r="C3887" s="229" t="s">
        <v>1388</v>
      </c>
      <c r="D3887" s="130" t="s">
        <v>119</v>
      </c>
      <c r="E3887" s="130" t="s">
        <v>1307</v>
      </c>
      <c r="F3887" s="230">
        <v>0.19620000000000001</v>
      </c>
      <c r="G3887" s="494">
        <v>34.299999999999997</v>
      </c>
      <c r="H3887" s="494">
        <v>6.73</v>
      </c>
    </row>
    <row r="3888" spans="1:8" ht="12.75" customHeight="1">
      <c r="B3888" s="105"/>
      <c r="C3888" s="105"/>
      <c r="D3888" s="105"/>
      <c r="E3888" s="105"/>
      <c r="F3888" s="629" t="s">
        <v>1308</v>
      </c>
      <c r="G3888" s="629"/>
      <c r="H3888" s="495">
        <v>8.5</v>
      </c>
    </row>
    <row r="3889" spans="1:8" ht="12.75" customHeight="1">
      <c r="B3889" s="628" t="s">
        <v>607</v>
      </c>
      <c r="C3889" s="628"/>
      <c r="D3889" s="103" t="s">
        <v>579</v>
      </c>
      <c r="E3889" s="103" t="s">
        <v>580</v>
      </c>
      <c r="F3889" s="103" t="s">
        <v>581</v>
      </c>
      <c r="G3889" s="103" t="s">
        <v>582</v>
      </c>
      <c r="H3889" s="103" t="s">
        <v>583</v>
      </c>
    </row>
    <row r="3890" spans="1:8">
      <c r="B3890" s="130" t="s">
        <v>625</v>
      </c>
      <c r="C3890" s="229" t="s">
        <v>626</v>
      </c>
      <c r="D3890" s="130" t="s">
        <v>119</v>
      </c>
      <c r="E3890" s="130" t="s">
        <v>121</v>
      </c>
      <c r="F3890" s="230">
        <v>0.78659999999999997</v>
      </c>
      <c r="G3890" s="494">
        <v>23.75</v>
      </c>
      <c r="H3890" s="494">
        <v>18.68</v>
      </c>
    </row>
    <row r="3891" spans="1:8" ht="12.75" customHeight="1">
      <c r="B3891" s="105"/>
      <c r="C3891" s="105"/>
      <c r="D3891" s="105"/>
      <c r="E3891" s="105"/>
      <c r="F3891" s="629" t="s">
        <v>610</v>
      </c>
      <c r="G3891" s="629"/>
      <c r="H3891" s="495">
        <v>18.68</v>
      </c>
    </row>
    <row r="3892" spans="1:8" ht="12.75" customHeight="1">
      <c r="B3892" s="105"/>
      <c r="C3892" s="105"/>
      <c r="D3892" s="105"/>
      <c r="E3892" s="105"/>
      <c r="F3892" s="630" t="s">
        <v>464</v>
      </c>
      <c r="G3892" s="630"/>
      <c r="H3892" s="102">
        <v>27.15</v>
      </c>
    </row>
    <row r="3893" spans="1:8">
      <c r="B3893" s="105"/>
      <c r="C3893" s="105"/>
      <c r="D3893" s="105"/>
      <c r="E3893" s="105"/>
      <c r="F3893" s="305"/>
      <c r="G3893" s="305"/>
      <c r="H3893" s="305"/>
    </row>
    <row r="3894" spans="1:8" ht="26.25" customHeight="1">
      <c r="A3894" s="178" t="str">
        <f>'3 - PLAN. ORÇAMENTÁRIA'!A673</f>
        <v>7.1.1.1.1</v>
      </c>
      <c r="B3894" s="242">
        <f>VLOOKUP(A3894,'3 - PLAN. ORÇAMENTÁRIA'!$A$16:$B$721,2,FALSE)</f>
        <v>103250</v>
      </c>
      <c r="C3894" s="631" t="str">
        <f>VLOOKUP(A3894,'3 - PLAN. ORÇAMENTÁRIA'!$A$16:$C$721,3,FALSE)</f>
        <v>AR CONDICIONADO SPLIT INVERTER, HI-WALL (PAREDE), 18000 BTU/H, CICLO FRIO - FORNECIMENTO E INSTALAÇÃO. AF_11/2021_PE</v>
      </c>
      <c r="D3894" s="632"/>
      <c r="E3894" s="632"/>
      <c r="F3894" s="632"/>
      <c r="G3894" s="633"/>
      <c r="H3894" s="432" t="str">
        <f>VLOOKUP(A3894,'3 - PLAN. ORÇAMENTÁRIA'!$A$17:$E$721,5,FALSE)</f>
        <v>UN</v>
      </c>
    </row>
    <row r="3895" spans="1:8">
      <c r="B3895" s="628" t="s">
        <v>588</v>
      </c>
      <c r="C3895" s="628"/>
      <c r="D3895" s="103" t="s">
        <v>579</v>
      </c>
      <c r="E3895" s="103" t="s">
        <v>580</v>
      </c>
      <c r="F3895" s="103" t="s">
        <v>581</v>
      </c>
      <c r="G3895" s="103" t="s">
        <v>582</v>
      </c>
      <c r="H3895" s="103" t="s">
        <v>583</v>
      </c>
    </row>
    <row r="3896" spans="1:8" ht="25.5">
      <c r="B3896" s="130" t="s">
        <v>1776</v>
      </c>
      <c r="C3896" s="229" t="s">
        <v>1777</v>
      </c>
      <c r="D3896" s="130" t="s">
        <v>119</v>
      </c>
      <c r="E3896" s="130" t="s">
        <v>144</v>
      </c>
      <c r="F3896" s="230">
        <v>1</v>
      </c>
      <c r="G3896" s="494">
        <v>4496.07</v>
      </c>
      <c r="H3896" s="494">
        <v>4496.07</v>
      </c>
    </row>
    <row r="3897" spans="1:8" ht="12.75" customHeight="1">
      <c r="B3897" s="105"/>
      <c r="C3897" s="105"/>
      <c r="D3897" s="105"/>
      <c r="E3897" s="105"/>
      <c r="F3897" s="629" t="s">
        <v>589</v>
      </c>
      <c r="G3897" s="629"/>
      <c r="H3897" s="495">
        <v>4496.07</v>
      </c>
    </row>
    <row r="3898" spans="1:8">
      <c r="B3898" s="628" t="s">
        <v>593</v>
      </c>
      <c r="C3898" s="628"/>
      <c r="D3898" s="103" t="s">
        <v>579</v>
      </c>
      <c r="E3898" s="103" t="s">
        <v>580</v>
      </c>
      <c r="F3898" s="103" t="s">
        <v>581</v>
      </c>
      <c r="G3898" s="103" t="s">
        <v>582</v>
      </c>
      <c r="H3898" s="103" t="s">
        <v>583</v>
      </c>
    </row>
    <row r="3899" spans="1:8" ht="25.5">
      <c r="B3899" s="130" t="s">
        <v>651</v>
      </c>
      <c r="C3899" s="229" t="s">
        <v>652</v>
      </c>
      <c r="D3899" s="130" t="s">
        <v>119</v>
      </c>
      <c r="E3899" s="130" t="s">
        <v>144</v>
      </c>
      <c r="F3899" s="230">
        <v>9</v>
      </c>
      <c r="G3899" s="494">
        <v>1.1599999999999999</v>
      </c>
      <c r="H3899" s="494">
        <v>10.44</v>
      </c>
    </row>
    <row r="3900" spans="1:8">
      <c r="B3900" s="130" t="s">
        <v>1778</v>
      </c>
      <c r="C3900" s="229" t="s">
        <v>1779</v>
      </c>
      <c r="D3900" s="130" t="s">
        <v>119</v>
      </c>
      <c r="E3900" s="130" t="s">
        <v>144</v>
      </c>
      <c r="F3900" s="230">
        <v>6</v>
      </c>
      <c r="G3900" s="494">
        <v>1.39</v>
      </c>
      <c r="H3900" s="494">
        <v>8.34</v>
      </c>
    </row>
    <row r="3901" spans="1:8" ht="25.5">
      <c r="B3901" s="130" t="s">
        <v>1551</v>
      </c>
      <c r="C3901" s="229" t="s">
        <v>1552</v>
      </c>
      <c r="D3901" s="130" t="s">
        <v>119</v>
      </c>
      <c r="E3901" s="130" t="s">
        <v>144</v>
      </c>
      <c r="F3901" s="230">
        <v>4</v>
      </c>
      <c r="G3901" s="494">
        <v>0.52</v>
      </c>
      <c r="H3901" s="494">
        <v>2.08</v>
      </c>
    </row>
    <row r="3902" spans="1:8">
      <c r="B3902" s="130" t="s">
        <v>1780</v>
      </c>
      <c r="C3902" s="229" t="s">
        <v>1781</v>
      </c>
      <c r="D3902" s="130" t="s">
        <v>119</v>
      </c>
      <c r="E3902" s="130" t="s">
        <v>144</v>
      </c>
      <c r="F3902" s="230">
        <v>2</v>
      </c>
      <c r="G3902" s="494">
        <v>20.27</v>
      </c>
      <c r="H3902" s="494">
        <v>40.54</v>
      </c>
    </row>
    <row r="3903" spans="1:8" ht="25.5">
      <c r="B3903" s="130" t="s">
        <v>1716</v>
      </c>
      <c r="C3903" s="229" t="s">
        <v>1717</v>
      </c>
      <c r="D3903" s="130" t="s">
        <v>119</v>
      </c>
      <c r="E3903" s="130" t="s">
        <v>144</v>
      </c>
      <c r="F3903" s="230">
        <v>10</v>
      </c>
      <c r="G3903" s="494">
        <v>1.04</v>
      </c>
      <c r="H3903" s="494">
        <v>10.4</v>
      </c>
    </row>
    <row r="3904" spans="1:8">
      <c r="B3904" s="105"/>
      <c r="C3904" s="105"/>
      <c r="D3904" s="105"/>
      <c r="E3904" s="105"/>
      <c r="F3904" s="629" t="s">
        <v>604</v>
      </c>
      <c r="G3904" s="629"/>
      <c r="H3904" s="495">
        <v>71.8</v>
      </c>
    </row>
    <row r="3905" spans="1:8" ht="12.75" customHeight="1">
      <c r="B3905" s="628" t="s">
        <v>607</v>
      </c>
      <c r="C3905" s="628"/>
      <c r="D3905" s="103" t="s">
        <v>579</v>
      </c>
      <c r="E3905" s="103" t="s">
        <v>580</v>
      </c>
      <c r="F3905" s="103" t="s">
        <v>581</v>
      </c>
      <c r="G3905" s="103" t="s">
        <v>582</v>
      </c>
      <c r="H3905" s="103" t="s">
        <v>583</v>
      </c>
    </row>
    <row r="3906" spans="1:8">
      <c r="B3906" s="130" t="s">
        <v>1408</v>
      </c>
      <c r="C3906" s="229" t="s">
        <v>1409</v>
      </c>
      <c r="D3906" s="130" t="s">
        <v>119</v>
      </c>
      <c r="E3906" s="130" t="s">
        <v>121</v>
      </c>
      <c r="F3906" s="230">
        <v>2.5230000000000001</v>
      </c>
      <c r="G3906" s="494">
        <v>24.4</v>
      </c>
      <c r="H3906" s="494">
        <v>61.56</v>
      </c>
    </row>
    <row r="3907" spans="1:8">
      <c r="B3907" s="130" t="s">
        <v>1782</v>
      </c>
      <c r="C3907" s="229" t="s">
        <v>1783</v>
      </c>
      <c r="D3907" s="130" t="s">
        <v>119</v>
      </c>
      <c r="E3907" s="130" t="s">
        <v>121</v>
      </c>
      <c r="F3907" s="230">
        <v>2.5230000000000001</v>
      </c>
      <c r="G3907" s="494">
        <v>33.04</v>
      </c>
      <c r="H3907" s="494">
        <v>83.36</v>
      </c>
    </row>
    <row r="3908" spans="1:8" ht="12.75" customHeight="1">
      <c r="B3908" s="105"/>
      <c r="C3908" s="105"/>
      <c r="D3908" s="105"/>
      <c r="E3908" s="105"/>
      <c r="F3908" s="629" t="s">
        <v>610</v>
      </c>
      <c r="G3908" s="629"/>
      <c r="H3908" s="495">
        <v>144.91999999999999</v>
      </c>
    </row>
    <row r="3909" spans="1:8" ht="12.75" customHeight="1">
      <c r="B3909" s="105"/>
      <c r="C3909" s="105"/>
      <c r="D3909" s="105"/>
      <c r="E3909" s="105"/>
      <c r="F3909" s="630" t="s">
        <v>464</v>
      </c>
      <c r="G3909" s="630"/>
      <c r="H3909" s="102">
        <v>4712.78</v>
      </c>
    </row>
    <row r="3910" spans="1:8">
      <c r="B3910" s="105"/>
      <c r="C3910" s="105"/>
      <c r="D3910" s="105"/>
      <c r="E3910" s="105"/>
      <c r="F3910" s="634"/>
      <c r="G3910" s="634"/>
      <c r="H3910" s="634"/>
    </row>
    <row r="3911" spans="1:8" ht="26.25" customHeight="1">
      <c r="A3911" s="178" t="str">
        <f>'3 - PLAN. ORÇAMENTÁRIA'!A674</f>
        <v>7.1.1.1.2</v>
      </c>
      <c r="B3911" s="242">
        <f>VLOOKUP(A3911,'3 - PLAN. ORÇAMENTÁRIA'!$A$16:$B$721,2,FALSE)</f>
        <v>103247</v>
      </c>
      <c r="C3911" s="631" t="str">
        <f>VLOOKUP(A3911,'3 - PLAN. ORÇAMENTÁRIA'!$A$16:$C$721,3,FALSE)</f>
        <v>AR CONDICIONADO SPLIT INVERTER, HI-WALL (PAREDE), 12000 BTU/H, CICLO FRIO - FORNECIMENTO E INSTALAÇÃO. AF_11/2021_PE</v>
      </c>
      <c r="D3911" s="632"/>
      <c r="E3911" s="632"/>
      <c r="F3911" s="632"/>
      <c r="G3911" s="633"/>
      <c r="H3911" s="493" t="str">
        <f>VLOOKUP(A3911,'3 - PLAN. ORÇAMENTÁRIA'!$A$17:$E$721,5,FALSE)</f>
        <v>UN</v>
      </c>
    </row>
    <row r="3912" spans="1:8">
      <c r="B3912" s="628" t="s">
        <v>588</v>
      </c>
      <c r="C3912" s="628"/>
      <c r="D3912" s="103" t="s">
        <v>579</v>
      </c>
      <c r="E3912" s="103" t="s">
        <v>580</v>
      </c>
      <c r="F3912" s="103" t="s">
        <v>581</v>
      </c>
      <c r="G3912" s="103" t="s">
        <v>582</v>
      </c>
      <c r="H3912" s="103" t="s">
        <v>583</v>
      </c>
    </row>
    <row r="3913" spans="1:8" ht="25.5">
      <c r="B3913" s="130" t="s">
        <v>1784</v>
      </c>
      <c r="C3913" s="229" t="s">
        <v>1785</v>
      </c>
      <c r="D3913" s="130" t="s">
        <v>119</v>
      </c>
      <c r="E3913" s="130" t="s">
        <v>144</v>
      </c>
      <c r="F3913" s="230">
        <v>1</v>
      </c>
      <c r="G3913" s="494">
        <v>3028.61</v>
      </c>
      <c r="H3913" s="494">
        <v>3028.61</v>
      </c>
    </row>
    <row r="3914" spans="1:8" ht="12.75" customHeight="1">
      <c r="B3914" s="105"/>
      <c r="C3914" s="105"/>
      <c r="D3914" s="105"/>
      <c r="E3914" s="105"/>
      <c r="F3914" s="629" t="s">
        <v>589</v>
      </c>
      <c r="G3914" s="629"/>
      <c r="H3914" s="495">
        <v>3028.61</v>
      </c>
    </row>
    <row r="3915" spans="1:8">
      <c r="B3915" s="628" t="s">
        <v>593</v>
      </c>
      <c r="C3915" s="628"/>
      <c r="D3915" s="103" t="s">
        <v>579</v>
      </c>
      <c r="E3915" s="103" t="s">
        <v>580</v>
      </c>
      <c r="F3915" s="103" t="s">
        <v>581</v>
      </c>
      <c r="G3915" s="103" t="s">
        <v>582</v>
      </c>
      <c r="H3915" s="103" t="s">
        <v>583</v>
      </c>
    </row>
    <row r="3916" spans="1:8" ht="25.5">
      <c r="B3916" s="130" t="s">
        <v>651</v>
      </c>
      <c r="C3916" s="229" t="s">
        <v>652</v>
      </c>
      <c r="D3916" s="130" t="s">
        <v>119</v>
      </c>
      <c r="E3916" s="130" t="s">
        <v>144</v>
      </c>
      <c r="F3916" s="230">
        <v>9</v>
      </c>
      <c r="G3916" s="494">
        <v>1.1599999999999999</v>
      </c>
      <c r="H3916" s="494">
        <v>10.44</v>
      </c>
    </row>
    <row r="3917" spans="1:8">
      <c r="B3917" s="130" t="s">
        <v>1778</v>
      </c>
      <c r="C3917" s="229" t="s">
        <v>1779</v>
      </c>
      <c r="D3917" s="130" t="s">
        <v>119</v>
      </c>
      <c r="E3917" s="130" t="s">
        <v>144</v>
      </c>
      <c r="F3917" s="230">
        <v>6</v>
      </c>
      <c r="G3917" s="494">
        <v>1.39</v>
      </c>
      <c r="H3917" s="494">
        <v>8.34</v>
      </c>
    </row>
    <row r="3918" spans="1:8" ht="25.5">
      <c r="B3918" s="130" t="s">
        <v>1551</v>
      </c>
      <c r="C3918" s="229" t="s">
        <v>1552</v>
      </c>
      <c r="D3918" s="130" t="s">
        <v>119</v>
      </c>
      <c r="E3918" s="130" t="s">
        <v>144</v>
      </c>
      <c r="F3918" s="230">
        <v>4</v>
      </c>
      <c r="G3918" s="494">
        <v>0.52</v>
      </c>
      <c r="H3918" s="494">
        <v>2.08</v>
      </c>
    </row>
    <row r="3919" spans="1:8">
      <c r="B3919" s="130" t="s">
        <v>1780</v>
      </c>
      <c r="C3919" s="229" t="s">
        <v>1781</v>
      </c>
      <c r="D3919" s="130" t="s">
        <v>119</v>
      </c>
      <c r="E3919" s="130" t="s">
        <v>144</v>
      </c>
      <c r="F3919" s="230">
        <v>2</v>
      </c>
      <c r="G3919" s="494">
        <v>20.27</v>
      </c>
      <c r="H3919" s="494">
        <v>40.54</v>
      </c>
    </row>
    <row r="3920" spans="1:8" ht="25.5">
      <c r="B3920" s="130" t="s">
        <v>1716</v>
      </c>
      <c r="C3920" s="229" t="s">
        <v>1717</v>
      </c>
      <c r="D3920" s="130" t="s">
        <v>119</v>
      </c>
      <c r="E3920" s="130" t="s">
        <v>144</v>
      </c>
      <c r="F3920" s="230">
        <v>10</v>
      </c>
      <c r="G3920" s="494">
        <v>1.04</v>
      </c>
      <c r="H3920" s="494">
        <v>10.4</v>
      </c>
    </row>
    <row r="3921" spans="1:8">
      <c r="B3921" s="105"/>
      <c r="C3921" s="105"/>
      <c r="D3921" s="105"/>
      <c r="E3921" s="105"/>
      <c r="F3921" s="629" t="s">
        <v>604</v>
      </c>
      <c r="G3921" s="629"/>
      <c r="H3921" s="495">
        <v>71.8</v>
      </c>
    </row>
    <row r="3922" spans="1:8" ht="12.75" customHeight="1">
      <c r="B3922" s="628" t="s">
        <v>607</v>
      </c>
      <c r="C3922" s="628"/>
      <c r="D3922" s="103" t="s">
        <v>579</v>
      </c>
      <c r="E3922" s="103" t="s">
        <v>580</v>
      </c>
      <c r="F3922" s="103" t="s">
        <v>581</v>
      </c>
      <c r="G3922" s="103" t="s">
        <v>582</v>
      </c>
      <c r="H3922" s="103" t="s">
        <v>583</v>
      </c>
    </row>
    <row r="3923" spans="1:8">
      <c r="B3923" s="130" t="s">
        <v>1408</v>
      </c>
      <c r="C3923" s="229" t="s">
        <v>1409</v>
      </c>
      <c r="D3923" s="130" t="s">
        <v>119</v>
      </c>
      <c r="E3923" s="130" t="s">
        <v>121</v>
      </c>
      <c r="F3923" s="230">
        <v>2.3334000000000001</v>
      </c>
      <c r="G3923" s="494">
        <v>24.4</v>
      </c>
      <c r="H3923" s="494">
        <v>56.93</v>
      </c>
    </row>
    <row r="3924" spans="1:8">
      <c r="B3924" s="130" t="s">
        <v>1782</v>
      </c>
      <c r="C3924" s="229" t="s">
        <v>1783</v>
      </c>
      <c r="D3924" s="130" t="s">
        <v>119</v>
      </c>
      <c r="E3924" s="130" t="s">
        <v>121</v>
      </c>
      <c r="F3924" s="230">
        <v>2.3334000000000001</v>
      </c>
      <c r="G3924" s="494">
        <v>33.04</v>
      </c>
      <c r="H3924" s="494">
        <v>77.099999999999994</v>
      </c>
    </row>
    <row r="3925" spans="1:8" ht="12.75" customHeight="1">
      <c r="B3925" s="105"/>
      <c r="C3925" s="105"/>
      <c r="D3925" s="105"/>
      <c r="E3925" s="105"/>
      <c r="F3925" s="629" t="s">
        <v>610</v>
      </c>
      <c r="G3925" s="629"/>
      <c r="H3925" s="495">
        <v>134.03</v>
      </c>
    </row>
    <row r="3926" spans="1:8" ht="12.75" customHeight="1">
      <c r="B3926" s="105"/>
      <c r="C3926" s="105"/>
      <c r="D3926" s="105"/>
      <c r="E3926" s="105"/>
      <c r="F3926" s="630" t="s">
        <v>464</v>
      </c>
      <c r="G3926" s="630"/>
      <c r="H3926" s="102">
        <v>3234.43</v>
      </c>
    </row>
    <row r="3927" spans="1:8">
      <c r="B3927" s="105"/>
      <c r="C3927" s="105"/>
      <c r="D3927" s="105"/>
      <c r="E3927" s="105"/>
      <c r="F3927" s="634"/>
      <c r="G3927" s="634"/>
      <c r="H3927" s="634"/>
    </row>
    <row r="3928" spans="1:8" ht="26.25" customHeight="1">
      <c r="A3928" s="178" t="str">
        <f>'3 - PLAN. ORÇAMENTÁRIA'!A675</f>
        <v>7.1.1.1.3</v>
      </c>
      <c r="B3928" s="242">
        <f>VLOOKUP(A3928,'3 - PLAN. ORÇAMENTÁRIA'!$A$16:$B$721,2,FALSE)</f>
        <v>103244</v>
      </c>
      <c r="C3928" s="631" t="str">
        <f>VLOOKUP(A3928,'3 - PLAN. ORÇAMENTÁRIA'!$A$16:$C$721,3,FALSE)</f>
        <v>AR CONDICIONADO SPLIT INVERTER, HI-WALL (PAREDE), 9000 BTU/H, CICLO FRIO - FORNECIMENTO E INSTALAÇÃO. AF_11/2021_PE</v>
      </c>
      <c r="D3928" s="632"/>
      <c r="E3928" s="632"/>
      <c r="F3928" s="632"/>
      <c r="G3928" s="633"/>
      <c r="H3928" s="493" t="str">
        <f>VLOOKUP(A3928,'3 - PLAN. ORÇAMENTÁRIA'!$A$17:$E$721,5,FALSE)</f>
        <v>UN</v>
      </c>
    </row>
    <row r="3929" spans="1:8">
      <c r="B3929" s="628" t="s">
        <v>588</v>
      </c>
      <c r="C3929" s="628"/>
      <c r="D3929" s="103" t="s">
        <v>579</v>
      </c>
      <c r="E3929" s="103" t="s">
        <v>580</v>
      </c>
      <c r="F3929" s="103" t="s">
        <v>581</v>
      </c>
      <c r="G3929" s="103" t="s">
        <v>582</v>
      </c>
      <c r="H3929" s="103" t="s">
        <v>583</v>
      </c>
    </row>
    <row r="3930" spans="1:8" ht="25.5">
      <c r="B3930" s="130" t="s">
        <v>1786</v>
      </c>
      <c r="C3930" s="229" t="s">
        <v>1787</v>
      </c>
      <c r="D3930" s="130" t="s">
        <v>119</v>
      </c>
      <c r="E3930" s="130" t="s">
        <v>144</v>
      </c>
      <c r="F3930" s="230">
        <v>1</v>
      </c>
      <c r="G3930" s="494">
        <v>2704.81</v>
      </c>
      <c r="H3930" s="494">
        <v>2704.81</v>
      </c>
    </row>
    <row r="3931" spans="1:8" ht="12.75" customHeight="1">
      <c r="B3931" s="105"/>
      <c r="C3931" s="105"/>
      <c r="D3931" s="105"/>
      <c r="E3931" s="105"/>
      <c r="F3931" s="629" t="s">
        <v>589</v>
      </c>
      <c r="G3931" s="629"/>
      <c r="H3931" s="495">
        <v>2704.81</v>
      </c>
    </row>
    <row r="3932" spans="1:8">
      <c r="B3932" s="628" t="s">
        <v>593</v>
      </c>
      <c r="C3932" s="628"/>
      <c r="D3932" s="103" t="s">
        <v>579</v>
      </c>
      <c r="E3932" s="103" t="s">
        <v>580</v>
      </c>
      <c r="F3932" s="103" t="s">
        <v>581</v>
      </c>
      <c r="G3932" s="103" t="s">
        <v>582</v>
      </c>
      <c r="H3932" s="103" t="s">
        <v>583</v>
      </c>
    </row>
    <row r="3933" spans="1:8" ht="25.5">
      <c r="B3933" s="130" t="s">
        <v>651</v>
      </c>
      <c r="C3933" s="229" t="s">
        <v>652</v>
      </c>
      <c r="D3933" s="130" t="s">
        <v>119</v>
      </c>
      <c r="E3933" s="130" t="s">
        <v>144</v>
      </c>
      <c r="F3933" s="230">
        <v>9</v>
      </c>
      <c r="G3933" s="494">
        <v>1.1599999999999999</v>
      </c>
      <c r="H3933" s="494">
        <v>10.44</v>
      </c>
    </row>
    <row r="3934" spans="1:8">
      <c r="B3934" s="130" t="s">
        <v>1778</v>
      </c>
      <c r="C3934" s="229" t="s">
        <v>1779</v>
      </c>
      <c r="D3934" s="130" t="s">
        <v>119</v>
      </c>
      <c r="E3934" s="130" t="s">
        <v>144</v>
      </c>
      <c r="F3934" s="230">
        <v>6</v>
      </c>
      <c r="G3934" s="494">
        <v>1.39</v>
      </c>
      <c r="H3934" s="494">
        <v>8.34</v>
      </c>
    </row>
    <row r="3935" spans="1:8" ht="25.5">
      <c r="B3935" s="130" t="s">
        <v>1551</v>
      </c>
      <c r="C3935" s="229" t="s">
        <v>1552</v>
      </c>
      <c r="D3935" s="130" t="s">
        <v>119</v>
      </c>
      <c r="E3935" s="130" t="s">
        <v>144</v>
      </c>
      <c r="F3935" s="230">
        <v>4</v>
      </c>
      <c r="G3935" s="494">
        <v>0.52</v>
      </c>
      <c r="H3935" s="494">
        <v>2.08</v>
      </c>
    </row>
    <row r="3936" spans="1:8">
      <c r="B3936" s="130" t="s">
        <v>1780</v>
      </c>
      <c r="C3936" s="229" t="s">
        <v>1781</v>
      </c>
      <c r="D3936" s="130" t="s">
        <v>119</v>
      </c>
      <c r="E3936" s="130" t="s">
        <v>144</v>
      </c>
      <c r="F3936" s="230">
        <v>2</v>
      </c>
      <c r="G3936" s="494">
        <v>20.27</v>
      </c>
      <c r="H3936" s="494">
        <v>40.54</v>
      </c>
    </row>
    <row r="3937" spans="1:8" ht="25.5">
      <c r="B3937" s="130" t="s">
        <v>1716</v>
      </c>
      <c r="C3937" s="229" t="s">
        <v>1717</v>
      </c>
      <c r="D3937" s="130" t="s">
        <v>119</v>
      </c>
      <c r="E3937" s="130" t="s">
        <v>144</v>
      </c>
      <c r="F3937" s="230">
        <v>10</v>
      </c>
      <c r="G3937" s="494">
        <v>1.04</v>
      </c>
      <c r="H3937" s="494">
        <v>10.4</v>
      </c>
    </row>
    <row r="3938" spans="1:8">
      <c r="B3938" s="105"/>
      <c r="C3938" s="105"/>
      <c r="D3938" s="105"/>
      <c r="E3938" s="105"/>
      <c r="F3938" s="629" t="s">
        <v>604</v>
      </c>
      <c r="G3938" s="629"/>
      <c r="H3938" s="495">
        <v>71.8</v>
      </c>
    </row>
    <row r="3939" spans="1:8" ht="12.75" customHeight="1">
      <c r="B3939" s="628" t="s">
        <v>607</v>
      </c>
      <c r="C3939" s="628"/>
      <c r="D3939" s="103" t="s">
        <v>579</v>
      </c>
      <c r="E3939" s="103" t="s">
        <v>580</v>
      </c>
      <c r="F3939" s="103" t="s">
        <v>581</v>
      </c>
      <c r="G3939" s="103" t="s">
        <v>582</v>
      </c>
      <c r="H3939" s="103" t="s">
        <v>583</v>
      </c>
    </row>
    <row r="3940" spans="1:8">
      <c r="B3940" s="130" t="s">
        <v>1408</v>
      </c>
      <c r="C3940" s="229" t="s">
        <v>1409</v>
      </c>
      <c r="D3940" s="130" t="s">
        <v>119</v>
      </c>
      <c r="E3940" s="130" t="s">
        <v>121</v>
      </c>
      <c r="F3940" s="230">
        <v>2.3334000000000001</v>
      </c>
      <c r="G3940" s="494">
        <v>24.4</v>
      </c>
      <c r="H3940" s="494">
        <v>56.93</v>
      </c>
    </row>
    <row r="3941" spans="1:8">
      <c r="B3941" s="130" t="s">
        <v>1782</v>
      </c>
      <c r="C3941" s="229" t="s">
        <v>1783</v>
      </c>
      <c r="D3941" s="130" t="s">
        <v>119</v>
      </c>
      <c r="E3941" s="130" t="s">
        <v>121</v>
      </c>
      <c r="F3941" s="230">
        <v>2.3334000000000001</v>
      </c>
      <c r="G3941" s="494">
        <v>33.04</v>
      </c>
      <c r="H3941" s="494">
        <v>77.099999999999994</v>
      </c>
    </row>
    <row r="3942" spans="1:8" ht="12.75" customHeight="1">
      <c r="B3942" s="105"/>
      <c r="C3942" s="105"/>
      <c r="D3942" s="105"/>
      <c r="E3942" s="105"/>
      <c r="F3942" s="629" t="s">
        <v>610</v>
      </c>
      <c r="G3942" s="629"/>
      <c r="H3942" s="495">
        <v>134.03</v>
      </c>
    </row>
    <row r="3943" spans="1:8" ht="12.75" customHeight="1">
      <c r="B3943" s="105"/>
      <c r="C3943" s="105"/>
      <c r="D3943" s="105"/>
      <c r="E3943" s="105"/>
      <c r="F3943" s="630" t="s">
        <v>464</v>
      </c>
      <c r="G3943" s="630"/>
      <c r="H3943" s="102">
        <v>2910.63</v>
      </c>
    </row>
    <row r="3944" spans="1:8">
      <c r="B3944" s="105"/>
      <c r="C3944" s="105"/>
      <c r="D3944" s="105"/>
      <c r="E3944" s="105"/>
      <c r="F3944" s="634"/>
      <c r="G3944" s="634"/>
      <c r="H3944" s="634"/>
    </row>
    <row r="3945" spans="1:8" ht="26.25" customHeight="1">
      <c r="A3945" s="178" t="str">
        <f>'3 - PLAN. ORÇAMENTÁRIA'!A676</f>
        <v>7.1.1.1.4</v>
      </c>
      <c r="B3945" s="242">
        <f>VLOOKUP(A3945,'3 - PLAN. ORÇAMENTÁRIA'!$A$16:$B$721,2,FALSE)</f>
        <v>103273</v>
      </c>
      <c r="C3945" s="631" t="str">
        <f>VLOOKUP(A3945,'3 - PLAN. ORÇAMENTÁRIA'!$A$16:$C$721,3,FALSE)</f>
        <v>AR CONDICIONADO SPLIT ON/OFF, CASSETE (TETO), FRIO 4 VIAS 48000 BTU/H - FORNECIMENTO E INSTALAÇÃO. AF_11/2021_PE</v>
      </c>
      <c r="D3945" s="632"/>
      <c r="E3945" s="632"/>
      <c r="F3945" s="632"/>
      <c r="G3945" s="633"/>
      <c r="H3945" s="493" t="str">
        <f>VLOOKUP(A3945,'3 - PLAN. ORÇAMENTÁRIA'!$A$17:$E$721,5,FALSE)</f>
        <v>UN</v>
      </c>
    </row>
    <row r="3946" spans="1:8">
      <c r="B3946" s="628" t="s">
        <v>588</v>
      </c>
      <c r="C3946" s="628"/>
      <c r="D3946" s="103" t="s">
        <v>579</v>
      </c>
      <c r="E3946" s="103" t="s">
        <v>580</v>
      </c>
      <c r="F3946" s="103" t="s">
        <v>581</v>
      </c>
      <c r="G3946" s="103" t="s">
        <v>582</v>
      </c>
      <c r="H3946" s="103" t="s">
        <v>583</v>
      </c>
    </row>
    <row r="3947" spans="1:8" ht="25.5">
      <c r="B3947" s="130" t="s">
        <v>3825</v>
      </c>
      <c r="C3947" s="229" t="s">
        <v>3826</v>
      </c>
      <c r="D3947" s="130" t="s">
        <v>119</v>
      </c>
      <c r="E3947" s="130" t="s">
        <v>144</v>
      </c>
      <c r="F3947" s="230">
        <v>1</v>
      </c>
      <c r="G3947" s="494">
        <v>13645.2</v>
      </c>
      <c r="H3947" s="494">
        <v>13645.2</v>
      </c>
    </row>
    <row r="3948" spans="1:8" ht="12.75" customHeight="1">
      <c r="B3948" s="105"/>
      <c r="C3948" s="105"/>
      <c r="D3948" s="105"/>
      <c r="E3948" s="105"/>
      <c r="F3948" s="629" t="s">
        <v>589</v>
      </c>
      <c r="G3948" s="629"/>
      <c r="H3948" s="495">
        <v>13645.2</v>
      </c>
    </row>
    <row r="3949" spans="1:8" ht="12.75" customHeight="1">
      <c r="B3949" s="628" t="s">
        <v>1301</v>
      </c>
      <c r="C3949" s="628"/>
      <c r="D3949" s="103" t="s">
        <v>579</v>
      </c>
      <c r="E3949" s="103" t="s">
        <v>580</v>
      </c>
      <c r="F3949" s="103" t="s">
        <v>581</v>
      </c>
      <c r="G3949" s="103" t="s">
        <v>582</v>
      </c>
      <c r="H3949" s="103" t="s">
        <v>583</v>
      </c>
    </row>
    <row r="3950" spans="1:8" ht="25.5">
      <c r="B3950" s="130" t="s">
        <v>1790</v>
      </c>
      <c r="C3950" s="229" t="s">
        <v>1791</v>
      </c>
      <c r="D3950" s="130" t="s">
        <v>119</v>
      </c>
      <c r="E3950" s="130" t="s">
        <v>1304</v>
      </c>
      <c r="F3950" s="230">
        <v>1.5165999999999999</v>
      </c>
      <c r="G3950" s="494">
        <v>174.79</v>
      </c>
      <c r="H3950" s="494">
        <v>265.08999999999997</v>
      </c>
    </row>
    <row r="3951" spans="1:8" ht="25.5">
      <c r="B3951" s="130" t="s">
        <v>1792</v>
      </c>
      <c r="C3951" s="229" t="s">
        <v>1793</v>
      </c>
      <c r="D3951" s="130" t="s">
        <v>119</v>
      </c>
      <c r="E3951" s="130" t="s">
        <v>1307</v>
      </c>
      <c r="F3951" s="230">
        <v>0.2059</v>
      </c>
      <c r="G3951" s="494">
        <v>343.98</v>
      </c>
      <c r="H3951" s="494">
        <v>70.83</v>
      </c>
    </row>
    <row r="3952" spans="1:8" ht="12.75" customHeight="1">
      <c r="B3952" s="105"/>
      <c r="C3952" s="105"/>
      <c r="D3952" s="105"/>
      <c r="E3952" s="105"/>
      <c r="F3952" s="629" t="s">
        <v>1308</v>
      </c>
      <c r="G3952" s="629"/>
      <c r="H3952" s="495">
        <v>335.92</v>
      </c>
    </row>
    <row r="3953" spans="1:8">
      <c r="B3953" s="628" t="s">
        <v>593</v>
      </c>
      <c r="C3953" s="628"/>
      <c r="D3953" s="103" t="s">
        <v>579</v>
      </c>
      <c r="E3953" s="103" t="s">
        <v>580</v>
      </c>
      <c r="F3953" s="103" t="s">
        <v>581</v>
      </c>
      <c r="G3953" s="103" t="s">
        <v>582</v>
      </c>
      <c r="H3953" s="103" t="s">
        <v>583</v>
      </c>
    </row>
    <row r="3954" spans="1:8" ht="25.5">
      <c r="B3954" s="130" t="s">
        <v>1788</v>
      </c>
      <c r="C3954" s="229" t="s">
        <v>1789</v>
      </c>
      <c r="D3954" s="130" t="s">
        <v>119</v>
      </c>
      <c r="E3954" s="130" t="s">
        <v>144</v>
      </c>
      <c r="F3954" s="230">
        <v>4</v>
      </c>
      <c r="G3954" s="494">
        <v>1.63</v>
      </c>
      <c r="H3954" s="494">
        <v>6.52</v>
      </c>
    </row>
    <row r="3955" spans="1:8">
      <c r="B3955" s="130" t="s">
        <v>1778</v>
      </c>
      <c r="C3955" s="229" t="s">
        <v>1779</v>
      </c>
      <c r="D3955" s="130" t="s">
        <v>119</v>
      </c>
      <c r="E3955" s="130" t="s">
        <v>144</v>
      </c>
      <c r="F3955" s="230">
        <v>4</v>
      </c>
      <c r="G3955" s="494">
        <v>1.39</v>
      </c>
      <c r="H3955" s="494">
        <v>5.56</v>
      </c>
    </row>
    <row r="3956" spans="1:8">
      <c r="B3956" s="130" t="s">
        <v>1252</v>
      </c>
      <c r="C3956" s="229" t="s">
        <v>1253</v>
      </c>
      <c r="D3956" s="130" t="s">
        <v>119</v>
      </c>
      <c r="E3956" s="130" t="s">
        <v>144</v>
      </c>
      <c r="F3956" s="230">
        <v>8</v>
      </c>
      <c r="G3956" s="494">
        <v>0.35</v>
      </c>
      <c r="H3956" s="494">
        <v>2.8</v>
      </c>
    </row>
    <row r="3957" spans="1:8" ht="25.5">
      <c r="B3957" s="130" t="s">
        <v>1716</v>
      </c>
      <c r="C3957" s="229" t="s">
        <v>1717</v>
      </c>
      <c r="D3957" s="130" t="s">
        <v>119</v>
      </c>
      <c r="E3957" s="130" t="s">
        <v>144</v>
      </c>
      <c r="F3957" s="230">
        <v>10</v>
      </c>
      <c r="G3957" s="494">
        <v>1.04</v>
      </c>
      <c r="H3957" s="494">
        <v>10.4</v>
      </c>
    </row>
    <row r="3958" spans="1:8">
      <c r="B3958" s="130" t="s">
        <v>1254</v>
      </c>
      <c r="C3958" s="229" t="s">
        <v>1255</v>
      </c>
      <c r="D3958" s="130" t="s">
        <v>119</v>
      </c>
      <c r="E3958" s="130" t="s">
        <v>173</v>
      </c>
      <c r="F3958" s="230">
        <v>1.28</v>
      </c>
      <c r="G3958" s="494">
        <v>2.9</v>
      </c>
      <c r="H3958" s="494">
        <v>3.71</v>
      </c>
    </row>
    <row r="3959" spans="1:8">
      <c r="B3959" s="105"/>
      <c r="C3959" s="105"/>
      <c r="D3959" s="105"/>
      <c r="E3959" s="105"/>
      <c r="F3959" s="629" t="s">
        <v>604</v>
      </c>
      <c r="G3959" s="629"/>
      <c r="H3959" s="495">
        <v>28.99</v>
      </c>
    </row>
    <row r="3960" spans="1:8" ht="12.75" customHeight="1">
      <c r="B3960" s="628" t="s">
        <v>607</v>
      </c>
      <c r="C3960" s="628"/>
      <c r="D3960" s="103" t="s">
        <v>579</v>
      </c>
      <c r="E3960" s="103" t="s">
        <v>580</v>
      </c>
      <c r="F3960" s="103" t="s">
        <v>581</v>
      </c>
      <c r="G3960" s="103" t="s">
        <v>582</v>
      </c>
      <c r="H3960" s="103" t="s">
        <v>583</v>
      </c>
    </row>
    <row r="3961" spans="1:8">
      <c r="B3961" s="130" t="s">
        <v>1408</v>
      </c>
      <c r="C3961" s="229" t="s">
        <v>1409</v>
      </c>
      <c r="D3961" s="130" t="s">
        <v>119</v>
      </c>
      <c r="E3961" s="130" t="s">
        <v>121</v>
      </c>
      <c r="F3961" s="230">
        <v>5.0091000000000001</v>
      </c>
      <c r="G3961" s="494">
        <v>24.4</v>
      </c>
      <c r="H3961" s="494">
        <v>122.22</v>
      </c>
    </row>
    <row r="3962" spans="1:8">
      <c r="B3962" s="130" t="s">
        <v>1782</v>
      </c>
      <c r="C3962" s="229" t="s">
        <v>1783</v>
      </c>
      <c r="D3962" s="130" t="s">
        <v>119</v>
      </c>
      <c r="E3962" s="130" t="s">
        <v>121</v>
      </c>
      <c r="F3962" s="230">
        <v>5.0091000000000001</v>
      </c>
      <c r="G3962" s="494">
        <v>33.04</v>
      </c>
      <c r="H3962" s="494">
        <v>165.5</v>
      </c>
    </row>
    <row r="3963" spans="1:8" ht="12.75" customHeight="1">
      <c r="B3963" s="105"/>
      <c r="C3963" s="105"/>
      <c r="D3963" s="105"/>
      <c r="E3963" s="105"/>
      <c r="F3963" s="629" t="s">
        <v>610</v>
      </c>
      <c r="G3963" s="629"/>
      <c r="H3963" s="495">
        <v>287.72000000000003</v>
      </c>
    </row>
    <row r="3964" spans="1:8" ht="12.75" customHeight="1">
      <c r="B3964" s="105"/>
      <c r="C3964" s="105"/>
      <c r="D3964" s="105"/>
      <c r="E3964" s="105"/>
      <c r="F3964" s="630" t="s">
        <v>464</v>
      </c>
      <c r="G3964" s="630"/>
      <c r="H3964" s="102">
        <v>14297.81</v>
      </c>
    </row>
    <row r="3965" spans="1:8">
      <c r="B3965" s="105"/>
      <c r="C3965" s="105"/>
      <c r="D3965" s="105"/>
      <c r="E3965" s="105"/>
      <c r="F3965" s="634"/>
      <c r="G3965" s="634"/>
      <c r="H3965" s="634"/>
    </row>
    <row r="3966" spans="1:8" ht="24.75" customHeight="1">
      <c r="A3966" s="178" t="str">
        <f>'3 - PLAN. ORÇAMENTÁRIA'!A679</f>
        <v>7.1.1.2.1</v>
      </c>
      <c r="B3966" s="242">
        <f>VLOOKUP(A3966,'3 - PLAN. ORÇAMENTÁRIA'!$A$16:$B$721,2,FALSE)</f>
        <v>97327</v>
      </c>
      <c r="C3966" s="631" t="str">
        <f>VLOOKUP(A3966,'3 - PLAN. ORÇAMENTÁRIA'!$A$16:$C$721,3,FALSE)</f>
        <v>TUBO EM COBRE FLEXÍVEL, DN 1/4", COM ISOLAMENTO, INSTALADO EM RAMAL DE ALIMENTAÇÃO DE AR CONDICIONADO COM CONDENSADORA INDIVIDUAL FORNECIMENTO E INSTALAÇÃO. AF_12/2015 (INCLUSO CONEXÕES)</v>
      </c>
      <c r="D3966" s="632"/>
      <c r="E3966" s="632"/>
      <c r="F3966" s="632"/>
      <c r="G3966" s="633"/>
      <c r="H3966" s="437" t="str">
        <f>VLOOKUP(A3966,'3 - PLAN. ORÇAMENTÁRIA'!$A$17:$E$721,5,FALSE)</f>
        <v>M</v>
      </c>
    </row>
    <row r="3967" spans="1:8">
      <c r="B3967" s="628" t="s">
        <v>593</v>
      </c>
      <c r="C3967" s="628"/>
      <c r="D3967" s="103" t="s">
        <v>579</v>
      </c>
      <c r="E3967" s="103" t="s">
        <v>580</v>
      </c>
      <c r="F3967" s="103" t="s">
        <v>581</v>
      </c>
      <c r="G3967" s="103" t="s">
        <v>582</v>
      </c>
      <c r="H3967" s="103" t="s">
        <v>583</v>
      </c>
    </row>
    <row r="3968" spans="1:8" ht="38.25">
      <c r="B3968" s="130" t="s">
        <v>1794</v>
      </c>
      <c r="C3968" s="229" t="s">
        <v>1795</v>
      </c>
      <c r="D3968" s="130" t="s">
        <v>119</v>
      </c>
      <c r="E3968" s="130" t="s">
        <v>173</v>
      </c>
      <c r="F3968" s="230">
        <v>1.0210999999999999</v>
      </c>
      <c r="G3968" s="494">
        <v>3.65</v>
      </c>
      <c r="H3968" s="494">
        <v>3.73</v>
      </c>
    </row>
    <row r="3969" spans="1:8" ht="25.5">
      <c r="B3969" s="130" t="s">
        <v>1796</v>
      </c>
      <c r="C3969" s="229" t="s">
        <v>1797</v>
      </c>
      <c r="D3969" s="130" t="s">
        <v>119</v>
      </c>
      <c r="E3969" s="130" t="s">
        <v>173</v>
      </c>
      <c r="F3969" s="230">
        <v>1.0210999999999999</v>
      </c>
      <c r="G3969" s="494">
        <v>32.86</v>
      </c>
      <c r="H3969" s="494">
        <v>33.549999999999997</v>
      </c>
    </row>
    <row r="3970" spans="1:8">
      <c r="B3970" s="105"/>
      <c r="C3970" s="105"/>
      <c r="D3970" s="105"/>
      <c r="E3970" s="105"/>
      <c r="F3970" s="629" t="s">
        <v>604</v>
      </c>
      <c r="G3970" s="629"/>
      <c r="H3970" s="495">
        <v>37.28</v>
      </c>
    </row>
    <row r="3971" spans="1:8" ht="12.75" customHeight="1">
      <c r="B3971" s="628" t="s">
        <v>607</v>
      </c>
      <c r="C3971" s="628"/>
      <c r="D3971" s="103" t="s">
        <v>579</v>
      </c>
      <c r="E3971" s="103" t="s">
        <v>580</v>
      </c>
      <c r="F3971" s="103" t="s">
        <v>581</v>
      </c>
      <c r="G3971" s="103" t="s">
        <v>582</v>
      </c>
      <c r="H3971" s="103" t="s">
        <v>583</v>
      </c>
    </row>
    <row r="3972" spans="1:8">
      <c r="B3972" s="130" t="s">
        <v>1296</v>
      </c>
      <c r="C3972" s="229" t="s">
        <v>611</v>
      </c>
      <c r="D3972" s="130" t="s">
        <v>119</v>
      </c>
      <c r="E3972" s="130" t="s">
        <v>121</v>
      </c>
      <c r="F3972" s="230">
        <v>5.1999999999999998E-2</v>
      </c>
      <c r="G3972" s="494">
        <v>24.02</v>
      </c>
      <c r="H3972" s="494">
        <v>1.25</v>
      </c>
    </row>
    <row r="3973" spans="1:8">
      <c r="B3973" s="130" t="s">
        <v>1297</v>
      </c>
      <c r="C3973" s="229" t="s">
        <v>612</v>
      </c>
      <c r="D3973" s="130" t="s">
        <v>119</v>
      </c>
      <c r="E3973" s="130" t="s">
        <v>121</v>
      </c>
      <c r="F3973" s="230">
        <v>5.1999999999999998E-2</v>
      </c>
      <c r="G3973" s="494">
        <v>30.62</v>
      </c>
      <c r="H3973" s="494">
        <v>1.59</v>
      </c>
    </row>
    <row r="3974" spans="1:8" ht="12.75" customHeight="1">
      <c r="B3974" s="105"/>
      <c r="C3974" s="105"/>
      <c r="D3974" s="105"/>
      <c r="E3974" s="105"/>
      <c r="F3974" s="629" t="s">
        <v>610</v>
      </c>
      <c r="G3974" s="629"/>
      <c r="H3974" s="495">
        <v>2.84</v>
      </c>
    </row>
    <row r="3975" spans="1:8" ht="12.75" customHeight="1">
      <c r="B3975" s="105"/>
      <c r="C3975" s="105"/>
      <c r="D3975" s="105"/>
      <c r="E3975" s="105"/>
      <c r="F3975" s="630" t="s">
        <v>464</v>
      </c>
      <c r="G3975" s="630"/>
      <c r="H3975" s="102">
        <v>40.1</v>
      </c>
    </row>
    <row r="3976" spans="1:8">
      <c r="B3976" s="105"/>
      <c r="C3976" s="105"/>
      <c r="D3976" s="105"/>
      <c r="E3976" s="105"/>
      <c r="F3976" s="634"/>
      <c r="G3976" s="634"/>
      <c r="H3976" s="634"/>
    </row>
    <row r="3977" spans="1:8" ht="24.75" customHeight="1">
      <c r="A3977" s="178" t="str">
        <f>'3 - PLAN. ORÇAMENTÁRIA'!A680</f>
        <v>7.1.1.2.2</v>
      </c>
      <c r="B3977" s="242">
        <f>VLOOKUP(A3977,'3 - PLAN. ORÇAMENTÁRIA'!$A$16:$B$721,2,FALSE)</f>
        <v>97328</v>
      </c>
      <c r="C3977" s="631" t="str">
        <f>VLOOKUP(A3977,'3 - PLAN. ORÇAMENTÁRIA'!$A$16:$C$721,3,FALSE)</f>
        <v>TUBO EM COBRE FLEXÍVEL, DN 3/8", COM ISOLAMENTO, INSTALADO EM RAMAL DE ALIMENTAÇÃO DE AR CONDICIONADO COM CONDENSADORA INDIVIDUAL - FORNECIMENTO E INSTALAÇÃO. AF_12/2015 (INCLUSO CONEXÕES)</v>
      </c>
      <c r="D3977" s="632"/>
      <c r="E3977" s="632"/>
      <c r="F3977" s="632"/>
      <c r="G3977" s="633"/>
      <c r="H3977" s="493" t="str">
        <f>VLOOKUP(A3977,'3 - PLAN. ORÇAMENTÁRIA'!$A$17:$E$721,5,FALSE)</f>
        <v>M</v>
      </c>
    </row>
    <row r="3978" spans="1:8">
      <c r="B3978" s="628" t="s">
        <v>593</v>
      </c>
      <c r="C3978" s="628"/>
      <c r="D3978" s="103" t="s">
        <v>579</v>
      </c>
      <c r="E3978" s="103" t="s">
        <v>580</v>
      </c>
      <c r="F3978" s="103" t="s">
        <v>581</v>
      </c>
      <c r="G3978" s="103" t="s">
        <v>582</v>
      </c>
      <c r="H3978" s="103" t="s">
        <v>583</v>
      </c>
    </row>
    <row r="3979" spans="1:8" ht="38.25">
      <c r="B3979" s="130" t="s">
        <v>1798</v>
      </c>
      <c r="C3979" s="229" t="s">
        <v>1799</v>
      </c>
      <c r="D3979" s="130" t="s">
        <v>119</v>
      </c>
      <c r="E3979" s="130" t="s">
        <v>173</v>
      </c>
      <c r="F3979" s="230">
        <v>1.0210999999999999</v>
      </c>
      <c r="G3979" s="494">
        <v>9.18</v>
      </c>
      <c r="H3979" s="494">
        <v>9.3699999999999992</v>
      </c>
    </row>
    <row r="3980" spans="1:8" ht="25.5">
      <c r="B3980" s="130" t="s">
        <v>1800</v>
      </c>
      <c r="C3980" s="229" t="s">
        <v>1801</v>
      </c>
      <c r="D3980" s="130" t="s">
        <v>119</v>
      </c>
      <c r="E3980" s="130" t="s">
        <v>173</v>
      </c>
      <c r="F3980" s="230">
        <v>1.0210999999999999</v>
      </c>
      <c r="G3980" s="494">
        <v>50.54</v>
      </c>
      <c r="H3980" s="494">
        <v>51.61</v>
      </c>
    </row>
    <row r="3981" spans="1:8">
      <c r="B3981" s="105"/>
      <c r="C3981" s="105"/>
      <c r="D3981" s="105"/>
      <c r="E3981" s="105"/>
      <c r="F3981" s="629" t="s">
        <v>604</v>
      </c>
      <c r="G3981" s="629"/>
      <c r="H3981" s="495">
        <v>60.98</v>
      </c>
    </row>
    <row r="3982" spans="1:8" ht="12.75" customHeight="1">
      <c r="B3982" s="628" t="s">
        <v>607</v>
      </c>
      <c r="C3982" s="628"/>
      <c r="D3982" s="103" t="s">
        <v>579</v>
      </c>
      <c r="E3982" s="103" t="s">
        <v>580</v>
      </c>
      <c r="F3982" s="103" t="s">
        <v>581</v>
      </c>
      <c r="G3982" s="103" t="s">
        <v>582</v>
      </c>
      <c r="H3982" s="103" t="s">
        <v>583</v>
      </c>
    </row>
    <row r="3983" spans="1:8">
      <c r="B3983" s="130" t="s">
        <v>1296</v>
      </c>
      <c r="C3983" s="229" t="s">
        <v>611</v>
      </c>
      <c r="D3983" s="130" t="s">
        <v>119</v>
      </c>
      <c r="E3983" s="130" t="s">
        <v>121</v>
      </c>
      <c r="F3983" s="230">
        <v>5.7000000000000002E-2</v>
      </c>
      <c r="G3983" s="494">
        <v>24.02</v>
      </c>
      <c r="H3983" s="494">
        <v>1.37</v>
      </c>
    </row>
    <row r="3984" spans="1:8">
      <c r="B3984" s="130" t="s">
        <v>1297</v>
      </c>
      <c r="C3984" s="229" t="s">
        <v>612</v>
      </c>
      <c r="D3984" s="130" t="s">
        <v>119</v>
      </c>
      <c r="E3984" s="130" t="s">
        <v>121</v>
      </c>
      <c r="F3984" s="230">
        <v>5.7000000000000002E-2</v>
      </c>
      <c r="G3984" s="494">
        <v>30.62</v>
      </c>
      <c r="H3984" s="494">
        <v>1.75</v>
      </c>
    </row>
    <row r="3985" spans="1:8" ht="12.75" customHeight="1">
      <c r="B3985" s="105"/>
      <c r="C3985" s="105"/>
      <c r="D3985" s="105"/>
      <c r="E3985" s="105"/>
      <c r="F3985" s="629" t="s">
        <v>610</v>
      </c>
      <c r="G3985" s="629"/>
      <c r="H3985" s="495">
        <v>3.12</v>
      </c>
    </row>
    <row r="3986" spans="1:8" ht="12.75" customHeight="1">
      <c r="B3986" s="105"/>
      <c r="C3986" s="105"/>
      <c r="D3986" s="105"/>
      <c r="E3986" s="105"/>
      <c r="F3986" s="630" t="s">
        <v>464</v>
      </c>
      <c r="G3986" s="630"/>
      <c r="H3986" s="102">
        <v>64.069999999999993</v>
      </c>
    </row>
    <row r="3987" spans="1:8">
      <c r="B3987" s="105"/>
      <c r="C3987" s="105"/>
      <c r="D3987" s="105"/>
      <c r="E3987" s="105"/>
      <c r="F3987" s="634"/>
      <c r="G3987" s="634"/>
      <c r="H3987" s="634"/>
    </row>
    <row r="3988" spans="1:8" ht="24.75" customHeight="1">
      <c r="A3988" s="178" t="str">
        <f>'3 - PLAN. ORÇAMENTÁRIA'!A681</f>
        <v>7.1.1.2.3</v>
      </c>
      <c r="B3988" s="242">
        <f>VLOOKUP(A3988,'3 - PLAN. ORÇAMENTÁRIA'!$A$16:$B$721,2,FALSE)</f>
        <v>97329</v>
      </c>
      <c r="C3988" s="631" t="str">
        <f>VLOOKUP(A3988,'3 - PLAN. ORÇAMENTÁRIA'!$A$16:$C$721,3,FALSE)</f>
        <v>TUBO EM COBRE FLEXÍVEL, DN 1/2", COM ISOLAMENTO, INSTALADO EM RAMAL DE ALIMENTAÇÃO DE AR CONDICIONADO COM CONDENSADORA INDIVIDUAL - FORNECIMENTO E INSTALAÇÃO. AF_12/2015 (INCLUSO CONEXÕES)</v>
      </c>
      <c r="D3988" s="632"/>
      <c r="E3988" s="632"/>
      <c r="F3988" s="632"/>
      <c r="G3988" s="633"/>
      <c r="H3988" s="493" t="str">
        <f>VLOOKUP(A3988,'3 - PLAN. ORÇAMENTÁRIA'!$A$17:$E$721,5,FALSE)</f>
        <v>M</v>
      </c>
    </row>
    <row r="3989" spans="1:8">
      <c r="B3989" s="628" t="s">
        <v>593</v>
      </c>
      <c r="C3989" s="628"/>
      <c r="D3989" s="103" t="s">
        <v>579</v>
      </c>
      <c r="E3989" s="103" t="s">
        <v>580</v>
      </c>
      <c r="F3989" s="103" t="s">
        <v>581</v>
      </c>
      <c r="G3989" s="103" t="s">
        <v>582</v>
      </c>
      <c r="H3989" s="103" t="s">
        <v>583</v>
      </c>
    </row>
    <row r="3990" spans="1:8" ht="38.25">
      <c r="B3990" s="130" t="s">
        <v>1802</v>
      </c>
      <c r="C3990" s="229" t="s">
        <v>1803</v>
      </c>
      <c r="D3990" s="130" t="s">
        <v>119</v>
      </c>
      <c r="E3990" s="130" t="s">
        <v>173</v>
      </c>
      <c r="F3990" s="230">
        <v>1.0210999999999999</v>
      </c>
      <c r="G3990" s="494">
        <v>10.09</v>
      </c>
      <c r="H3990" s="494">
        <v>10.3</v>
      </c>
    </row>
    <row r="3991" spans="1:8" ht="25.5">
      <c r="B3991" s="130" t="s">
        <v>1804</v>
      </c>
      <c r="C3991" s="229" t="s">
        <v>1805</v>
      </c>
      <c r="D3991" s="130" t="s">
        <v>119</v>
      </c>
      <c r="E3991" s="130" t="s">
        <v>173</v>
      </c>
      <c r="F3991" s="230">
        <v>1.0210999999999999</v>
      </c>
      <c r="G3991" s="494">
        <v>68.55</v>
      </c>
      <c r="H3991" s="494">
        <v>70</v>
      </c>
    </row>
    <row r="3992" spans="1:8">
      <c r="B3992" s="105"/>
      <c r="C3992" s="105"/>
      <c r="D3992" s="105"/>
      <c r="E3992" s="105"/>
      <c r="F3992" s="629" t="s">
        <v>604</v>
      </c>
      <c r="G3992" s="629"/>
      <c r="H3992" s="495">
        <v>80.3</v>
      </c>
    </row>
    <row r="3993" spans="1:8" ht="12.75" customHeight="1">
      <c r="B3993" s="628" t="s">
        <v>607</v>
      </c>
      <c r="C3993" s="628"/>
      <c r="D3993" s="103" t="s">
        <v>579</v>
      </c>
      <c r="E3993" s="103" t="s">
        <v>580</v>
      </c>
      <c r="F3993" s="103" t="s">
        <v>581</v>
      </c>
      <c r="G3993" s="103" t="s">
        <v>582</v>
      </c>
      <c r="H3993" s="103" t="s">
        <v>583</v>
      </c>
    </row>
    <row r="3994" spans="1:8">
      <c r="B3994" s="130" t="s">
        <v>1296</v>
      </c>
      <c r="C3994" s="229" t="s">
        <v>611</v>
      </c>
      <c r="D3994" s="130" t="s">
        <v>119</v>
      </c>
      <c r="E3994" s="130" t="s">
        <v>121</v>
      </c>
      <c r="F3994" s="230">
        <v>6.0999999999999999E-2</v>
      </c>
      <c r="G3994" s="494">
        <v>24.02</v>
      </c>
      <c r="H3994" s="494">
        <v>1.47</v>
      </c>
    </row>
    <row r="3995" spans="1:8">
      <c r="B3995" s="130" t="s">
        <v>1297</v>
      </c>
      <c r="C3995" s="229" t="s">
        <v>612</v>
      </c>
      <c r="D3995" s="130" t="s">
        <v>119</v>
      </c>
      <c r="E3995" s="130" t="s">
        <v>121</v>
      </c>
      <c r="F3995" s="230">
        <v>6.0999999999999999E-2</v>
      </c>
      <c r="G3995" s="494">
        <v>30.62</v>
      </c>
      <c r="H3995" s="494">
        <v>1.87</v>
      </c>
    </row>
    <row r="3996" spans="1:8" ht="12.75" customHeight="1">
      <c r="B3996" s="105"/>
      <c r="C3996" s="105"/>
      <c r="D3996" s="105"/>
      <c r="E3996" s="105"/>
      <c r="F3996" s="629" t="s">
        <v>610</v>
      </c>
      <c r="G3996" s="629"/>
      <c r="H3996" s="495">
        <v>3.34</v>
      </c>
    </row>
    <row r="3997" spans="1:8" ht="12.75" customHeight="1">
      <c r="B3997" s="105"/>
      <c r="C3997" s="105"/>
      <c r="D3997" s="105"/>
      <c r="E3997" s="105"/>
      <c r="F3997" s="630" t="s">
        <v>464</v>
      </c>
      <c r="G3997" s="630"/>
      <c r="H3997" s="102">
        <v>83.61</v>
      </c>
    </row>
    <row r="3998" spans="1:8">
      <c r="B3998" s="105"/>
      <c r="C3998" s="105"/>
      <c r="D3998" s="105"/>
      <c r="E3998" s="105"/>
      <c r="F3998" s="634"/>
      <c r="G3998" s="634"/>
      <c r="H3998" s="634"/>
    </row>
    <row r="3999" spans="1:8" ht="24.75" customHeight="1">
      <c r="A3999" s="178" t="str">
        <f>'3 - PLAN. ORÇAMENTÁRIA'!A682</f>
        <v>7.1.1.2.4</v>
      </c>
      <c r="B3999" s="242">
        <f>VLOOKUP(A3999,'3 - PLAN. ORÇAMENTÁRIA'!$A$16:$B$721,2,FALSE)</f>
        <v>97330</v>
      </c>
      <c r="C3999" s="631" t="str">
        <f>VLOOKUP(A3999,'3 - PLAN. ORÇAMENTÁRIA'!$A$16:$C$721,3,FALSE)</f>
        <v>TUBO EM COBRE FLEXÍVEL, DN 5/8", COM ISOLAMENTO, INSTALADO EM RAMAL DE ALIMENTAÇÃO DE AR CONDICIONADO COM CONDENSADORA INDIVIDUAL - FORNECIMENTO E INSTALAÇÃO. AF_12/2015 (INCLUSO CONEXÕES)</v>
      </c>
      <c r="D3999" s="632"/>
      <c r="E3999" s="632"/>
      <c r="F3999" s="632"/>
      <c r="G3999" s="633"/>
      <c r="H3999" s="493" t="str">
        <f>VLOOKUP(A3999,'3 - PLAN. ORÇAMENTÁRIA'!$A$17:$E$721,5,FALSE)</f>
        <v>M</v>
      </c>
    </row>
    <row r="4000" spans="1:8">
      <c r="B4000" s="628" t="s">
        <v>593</v>
      </c>
      <c r="C4000" s="628"/>
      <c r="D4000" s="103" t="s">
        <v>579</v>
      </c>
      <c r="E4000" s="103" t="s">
        <v>580</v>
      </c>
      <c r="F4000" s="103" t="s">
        <v>581</v>
      </c>
      <c r="G4000" s="103" t="s">
        <v>582</v>
      </c>
      <c r="H4000" s="103" t="s">
        <v>583</v>
      </c>
    </row>
    <row r="4001" spans="1:8" ht="38.25">
      <c r="B4001" s="130" t="s">
        <v>1806</v>
      </c>
      <c r="C4001" s="229" t="s">
        <v>1807</v>
      </c>
      <c r="D4001" s="130" t="s">
        <v>119</v>
      </c>
      <c r="E4001" s="130" t="s">
        <v>173</v>
      </c>
      <c r="F4001" s="230">
        <v>1.0210999999999999</v>
      </c>
      <c r="G4001" s="494">
        <v>12.06</v>
      </c>
      <c r="H4001" s="494">
        <v>12.31</v>
      </c>
    </row>
    <row r="4002" spans="1:8" ht="25.5">
      <c r="B4002" s="130" t="s">
        <v>1808</v>
      </c>
      <c r="C4002" s="229" t="s">
        <v>1809</v>
      </c>
      <c r="D4002" s="130" t="s">
        <v>119</v>
      </c>
      <c r="E4002" s="130" t="s">
        <v>173</v>
      </c>
      <c r="F4002" s="230">
        <v>1.0210999999999999</v>
      </c>
      <c r="G4002" s="494">
        <v>85.27</v>
      </c>
      <c r="H4002" s="494">
        <v>87.07</v>
      </c>
    </row>
    <row r="4003" spans="1:8">
      <c r="B4003" s="105"/>
      <c r="C4003" s="105"/>
      <c r="D4003" s="105"/>
      <c r="E4003" s="105"/>
      <c r="F4003" s="629" t="s">
        <v>604</v>
      </c>
      <c r="G4003" s="629"/>
      <c r="H4003" s="495">
        <v>99.38</v>
      </c>
    </row>
    <row r="4004" spans="1:8" ht="12.75" customHeight="1">
      <c r="B4004" s="628" t="s">
        <v>607</v>
      </c>
      <c r="C4004" s="628"/>
      <c r="D4004" s="103" t="s">
        <v>579</v>
      </c>
      <c r="E4004" s="103" t="s">
        <v>580</v>
      </c>
      <c r="F4004" s="103" t="s">
        <v>581</v>
      </c>
      <c r="G4004" s="103" t="s">
        <v>582</v>
      </c>
      <c r="H4004" s="103" t="s">
        <v>583</v>
      </c>
    </row>
    <row r="4005" spans="1:8">
      <c r="B4005" s="130" t="s">
        <v>1296</v>
      </c>
      <c r="C4005" s="229" t="s">
        <v>611</v>
      </c>
      <c r="D4005" s="130" t="s">
        <v>119</v>
      </c>
      <c r="E4005" s="130" t="s">
        <v>121</v>
      </c>
      <c r="F4005" s="230">
        <v>6.4000000000000001E-2</v>
      </c>
      <c r="G4005" s="494">
        <v>24.02</v>
      </c>
      <c r="H4005" s="494">
        <v>1.54</v>
      </c>
    </row>
    <row r="4006" spans="1:8">
      <c r="B4006" s="130" t="s">
        <v>1297</v>
      </c>
      <c r="C4006" s="229" t="s">
        <v>612</v>
      </c>
      <c r="D4006" s="130" t="s">
        <v>119</v>
      </c>
      <c r="E4006" s="130" t="s">
        <v>121</v>
      </c>
      <c r="F4006" s="230">
        <v>6.4000000000000001E-2</v>
      </c>
      <c r="G4006" s="494">
        <v>30.62</v>
      </c>
      <c r="H4006" s="494">
        <v>1.96</v>
      </c>
    </row>
    <row r="4007" spans="1:8" ht="12.75" customHeight="1">
      <c r="B4007" s="105"/>
      <c r="C4007" s="105"/>
      <c r="D4007" s="105"/>
      <c r="E4007" s="105"/>
      <c r="F4007" s="629" t="s">
        <v>610</v>
      </c>
      <c r="G4007" s="629"/>
      <c r="H4007" s="495">
        <v>3.5</v>
      </c>
    </row>
    <row r="4008" spans="1:8" ht="12.75" customHeight="1">
      <c r="B4008" s="105"/>
      <c r="C4008" s="105"/>
      <c r="D4008" s="105"/>
      <c r="E4008" s="105"/>
      <c r="F4008" s="630" t="s">
        <v>464</v>
      </c>
      <c r="G4008" s="630"/>
      <c r="H4008" s="102">
        <v>102.85</v>
      </c>
    </row>
    <row r="4009" spans="1:8">
      <c r="B4009" s="105"/>
      <c r="C4009" s="105"/>
      <c r="D4009" s="105"/>
      <c r="E4009" s="105"/>
      <c r="F4009" s="634"/>
      <c r="G4009" s="634"/>
      <c r="H4009" s="634"/>
    </row>
    <row r="4010" spans="1:8" ht="24" customHeight="1">
      <c r="A4010" s="178" t="str">
        <f>'3 - PLAN. ORÇAMENTÁRIA'!A690</f>
        <v>8.1.1</v>
      </c>
      <c r="B4010" s="242">
        <f>VLOOKUP(A4010,'3 - PLAN. ORÇAMENTÁRIA'!$A$16:$B$721,2,FALSE)</f>
        <v>37558</v>
      </c>
      <c r="C4010" s="631" t="str">
        <f>VLOOKUP(A4010,'3 - PLAN. ORÇAMENTÁRIA'!$A$16:$C$721,3,FALSE)</f>
        <v>PLACA DE SINALIZACAO ROTA DE FUGA, FOTOLUMINESCENTE, RETANGULAR, *20 X 40* CM ANTI-CHAMAS</v>
      </c>
      <c r="D4010" s="632"/>
      <c r="E4010" s="632"/>
      <c r="F4010" s="632"/>
      <c r="G4010" s="633"/>
      <c r="H4010" s="432" t="str">
        <f>VLOOKUP(A4010,'3 - PLAN. ORÇAMENTÁRIA'!$A$17:$E$721,5,FALSE)</f>
        <v>UN</v>
      </c>
    </row>
    <row r="4011" spans="1:8">
      <c r="B4011" s="628" t="s">
        <v>593</v>
      </c>
      <c r="C4011" s="628"/>
      <c r="D4011" s="103" t="s">
        <v>579</v>
      </c>
      <c r="E4011" s="103" t="s">
        <v>580</v>
      </c>
      <c r="F4011" s="103" t="s">
        <v>581</v>
      </c>
      <c r="G4011" s="103" t="s">
        <v>582</v>
      </c>
      <c r="H4011" s="103" t="s">
        <v>583</v>
      </c>
    </row>
    <row r="4012" spans="1:8" ht="25.5">
      <c r="B4012" s="130" t="s">
        <v>760</v>
      </c>
      <c r="C4012" s="229" t="s">
        <v>1812</v>
      </c>
      <c r="D4012" s="130" t="s">
        <v>119</v>
      </c>
      <c r="E4012" s="130" t="s">
        <v>144</v>
      </c>
      <c r="F4012" s="230">
        <v>1</v>
      </c>
      <c r="G4012" s="494">
        <v>46.61</v>
      </c>
      <c r="H4012" s="494">
        <v>46.61</v>
      </c>
    </row>
    <row r="4013" spans="1:8">
      <c r="B4013" s="105"/>
      <c r="C4013" s="105"/>
      <c r="D4013" s="105"/>
      <c r="E4013" s="105"/>
      <c r="F4013" s="629" t="s">
        <v>604</v>
      </c>
      <c r="G4013" s="629"/>
      <c r="H4013" s="495">
        <v>46.61</v>
      </c>
    </row>
    <row r="4014" spans="1:8" ht="12.75" customHeight="1">
      <c r="B4014" s="105"/>
      <c r="C4014" s="105"/>
      <c r="D4014" s="105"/>
      <c r="E4014" s="105"/>
      <c r="F4014" s="630" t="s">
        <v>464</v>
      </c>
      <c r="G4014" s="630"/>
      <c r="H4014" s="102">
        <v>46.61</v>
      </c>
    </row>
    <row r="4015" spans="1:8">
      <c r="B4015" s="105"/>
      <c r="C4015" s="105"/>
      <c r="D4015" s="105"/>
      <c r="E4015" s="105"/>
      <c r="F4015" s="634"/>
      <c r="G4015" s="634"/>
      <c r="H4015" s="634"/>
    </row>
    <row r="4016" spans="1:8" ht="24" customHeight="1">
      <c r="A4016" s="178" t="str">
        <f>'3 - PLAN. ORÇAMENTÁRIA'!A691</f>
        <v>8.1.2</v>
      </c>
      <c r="B4016" s="242">
        <f>VLOOKUP(A4016,'3 - PLAN. ORÇAMENTÁRIA'!$A$16:$B$721,2,FALSE)</f>
        <v>37556</v>
      </c>
      <c r="C4016" s="631" t="str">
        <f>VLOOKUP(A4016,'3 - PLAN. ORÇAMENTÁRIA'!$A$16:$C$721,3,FALSE)</f>
        <v>PLACA DE SINALIZACAO EXTINTOR, FOTOLUMINESCENTE, QUADRADA, *20 X 20* CM ANTI-CHAMAS</v>
      </c>
      <c r="D4016" s="632"/>
      <c r="E4016" s="632"/>
      <c r="F4016" s="632"/>
      <c r="G4016" s="633"/>
      <c r="H4016" s="432" t="str">
        <f>VLOOKUP(A4016,'3 - PLAN. ORÇAMENTÁRIA'!$A$17:$E$721,5,FALSE)</f>
        <v>UN</v>
      </c>
    </row>
    <row r="4017" spans="1:8">
      <c r="B4017" s="628" t="s">
        <v>593</v>
      </c>
      <c r="C4017" s="628"/>
      <c r="D4017" s="103" t="s">
        <v>579</v>
      </c>
      <c r="E4017" s="103" t="s">
        <v>580</v>
      </c>
      <c r="F4017" s="103" t="s">
        <v>581</v>
      </c>
      <c r="G4017" s="103" t="s">
        <v>582</v>
      </c>
      <c r="H4017" s="103" t="s">
        <v>583</v>
      </c>
    </row>
    <row r="4018" spans="1:8" ht="25.5">
      <c r="B4018" s="130" t="s">
        <v>762</v>
      </c>
      <c r="C4018" s="229" t="s">
        <v>1813</v>
      </c>
      <c r="D4018" s="130" t="s">
        <v>119</v>
      </c>
      <c r="E4018" s="130" t="s">
        <v>144</v>
      </c>
      <c r="F4018" s="230">
        <v>1</v>
      </c>
      <c r="G4018" s="494">
        <v>28.91</v>
      </c>
      <c r="H4018" s="494">
        <v>28.91</v>
      </c>
    </row>
    <row r="4019" spans="1:8">
      <c r="B4019" s="105"/>
      <c r="C4019" s="105"/>
      <c r="D4019" s="105"/>
      <c r="E4019" s="105"/>
      <c r="F4019" s="629" t="s">
        <v>604</v>
      </c>
      <c r="G4019" s="629"/>
      <c r="H4019" s="495">
        <v>28.91</v>
      </c>
    </row>
    <row r="4020" spans="1:8" ht="12.75" customHeight="1">
      <c r="B4020" s="105"/>
      <c r="C4020" s="105"/>
      <c r="D4020" s="105"/>
      <c r="E4020" s="105"/>
      <c r="F4020" s="630" t="s">
        <v>464</v>
      </c>
      <c r="G4020" s="630"/>
      <c r="H4020" s="102">
        <v>28.91</v>
      </c>
    </row>
    <row r="4021" spans="1:8">
      <c r="B4021" s="105"/>
      <c r="C4021" s="105"/>
      <c r="D4021" s="105"/>
      <c r="E4021" s="105"/>
      <c r="F4021" s="634"/>
      <c r="G4021" s="634"/>
      <c r="H4021" s="634"/>
    </row>
    <row r="4022" spans="1:8" ht="24" customHeight="1">
      <c r="A4022" s="178" t="str">
        <f>'3 - PLAN. ORÇAMENTÁRIA'!A695</f>
        <v>8.3.1</v>
      </c>
      <c r="B4022" s="242">
        <f>VLOOKUP(A4022,'3 - PLAN. ORÇAMENTÁRIA'!$A$16:$B$721,2,FALSE)</f>
        <v>97599</v>
      </c>
      <c r="C4022" s="631" t="str">
        <f>VLOOKUP(A4022,'3 - PLAN. ORÇAMENTÁRIA'!$A$16:$C$721,3,FALSE)</f>
        <v>LUMINÁRIA DE EMERGÊNCIA, COM 30 LÂMPADAS LED DE 2 W, SEM REATOR - FORNECIMENTO E INSTALAÇÃO. AF_02/2020</v>
      </c>
      <c r="D4022" s="632"/>
      <c r="E4022" s="632"/>
      <c r="F4022" s="632"/>
      <c r="G4022" s="633"/>
      <c r="H4022" s="432" t="str">
        <f>VLOOKUP(A4022,'3 - PLAN. ORÇAMENTÁRIA'!$A$17:$E$721,5,FALSE)</f>
        <v>UN</v>
      </c>
    </row>
    <row r="4023" spans="1:8">
      <c r="B4023" s="628" t="s">
        <v>593</v>
      </c>
      <c r="C4023" s="628"/>
      <c r="D4023" s="103" t="s">
        <v>579</v>
      </c>
      <c r="E4023" s="103" t="s">
        <v>580</v>
      </c>
      <c r="F4023" s="103" t="s">
        <v>581</v>
      </c>
      <c r="G4023" s="103" t="s">
        <v>582</v>
      </c>
      <c r="H4023" s="103" t="s">
        <v>583</v>
      </c>
    </row>
    <row r="4024" spans="1:8">
      <c r="B4024" s="130" t="s">
        <v>2536</v>
      </c>
      <c r="C4024" s="229" t="s">
        <v>2537</v>
      </c>
      <c r="D4024" s="130" t="s">
        <v>119</v>
      </c>
      <c r="E4024" s="130" t="s">
        <v>144</v>
      </c>
      <c r="F4024" s="230">
        <v>1</v>
      </c>
      <c r="G4024" s="494">
        <v>12.53</v>
      </c>
      <c r="H4024" s="494">
        <v>12.53</v>
      </c>
    </row>
    <row r="4025" spans="1:8">
      <c r="B4025" s="105"/>
      <c r="C4025" s="105"/>
      <c r="D4025" s="105"/>
      <c r="E4025" s="105"/>
      <c r="F4025" s="629" t="s">
        <v>604</v>
      </c>
      <c r="G4025" s="629"/>
      <c r="H4025" s="495">
        <v>12.53</v>
      </c>
    </row>
    <row r="4026" spans="1:8" ht="12.75" customHeight="1">
      <c r="B4026" s="628" t="s">
        <v>607</v>
      </c>
      <c r="C4026" s="628"/>
      <c r="D4026" s="103" t="s">
        <v>579</v>
      </c>
      <c r="E4026" s="103" t="s">
        <v>580</v>
      </c>
      <c r="F4026" s="103" t="s">
        <v>581</v>
      </c>
      <c r="G4026" s="103" t="s">
        <v>582</v>
      </c>
      <c r="H4026" s="103" t="s">
        <v>583</v>
      </c>
    </row>
    <row r="4027" spans="1:8">
      <c r="B4027" s="130" t="s">
        <v>1256</v>
      </c>
      <c r="C4027" s="229" t="s">
        <v>608</v>
      </c>
      <c r="D4027" s="130" t="s">
        <v>119</v>
      </c>
      <c r="E4027" s="130" t="s">
        <v>121</v>
      </c>
      <c r="F4027" s="230">
        <v>5.5156200000000002E-2</v>
      </c>
      <c r="G4027" s="494">
        <v>25</v>
      </c>
      <c r="H4027" s="494">
        <v>1.38</v>
      </c>
    </row>
    <row r="4028" spans="1:8">
      <c r="B4028" s="130" t="s">
        <v>1257</v>
      </c>
      <c r="C4028" s="229" t="s">
        <v>609</v>
      </c>
      <c r="D4028" s="130" t="s">
        <v>119</v>
      </c>
      <c r="E4028" s="130" t="s">
        <v>121</v>
      </c>
      <c r="F4028" s="230">
        <v>0.17649999999999999</v>
      </c>
      <c r="G4028" s="494">
        <v>31.72</v>
      </c>
      <c r="H4028" s="494">
        <v>5.6</v>
      </c>
    </row>
    <row r="4029" spans="1:8" ht="12.75" customHeight="1">
      <c r="B4029" s="105"/>
      <c r="C4029" s="105"/>
      <c r="D4029" s="105"/>
      <c r="E4029" s="105"/>
      <c r="F4029" s="629" t="s">
        <v>610</v>
      </c>
      <c r="G4029" s="629"/>
      <c r="H4029" s="495">
        <v>6.98</v>
      </c>
    </row>
    <row r="4030" spans="1:8" ht="12.75" customHeight="1">
      <c r="B4030" s="105"/>
      <c r="C4030" s="105"/>
      <c r="D4030" s="105"/>
      <c r="E4030" s="105"/>
      <c r="F4030" s="630" t="s">
        <v>464</v>
      </c>
      <c r="G4030" s="630"/>
      <c r="H4030" s="102">
        <v>19.489999999999998</v>
      </c>
    </row>
    <row r="4031" spans="1:8">
      <c r="B4031" s="105"/>
      <c r="C4031" s="105"/>
      <c r="D4031" s="105"/>
      <c r="E4031" s="105"/>
      <c r="F4031" s="634"/>
      <c r="G4031" s="634"/>
      <c r="H4031" s="634"/>
    </row>
    <row r="4032" spans="1:8" ht="24" customHeight="1">
      <c r="A4032" s="178" t="str">
        <f>'3 - PLAN. ORÇAMENTÁRIA'!A698</f>
        <v>9.1.1</v>
      </c>
      <c r="B4032" s="242">
        <f>VLOOKUP(A4032,'3 - PLAN. ORÇAMENTÁRIA'!$A$16:$B$721,2,FALSE)</f>
        <v>99818</v>
      </c>
      <c r="C4032" s="631" t="str">
        <f>VLOOKUP(A4032,'3 - PLAN. ORÇAMENTÁRIA'!$A$16:$C$721,3,FALSE)</f>
        <v>LIMPEZA DE BACIA SANITÁRIA, BIDÊ OU MICTÓRIO EM LOUÇA, INCLUSIVE METAIS CORRESPONDENTES. AF_04/2019</v>
      </c>
      <c r="D4032" s="632"/>
      <c r="E4032" s="632"/>
      <c r="F4032" s="632"/>
      <c r="G4032" s="633"/>
      <c r="H4032" s="432" t="str">
        <f>VLOOKUP(A4032,'3 - PLAN. ORÇAMENTÁRIA'!$A$17:$E$721,5,FALSE)</f>
        <v>UN</v>
      </c>
    </row>
    <row r="4033" spans="1:8">
      <c r="B4033" s="628" t="s">
        <v>593</v>
      </c>
      <c r="C4033" s="628"/>
      <c r="D4033" s="103" t="s">
        <v>579</v>
      </c>
      <c r="E4033" s="103" t="s">
        <v>580</v>
      </c>
      <c r="F4033" s="103" t="s">
        <v>581</v>
      </c>
      <c r="G4033" s="103" t="s">
        <v>582</v>
      </c>
      <c r="H4033" s="103" t="s">
        <v>583</v>
      </c>
    </row>
    <row r="4034" spans="1:8">
      <c r="B4034" s="130" t="s">
        <v>2737</v>
      </c>
      <c r="C4034" s="229" t="s">
        <v>2738</v>
      </c>
      <c r="D4034" s="130" t="s">
        <v>119</v>
      </c>
      <c r="E4034" s="130" t="s">
        <v>107</v>
      </c>
      <c r="F4034" s="230">
        <v>0.16700000000000001</v>
      </c>
      <c r="G4034" s="494">
        <v>9.33</v>
      </c>
      <c r="H4034" s="494">
        <v>1.56</v>
      </c>
    </row>
    <row r="4035" spans="1:8">
      <c r="B4035" s="130" t="s">
        <v>2739</v>
      </c>
      <c r="C4035" s="229" t="s">
        <v>2740</v>
      </c>
      <c r="D4035" s="130" t="s">
        <v>119</v>
      </c>
      <c r="E4035" s="130" t="s">
        <v>107</v>
      </c>
      <c r="F4035" s="230">
        <v>0.1</v>
      </c>
      <c r="G4035" s="494">
        <v>12.23</v>
      </c>
      <c r="H4035" s="494">
        <v>1.22</v>
      </c>
    </row>
    <row r="4036" spans="1:8">
      <c r="B4036" s="105"/>
      <c r="C4036" s="105"/>
      <c r="D4036" s="105"/>
      <c r="E4036" s="105"/>
      <c r="F4036" s="629" t="s">
        <v>604</v>
      </c>
      <c r="G4036" s="629"/>
      <c r="H4036" s="495">
        <v>2.78</v>
      </c>
    </row>
    <row r="4037" spans="1:8" ht="12.75" customHeight="1">
      <c r="B4037" s="628" t="s">
        <v>607</v>
      </c>
      <c r="C4037" s="628"/>
      <c r="D4037" s="103" t="s">
        <v>579</v>
      </c>
      <c r="E4037" s="103" t="s">
        <v>580</v>
      </c>
      <c r="F4037" s="103" t="s">
        <v>581</v>
      </c>
      <c r="G4037" s="103" t="s">
        <v>582</v>
      </c>
      <c r="H4037" s="103" t="s">
        <v>583</v>
      </c>
    </row>
    <row r="4038" spans="1:8">
      <c r="B4038" s="130" t="s">
        <v>625</v>
      </c>
      <c r="C4038" s="229" t="s">
        <v>626</v>
      </c>
      <c r="D4038" s="130" t="s">
        <v>119</v>
      </c>
      <c r="E4038" s="130" t="s">
        <v>121</v>
      </c>
      <c r="F4038" s="230">
        <v>0.124</v>
      </c>
      <c r="G4038" s="494">
        <v>23.75</v>
      </c>
      <c r="H4038" s="494">
        <v>2.95</v>
      </c>
    </row>
    <row r="4039" spans="1:8" ht="12.75" customHeight="1">
      <c r="B4039" s="105"/>
      <c r="C4039" s="105"/>
      <c r="D4039" s="105"/>
      <c r="E4039" s="105"/>
      <c r="F4039" s="629" t="s">
        <v>610</v>
      </c>
      <c r="G4039" s="629"/>
      <c r="H4039" s="495">
        <v>2.95</v>
      </c>
    </row>
    <row r="4040" spans="1:8" ht="12.75" customHeight="1">
      <c r="B4040" s="105"/>
      <c r="C4040" s="105"/>
      <c r="D4040" s="105"/>
      <c r="E4040" s="105"/>
      <c r="F4040" s="630" t="s">
        <v>464</v>
      </c>
      <c r="G4040" s="630"/>
      <c r="H4040" s="102">
        <v>5.71</v>
      </c>
    </row>
    <row r="4041" spans="1:8">
      <c r="B4041" s="105"/>
      <c r="C4041" s="105"/>
      <c r="D4041" s="105"/>
      <c r="E4041" s="105"/>
      <c r="F4041" s="634"/>
      <c r="G4041" s="634"/>
      <c r="H4041" s="634"/>
    </row>
    <row r="4042" spans="1:8" ht="24" customHeight="1">
      <c r="A4042" s="178" t="str">
        <f>'3 - PLAN. ORÇAMENTÁRIA'!A699</f>
        <v>9.1.2</v>
      </c>
      <c r="B4042" s="242">
        <f>VLOOKUP(A4042,'3 - PLAN. ORÇAMENTÁRIA'!$A$16:$B$721,2,FALSE)</f>
        <v>99826</v>
      </c>
      <c r="C4042" s="631" t="str">
        <f>VLOOKUP(A4042,'3 - PLAN. ORÇAMENTÁRIA'!$A$16:$C$721,3,FALSE)</f>
        <v>LIMPEZA DE FORRO REMOVÍVEL COM PANO ÚMIDO. AF_04/2019</v>
      </c>
      <c r="D4042" s="632"/>
      <c r="E4042" s="632"/>
      <c r="F4042" s="632"/>
      <c r="G4042" s="633"/>
      <c r="H4042" s="493" t="str">
        <f>VLOOKUP(A4042,'3 - PLAN. ORÇAMENTÁRIA'!$A$17:$E$721,5,FALSE)</f>
        <v>M2</v>
      </c>
    </row>
    <row r="4043" spans="1:8" ht="12.75" customHeight="1">
      <c r="B4043" s="628" t="s">
        <v>607</v>
      </c>
      <c r="C4043" s="628"/>
      <c r="D4043" s="103" t="s">
        <v>579</v>
      </c>
      <c r="E4043" s="103" t="s">
        <v>580</v>
      </c>
      <c r="F4043" s="103" t="s">
        <v>581</v>
      </c>
      <c r="G4043" s="103" t="s">
        <v>582</v>
      </c>
      <c r="H4043" s="103" t="s">
        <v>583</v>
      </c>
    </row>
    <row r="4044" spans="1:8">
      <c r="B4044" s="130" t="s">
        <v>625</v>
      </c>
      <c r="C4044" s="229" t="s">
        <v>626</v>
      </c>
      <c r="D4044" s="130" t="s">
        <v>119</v>
      </c>
      <c r="E4044" s="130" t="s">
        <v>121</v>
      </c>
      <c r="F4044" s="230">
        <v>7.1999999999999995E-2</v>
      </c>
      <c r="G4044" s="494">
        <v>23.75</v>
      </c>
      <c r="H4044" s="494">
        <v>1.71</v>
      </c>
    </row>
    <row r="4045" spans="1:8" ht="12.75" customHeight="1">
      <c r="B4045" s="105"/>
      <c r="C4045" s="105"/>
      <c r="D4045" s="105"/>
      <c r="E4045" s="105"/>
      <c r="F4045" s="629" t="s">
        <v>610</v>
      </c>
      <c r="G4045" s="629"/>
      <c r="H4045" s="495">
        <v>1.71</v>
      </c>
    </row>
    <row r="4046" spans="1:8" ht="12.75" customHeight="1">
      <c r="B4046" s="105"/>
      <c r="C4046" s="105"/>
      <c r="D4046" s="105"/>
      <c r="E4046" s="105"/>
      <c r="F4046" s="630" t="s">
        <v>464</v>
      </c>
      <c r="G4046" s="630"/>
      <c r="H4046" s="102">
        <v>1.71</v>
      </c>
    </row>
    <row r="4047" spans="1:8">
      <c r="B4047" s="105"/>
      <c r="C4047" s="105"/>
      <c r="D4047" s="105"/>
      <c r="E4047" s="105"/>
      <c r="F4047" s="634"/>
      <c r="G4047" s="634"/>
      <c r="H4047" s="634"/>
    </row>
    <row r="4048" spans="1:8" ht="24" customHeight="1">
      <c r="A4048" s="178" t="str">
        <f>'3 - PLAN. ORÇAMENTÁRIA'!A700</f>
        <v>9.1.3</v>
      </c>
      <c r="B4048" s="242">
        <f>VLOOKUP(A4048,'3 - PLAN. ORÇAMENTÁRIA'!$A$16:$B$721,2,FALSE)</f>
        <v>99821</v>
      </c>
      <c r="C4048" s="631" t="str">
        <f>VLOOKUP(A4048,'3 - PLAN. ORÇAMENTÁRIA'!$A$16:$C$721,3,FALSE)</f>
        <v>LIMPEZA DE JANELA DE VIDRO COM CAIXILHO EM AÇO/ALUMÍNIO/PVC. AF_04/2019</v>
      </c>
      <c r="D4048" s="632"/>
      <c r="E4048" s="632"/>
      <c r="F4048" s="632"/>
      <c r="G4048" s="633"/>
      <c r="H4048" s="493" t="str">
        <f>VLOOKUP(A4048,'3 - PLAN. ORÇAMENTÁRIA'!$A$17:$E$721,5,FALSE)</f>
        <v>M2</v>
      </c>
    </row>
    <row r="4049" spans="1:8">
      <c r="B4049" s="628" t="s">
        <v>593</v>
      </c>
      <c r="C4049" s="628"/>
      <c r="D4049" s="103" t="s">
        <v>579</v>
      </c>
      <c r="E4049" s="103" t="s">
        <v>580</v>
      </c>
      <c r="F4049" s="103" t="s">
        <v>581</v>
      </c>
      <c r="G4049" s="103" t="s">
        <v>582</v>
      </c>
      <c r="H4049" s="103" t="s">
        <v>583</v>
      </c>
    </row>
    <row r="4050" spans="1:8">
      <c r="B4050" s="130" t="s">
        <v>2739</v>
      </c>
      <c r="C4050" s="229" t="s">
        <v>2740</v>
      </c>
      <c r="D4050" s="130" t="s">
        <v>119</v>
      </c>
      <c r="E4050" s="130" t="s">
        <v>107</v>
      </c>
      <c r="F4050" s="230">
        <v>6.0000000000000001E-3</v>
      </c>
      <c r="G4050" s="494">
        <v>12.23</v>
      </c>
      <c r="H4050" s="494">
        <v>7.0000000000000007E-2</v>
      </c>
    </row>
    <row r="4051" spans="1:8">
      <c r="B4051" s="130" t="s">
        <v>1448</v>
      </c>
      <c r="C4051" s="229" t="s">
        <v>1449</v>
      </c>
      <c r="D4051" s="130" t="s">
        <v>119</v>
      </c>
      <c r="E4051" s="130" t="s">
        <v>107</v>
      </c>
      <c r="F4051" s="230">
        <v>2.3E-2</v>
      </c>
      <c r="G4051" s="494">
        <v>19.78</v>
      </c>
      <c r="H4051" s="494">
        <v>0.45</v>
      </c>
    </row>
    <row r="4052" spans="1:8">
      <c r="B4052" s="130" t="s">
        <v>2741</v>
      </c>
      <c r="C4052" s="229" t="s">
        <v>2742</v>
      </c>
      <c r="D4052" s="130" t="s">
        <v>119</v>
      </c>
      <c r="E4052" s="130" t="s">
        <v>107</v>
      </c>
      <c r="F4052" s="230">
        <v>1.0999999999999999E-2</v>
      </c>
      <c r="G4052" s="494">
        <v>48.72</v>
      </c>
      <c r="H4052" s="494">
        <v>0.54</v>
      </c>
    </row>
    <row r="4053" spans="1:8">
      <c r="B4053" s="105"/>
      <c r="C4053" s="105"/>
      <c r="D4053" s="105"/>
      <c r="E4053" s="105"/>
      <c r="F4053" s="629" t="s">
        <v>604</v>
      </c>
      <c r="G4053" s="629"/>
      <c r="H4053" s="495">
        <v>1.06</v>
      </c>
    </row>
    <row r="4054" spans="1:8" ht="12.75" customHeight="1">
      <c r="B4054" s="628" t="s">
        <v>607</v>
      </c>
      <c r="C4054" s="628"/>
      <c r="D4054" s="103" t="s">
        <v>579</v>
      </c>
      <c r="E4054" s="103" t="s">
        <v>580</v>
      </c>
      <c r="F4054" s="103" t="s">
        <v>581</v>
      </c>
      <c r="G4054" s="103" t="s">
        <v>582</v>
      </c>
      <c r="H4054" s="103" t="s">
        <v>583</v>
      </c>
    </row>
    <row r="4055" spans="1:8">
      <c r="B4055" s="130" t="s">
        <v>625</v>
      </c>
      <c r="C4055" s="229" t="s">
        <v>626</v>
      </c>
      <c r="D4055" s="130" t="s">
        <v>119</v>
      </c>
      <c r="E4055" s="130" t="s">
        <v>121</v>
      </c>
      <c r="F4055" s="230">
        <v>9.1999999999999998E-2</v>
      </c>
      <c r="G4055" s="494">
        <v>23.75</v>
      </c>
      <c r="H4055" s="494">
        <v>2.19</v>
      </c>
    </row>
    <row r="4056" spans="1:8" ht="12.75" customHeight="1">
      <c r="B4056" s="105"/>
      <c r="C4056" s="105"/>
      <c r="D4056" s="105"/>
      <c r="E4056" s="105"/>
      <c r="F4056" s="629" t="s">
        <v>610</v>
      </c>
      <c r="G4056" s="629"/>
      <c r="H4056" s="495">
        <v>2.19</v>
      </c>
    </row>
    <row r="4057" spans="1:8" ht="12.75" customHeight="1">
      <c r="B4057" s="105"/>
      <c r="C4057" s="105"/>
      <c r="D4057" s="105"/>
      <c r="E4057" s="105"/>
      <c r="F4057" s="630" t="s">
        <v>464</v>
      </c>
      <c r="G4057" s="630"/>
      <c r="H4057" s="102">
        <v>3.23</v>
      </c>
    </row>
    <row r="4058" spans="1:8">
      <c r="B4058" s="105"/>
      <c r="C4058" s="105"/>
      <c r="D4058" s="105"/>
      <c r="E4058" s="105"/>
      <c r="F4058" s="634"/>
      <c r="G4058" s="634"/>
      <c r="H4058" s="634"/>
    </row>
    <row r="4059" spans="1:8" ht="24" customHeight="1">
      <c r="A4059" s="178" t="str">
        <f>'3 - PLAN. ORÇAMENTÁRIA'!A701</f>
        <v>9.1.4</v>
      </c>
      <c r="B4059" s="242">
        <f>VLOOKUP(A4059,'3 - PLAN. ORÇAMENTÁRIA'!$A$16:$B$721,2,FALSE)</f>
        <v>99817</v>
      </c>
      <c r="C4059" s="631" t="str">
        <f>VLOOKUP(A4059,'3 - PLAN. ORÇAMENTÁRIA'!$A$16:$C$721,3,FALSE)</f>
        <v>LIMPEZA DE LAVATÓRIO DE LOUÇA COM BANCADA DE PEDRA, INCLUSIVE METAIS CORRESPONDENTES. AF_04/2019</v>
      </c>
      <c r="D4059" s="632"/>
      <c r="E4059" s="632"/>
      <c r="F4059" s="632"/>
      <c r="G4059" s="633"/>
      <c r="H4059" s="493" t="str">
        <f>VLOOKUP(A4059,'3 - PLAN. ORÇAMENTÁRIA'!$A$17:$E$721,5,FALSE)</f>
        <v>UN</v>
      </c>
    </row>
    <row r="4060" spans="1:8">
      <c r="B4060" s="628" t="s">
        <v>593</v>
      </c>
      <c r="C4060" s="628"/>
      <c r="D4060" s="103" t="s">
        <v>579</v>
      </c>
      <c r="E4060" s="103" t="s">
        <v>580</v>
      </c>
      <c r="F4060" s="103" t="s">
        <v>581</v>
      </c>
      <c r="G4060" s="103" t="s">
        <v>582</v>
      </c>
      <c r="H4060" s="103" t="s">
        <v>583</v>
      </c>
    </row>
    <row r="4061" spans="1:8">
      <c r="B4061" s="130" t="s">
        <v>2737</v>
      </c>
      <c r="C4061" s="229" t="s">
        <v>2738</v>
      </c>
      <c r="D4061" s="130" t="s">
        <v>119</v>
      </c>
      <c r="E4061" s="130" t="s">
        <v>107</v>
      </c>
      <c r="F4061" s="230">
        <v>0.16700000000000001</v>
      </c>
      <c r="G4061" s="494">
        <v>9.33</v>
      </c>
      <c r="H4061" s="494">
        <v>1.56</v>
      </c>
    </row>
    <row r="4062" spans="1:8">
      <c r="B4062" s="130" t="s">
        <v>2739</v>
      </c>
      <c r="C4062" s="229" t="s">
        <v>2740</v>
      </c>
      <c r="D4062" s="130" t="s">
        <v>119</v>
      </c>
      <c r="E4062" s="130" t="s">
        <v>107</v>
      </c>
      <c r="F4062" s="230">
        <v>0.1</v>
      </c>
      <c r="G4062" s="494">
        <v>12.23</v>
      </c>
      <c r="H4062" s="494">
        <v>1.22</v>
      </c>
    </row>
    <row r="4063" spans="1:8">
      <c r="B4063" s="105"/>
      <c r="C4063" s="105"/>
      <c r="D4063" s="105"/>
      <c r="E4063" s="105"/>
      <c r="F4063" s="629" t="s">
        <v>604</v>
      </c>
      <c r="G4063" s="629"/>
      <c r="H4063" s="495">
        <v>2.78</v>
      </c>
    </row>
    <row r="4064" spans="1:8" ht="12.75" customHeight="1">
      <c r="B4064" s="628" t="s">
        <v>607</v>
      </c>
      <c r="C4064" s="628"/>
      <c r="D4064" s="103" t="s">
        <v>579</v>
      </c>
      <c r="E4064" s="103" t="s">
        <v>580</v>
      </c>
      <c r="F4064" s="103" t="s">
        <v>581</v>
      </c>
      <c r="G4064" s="103" t="s">
        <v>582</v>
      </c>
      <c r="H4064" s="103" t="s">
        <v>583</v>
      </c>
    </row>
    <row r="4065" spans="1:8">
      <c r="B4065" s="130" t="s">
        <v>625</v>
      </c>
      <c r="C4065" s="229" t="s">
        <v>626</v>
      </c>
      <c r="D4065" s="130" t="s">
        <v>119</v>
      </c>
      <c r="E4065" s="130" t="s">
        <v>121</v>
      </c>
      <c r="F4065" s="230">
        <v>0.124</v>
      </c>
      <c r="G4065" s="494">
        <v>23.75</v>
      </c>
      <c r="H4065" s="494">
        <v>2.95</v>
      </c>
    </row>
    <row r="4066" spans="1:8" ht="12.75" customHeight="1">
      <c r="B4066" s="105"/>
      <c r="C4066" s="105"/>
      <c r="D4066" s="105"/>
      <c r="E4066" s="105"/>
      <c r="F4066" s="629" t="s">
        <v>610</v>
      </c>
      <c r="G4066" s="629"/>
      <c r="H4066" s="495">
        <v>2.95</v>
      </c>
    </row>
    <row r="4067" spans="1:8" ht="12.75" customHeight="1">
      <c r="B4067" s="105"/>
      <c r="C4067" s="105"/>
      <c r="D4067" s="105"/>
      <c r="E4067" s="105"/>
      <c r="F4067" s="630" t="s">
        <v>464</v>
      </c>
      <c r="G4067" s="630"/>
      <c r="H4067" s="102">
        <v>5.71</v>
      </c>
    </row>
    <row r="4068" spans="1:8">
      <c r="B4068" s="105"/>
      <c r="C4068" s="105"/>
      <c r="D4068" s="105"/>
      <c r="E4068" s="105"/>
      <c r="F4068" s="634"/>
      <c r="G4068" s="634"/>
      <c r="H4068" s="634"/>
    </row>
    <row r="4069" spans="1:8" ht="24" customHeight="1">
      <c r="A4069" s="178" t="str">
        <f>'3 - PLAN. ORÇAMENTÁRIA'!A702</f>
        <v>9.1.5</v>
      </c>
      <c r="B4069" s="242">
        <f>VLOOKUP(A4069,'3 - PLAN. ORÇAMENTÁRIA'!$A$16:$B$721,2,FALSE)</f>
        <v>99815</v>
      </c>
      <c r="C4069" s="631" t="str">
        <f>VLOOKUP(A4069,'3 - PLAN. ORÇAMENTÁRIA'!$A$16:$C$721,3,FALSE)</f>
        <v>LIMPEZA DE PIA INOX COM BANCADA DE PEDRA, INCLUSIVE METAIS CORRESPONDENTES. AF_04/2019</v>
      </c>
      <c r="D4069" s="632"/>
      <c r="E4069" s="632"/>
      <c r="F4069" s="632"/>
      <c r="G4069" s="633"/>
      <c r="H4069" s="493" t="str">
        <f>VLOOKUP(A4069,'3 - PLAN. ORÇAMENTÁRIA'!$A$17:$E$721,5,FALSE)</f>
        <v>UN</v>
      </c>
    </row>
    <row r="4070" spans="1:8">
      <c r="B4070" s="628" t="s">
        <v>593</v>
      </c>
      <c r="C4070" s="628"/>
      <c r="D4070" s="103" t="s">
        <v>579</v>
      </c>
      <c r="E4070" s="103" t="s">
        <v>580</v>
      </c>
      <c r="F4070" s="103" t="s">
        <v>581</v>
      </c>
      <c r="G4070" s="103" t="s">
        <v>582</v>
      </c>
      <c r="H4070" s="103" t="s">
        <v>583</v>
      </c>
    </row>
    <row r="4071" spans="1:8">
      <c r="B4071" s="130" t="s">
        <v>2737</v>
      </c>
      <c r="C4071" s="229" t="s">
        <v>2738</v>
      </c>
      <c r="D4071" s="130" t="s">
        <v>119</v>
      </c>
      <c r="E4071" s="130" t="s">
        <v>107</v>
      </c>
      <c r="F4071" s="230">
        <v>0.16700000000000001</v>
      </c>
      <c r="G4071" s="494">
        <v>9.33</v>
      </c>
      <c r="H4071" s="494">
        <v>1.56</v>
      </c>
    </row>
    <row r="4072" spans="1:8">
      <c r="B4072" s="130" t="s">
        <v>2739</v>
      </c>
      <c r="C4072" s="229" t="s">
        <v>2740</v>
      </c>
      <c r="D4072" s="130" t="s">
        <v>119</v>
      </c>
      <c r="E4072" s="130" t="s">
        <v>107</v>
      </c>
      <c r="F4072" s="230">
        <v>0.1</v>
      </c>
      <c r="G4072" s="494">
        <v>12.23</v>
      </c>
      <c r="H4072" s="494">
        <v>1.22</v>
      </c>
    </row>
    <row r="4073" spans="1:8">
      <c r="B4073" s="105"/>
      <c r="C4073" s="105"/>
      <c r="D4073" s="105"/>
      <c r="E4073" s="105"/>
      <c r="F4073" s="629" t="s">
        <v>604</v>
      </c>
      <c r="G4073" s="629"/>
      <c r="H4073" s="495">
        <v>2.78</v>
      </c>
    </row>
    <row r="4074" spans="1:8" ht="12.75" customHeight="1">
      <c r="B4074" s="628" t="s">
        <v>607</v>
      </c>
      <c r="C4074" s="628"/>
      <c r="D4074" s="103" t="s">
        <v>579</v>
      </c>
      <c r="E4074" s="103" t="s">
        <v>580</v>
      </c>
      <c r="F4074" s="103" t="s">
        <v>581</v>
      </c>
      <c r="G4074" s="103" t="s">
        <v>582</v>
      </c>
      <c r="H4074" s="103" t="s">
        <v>583</v>
      </c>
    </row>
    <row r="4075" spans="1:8">
      <c r="B4075" s="130" t="s">
        <v>625</v>
      </c>
      <c r="C4075" s="229" t="s">
        <v>626</v>
      </c>
      <c r="D4075" s="130" t="s">
        <v>119</v>
      </c>
      <c r="E4075" s="130" t="s">
        <v>121</v>
      </c>
      <c r="F4075" s="230">
        <v>0.27300000000000002</v>
      </c>
      <c r="G4075" s="494">
        <v>23.75</v>
      </c>
      <c r="H4075" s="494">
        <v>6.48</v>
      </c>
    </row>
    <row r="4076" spans="1:8" ht="12.75" customHeight="1">
      <c r="B4076" s="105"/>
      <c r="C4076" s="105"/>
      <c r="D4076" s="105"/>
      <c r="E4076" s="105"/>
      <c r="F4076" s="629" t="s">
        <v>610</v>
      </c>
      <c r="G4076" s="629"/>
      <c r="H4076" s="495">
        <v>6.48</v>
      </c>
    </row>
    <row r="4077" spans="1:8" ht="12.75" customHeight="1">
      <c r="B4077" s="105"/>
      <c r="C4077" s="105"/>
      <c r="D4077" s="105"/>
      <c r="E4077" s="105"/>
      <c r="F4077" s="630" t="s">
        <v>464</v>
      </c>
      <c r="G4077" s="630"/>
      <c r="H4077" s="102">
        <v>9.25</v>
      </c>
    </row>
    <row r="4078" spans="1:8">
      <c r="B4078" s="105"/>
      <c r="C4078" s="105"/>
      <c r="D4078" s="105"/>
      <c r="E4078" s="105"/>
      <c r="F4078" s="634"/>
      <c r="G4078" s="634"/>
      <c r="H4078" s="634"/>
    </row>
    <row r="4079" spans="1:8" ht="24" customHeight="1">
      <c r="A4079" s="178" t="str">
        <f>'3 - PLAN. ORÇAMENTÁRIA'!A703</f>
        <v>9.1.6</v>
      </c>
      <c r="B4079" s="242">
        <f>VLOOKUP(A4079,'3 - PLAN. ORÇAMENTÁRIA'!$A$16:$B$721,2,FALSE)</f>
        <v>99803</v>
      </c>
      <c r="C4079" s="631" t="str">
        <f>VLOOKUP(A4079,'3 - PLAN. ORÇAMENTÁRIA'!$A$16:$C$721,3,FALSE)</f>
        <v>LIMPEZA DE PISO CERÂMICO OU PORCELANATO COM PANO ÚMIDO. AF_04/2019</v>
      </c>
      <c r="D4079" s="632"/>
      <c r="E4079" s="632"/>
      <c r="F4079" s="632"/>
      <c r="G4079" s="633"/>
      <c r="H4079" s="493" t="str">
        <f>VLOOKUP(A4079,'3 - PLAN. ORÇAMENTÁRIA'!$A$17:$E$721,5,FALSE)</f>
        <v>M2</v>
      </c>
    </row>
    <row r="4080" spans="1:8" ht="12.75" customHeight="1">
      <c r="B4080" s="628" t="s">
        <v>607</v>
      </c>
      <c r="C4080" s="628"/>
      <c r="D4080" s="103" t="s">
        <v>579</v>
      </c>
      <c r="E4080" s="103" t="s">
        <v>580</v>
      </c>
      <c r="F4080" s="103" t="s">
        <v>581</v>
      </c>
      <c r="G4080" s="103" t="s">
        <v>582</v>
      </c>
      <c r="H4080" s="103" t="s">
        <v>583</v>
      </c>
    </row>
    <row r="4081" spans="1:8">
      <c r="B4081" s="130" t="s">
        <v>625</v>
      </c>
      <c r="C4081" s="229" t="s">
        <v>626</v>
      </c>
      <c r="D4081" s="130" t="s">
        <v>119</v>
      </c>
      <c r="E4081" s="130" t="s">
        <v>121</v>
      </c>
      <c r="F4081" s="230">
        <v>9.7000000000000003E-2</v>
      </c>
      <c r="G4081" s="494">
        <v>23.75</v>
      </c>
      <c r="H4081" s="494">
        <v>2.2999999999999998</v>
      </c>
    </row>
    <row r="4082" spans="1:8" ht="12.75" customHeight="1">
      <c r="B4082" s="105"/>
      <c r="C4082" s="105"/>
      <c r="D4082" s="105"/>
      <c r="E4082" s="105"/>
      <c r="F4082" s="629" t="s">
        <v>610</v>
      </c>
      <c r="G4082" s="629"/>
      <c r="H4082" s="495">
        <v>2.2999999999999998</v>
      </c>
    </row>
    <row r="4083" spans="1:8" ht="12.75" customHeight="1">
      <c r="B4083" s="105"/>
      <c r="C4083" s="105"/>
      <c r="D4083" s="105"/>
      <c r="E4083" s="105"/>
      <c r="F4083" s="630" t="s">
        <v>464</v>
      </c>
      <c r="G4083" s="630"/>
      <c r="H4083" s="102">
        <v>2.2999999999999998</v>
      </c>
    </row>
    <row r="4084" spans="1:8">
      <c r="B4084" s="105"/>
      <c r="C4084" s="105"/>
      <c r="D4084" s="105"/>
      <c r="E4084" s="105"/>
      <c r="F4084" s="634"/>
      <c r="G4084" s="634"/>
      <c r="H4084" s="634"/>
    </row>
    <row r="4085" spans="1:8" ht="24" customHeight="1">
      <c r="A4085" s="178" t="str">
        <f>'3 - PLAN. ORÇAMENTÁRIA'!A704</f>
        <v>9.1.7</v>
      </c>
      <c r="B4085" s="242">
        <f>VLOOKUP(A4085,'3 - PLAN. ORÇAMENTÁRIA'!$A$16:$B$721,2,FALSE)</f>
        <v>99822</v>
      </c>
      <c r="C4085" s="631" t="str">
        <f>VLOOKUP(A4085,'3 - PLAN. ORÇAMENTÁRIA'!$A$16:$C$721,3,FALSE)</f>
        <v>LIMPEZA DE PORTA DE MADEIRA. AF_04/2019</v>
      </c>
      <c r="D4085" s="632"/>
      <c r="E4085" s="632"/>
      <c r="F4085" s="632"/>
      <c r="G4085" s="633"/>
      <c r="H4085" s="493" t="str">
        <f>VLOOKUP(A4085,'3 - PLAN. ORÇAMENTÁRIA'!$A$17:$E$721,5,FALSE)</f>
        <v>M2</v>
      </c>
    </row>
    <row r="4086" spans="1:8" ht="12.75" customHeight="1">
      <c r="B4086" s="628" t="s">
        <v>607</v>
      </c>
      <c r="C4086" s="628"/>
      <c r="D4086" s="103" t="s">
        <v>579</v>
      </c>
      <c r="E4086" s="103" t="s">
        <v>580</v>
      </c>
      <c r="F4086" s="103" t="s">
        <v>581</v>
      </c>
      <c r="G4086" s="103" t="s">
        <v>582</v>
      </c>
      <c r="H4086" s="103" t="s">
        <v>583</v>
      </c>
    </row>
    <row r="4087" spans="1:8">
      <c r="B4087" s="130" t="s">
        <v>625</v>
      </c>
      <c r="C4087" s="229" t="s">
        <v>626</v>
      </c>
      <c r="D4087" s="130" t="s">
        <v>119</v>
      </c>
      <c r="E4087" s="130" t="s">
        <v>121</v>
      </c>
      <c r="F4087" s="230">
        <v>4.7E-2</v>
      </c>
      <c r="G4087" s="494">
        <v>23.75</v>
      </c>
      <c r="H4087" s="494">
        <v>1.1200000000000001</v>
      </c>
    </row>
    <row r="4088" spans="1:8" ht="12.75" customHeight="1">
      <c r="B4088" s="105"/>
      <c r="C4088" s="105"/>
      <c r="D4088" s="105"/>
      <c r="E4088" s="105"/>
      <c r="F4088" s="629" t="s">
        <v>610</v>
      </c>
      <c r="G4088" s="629"/>
      <c r="H4088" s="495">
        <v>1.1200000000000001</v>
      </c>
    </row>
    <row r="4089" spans="1:8" ht="12.75" customHeight="1">
      <c r="B4089" s="105"/>
      <c r="C4089" s="105"/>
      <c r="D4089" s="105"/>
      <c r="E4089" s="105"/>
      <c r="F4089" s="630" t="s">
        <v>464</v>
      </c>
      <c r="G4089" s="630"/>
      <c r="H4089" s="102">
        <v>1.1100000000000001</v>
      </c>
    </row>
    <row r="4090" spans="1:8">
      <c r="B4090" s="105"/>
      <c r="C4090" s="105"/>
      <c r="D4090" s="105"/>
      <c r="E4090" s="105"/>
      <c r="F4090" s="634"/>
      <c r="G4090" s="634"/>
      <c r="H4090" s="634"/>
    </row>
    <row r="4091" spans="1:8" ht="24" customHeight="1">
      <c r="A4091" s="178" t="str">
        <f>'3 - PLAN. ORÇAMENTÁRIA'!A705</f>
        <v>9.1.8</v>
      </c>
      <c r="B4091" s="242">
        <f>VLOOKUP(A4091,'3 - PLAN. ORÇAMENTÁRIA'!$A$16:$B$721,2,FALSE)</f>
        <v>99825</v>
      </c>
      <c r="C4091" s="631" t="str">
        <f>VLOOKUP(A4091,'3 - PLAN. ORÇAMENTÁRIA'!$A$16:$C$721,3,FALSE)</f>
        <v>LIMPEZA DE PORTA DE VIDRO COM CAIXILHO EM AÇO/ ALUMÍNIO/ PVC. AF_04/2019</v>
      </c>
      <c r="D4091" s="632"/>
      <c r="E4091" s="632"/>
      <c r="F4091" s="632"/>
      <c r="G4091" s="633"/>
      <c r="H4091" s="493" t="str">
        <f>VLOOKUP(A4091,'3 - PLAN. ORÇAMENTÁRIA'!$A$17:$E$721,5,FALSE)</f>
        <v>M2</v>
      </c>
    </row>
    <row r="4092" spans="1:8">
      <c r="B4092" s="628" t="s">
        <v>593</v>
      </c>
      <c r="C4092" s="628"/>
      <c r="D4092" s="103" t="s">
        <v>579</v>
      </c>
      <c r="E4092" s="103" t="s">
        <v>580</v>
      </c>
      <c r="F4092" s="103" t="s">
        <v>581</v>
      </c>
      <c r="G4092" s="103" t="s">
        <v>582</v>
      </c>
      <c r="H4092" s="103" t="s">
        <v>583</v>
      </c>
    </row>
    <row r="4093" spans="1:8">
      <c r="B4093" s="130" t="s">
        <v>2739</v>
      </c>
      <c r="C4093" s="229" t="s">
        <v>2740</v>
      </c>
      <c r="D4093" s="130" t="s">
        <v>119</v>
      </c>
      <c r="E4093" s="130" t="s">
        <v>107</v>
      </c>
      <c r="F4093" s="230">
        <v>6.0000000000000001E-3</v>
      </c>
      <c r="G4093" s="494">
        <v>12.23</v>
      </c>
      <c r="H4093" s="494">
        <v>7.0000000000000007E-2</v>
      </c>
    </row>
    <row r="4094" spans="1:8">
      <c r="B4094" s="130" t="s">
        <v>1448</v>
      </c>
      <c r="C4094" s="229" t="s">
        <v>1449</v>
      </c>
      <c r="D4094" s="130" t="s">
        <v>119</v>
      </c>
      <c r="E4094" s="130" t="s">
        <v>107</v>
      </c>
      <c r="F4094" s="230">
        <v>2.3E-2</v>
      </c>
      <c r="G4094" s="494">
        <v>19.78</v>
      </c>
      <c r="H4094" s="494">
        <v>0.45</v>
      </c>
    </row>
    <row r="4095" spans="1:8">
      <c r="B4095" s="130" t="s">
        <v>2741</v>
      </c>
      <c r="C4095" s="229" t="s">
        <v>2742</v>
      </c>
      <c r="D4095" s="130" t="s">
        <v>119</v>
      </c>
      <c r="E4095" s="130" t="s">
        <v>107</v>
      </c>
      <c r="F4095" s="230">
        <v>1.0999999999999999E-2</v>
      </c>
      <c r="G4095" s="494">
        <v>48.72</v>
      </c>
      <c r="H4095" s="494">
        <v>0.54</v>
      </c>
    </row>
    <row r="4096" spans="1:8">
      <c r="B4096" s="105"/>
      <c r="C4096" s="105"/>
      <c r="D4096" s="105"/>
      <c r="E4096" s="105"/>
      <c r="F4096" s="629" t="s">
        <v>604</v>
      </c>
      <c r="G4096" s="629"/>
      <c r="H4096" s="495">
        <v>1.06</v>
      </c>
    </row>
    <row r="4097" spans="1:8" ht="12.75" customHeight="1">
      <c r="B4097" s="628" t="s">
        <v>607</v>
      </c>
      <c r="C4097" s="628"/>
      <c r="D4097" s="103" t="s">
        <v>579</v>
      </c>
      <c r="E4097" s="103" t="s">
        <v>580</v>
      </c>
      <c r="F4097" s="103" t="s">
        <v>581</v>
      </c>
      <c r="G4097" s="103" t="s">
        <v>582</v>
      </c>
      <c r="H4097" s="103" t="s">
        <v>583</v>
      </c>
    </row>
    <row r="4098" spans="1:8">
      <c r="B4098" s="130" t="s">
        <v>625</v>
      </c>
      <c r="C4098" s="229" t="s">
        <v>626</v>
      </c>
      <c r="D4098" s="130" t="s">
        <v>119</v>
      </c>
      <c r="E4098" s="130" t="s">
        <v>121</v>
      </c>
      <c r="F4098" s="230">
        <v>0.11600000000000001</v>
      </c>
      <c r="G4098" s="494">
        <v>23.75</v>
      </c>
      <c r="H4098" s="494">
        <v>2.76</v>
      </c>
    </row>
    <row r="4099" spans="1:8" ht="12.75" customHeight="1">
      <c r="B4099" s="105"/>
      <c r="C4099" s="105"/>
      <c r="D4099" s="105"/>
      <c r="E4099" s="105"/>
      <c r="F4099" s="629" t="s">
        <v>610</v>
      </c>
      <c r="G4099" s="629"/>
      <c r="H4099" s="495">
        <v>2.76</v>
      </c>
    </row>
    <row r="4100" spans="1:8" ht="12.75" customHeight="1">
      <c r="B4100" s="105"/>
      <c r="C4100" s="105"/>
      <c r="D4100" s="105"/>
      <c r="E4100" s="105"/>
      <c r="F4100" s="630" t="s">
        <v>464</v>
      </c>
      <c r="G4100" s="630"/>
      <c r="H4100" s="102">
        <v>3.8</v>
      </c>
    </row>
    <row r="4101" spans="1:8">
      <c r="B4101" s="105"/>
      <c r="C4101" s="105"/>
      <c r="D4101" s="105"/>
      <c r="E4101" s="105"/>
      <c r="F4101" s="634"/>
      <c r="G4101" s="634"/>
      <c r="H4101" s="634"/>
    </row>
    <row r="4102" spans="1:8" s="220" customFormat="1" ht="27" customHeight="1">
      <c r="A4102" s="178" t="str">
        <f>'3 - PLAN. ORÇAMENTÁRIA'!A706</f>
        <v>9.1.9</v>
      </c>
      <c r="B4102" s="242">
        <f>VLOOKUP(A4102,'3 - PLAN. ORÇAMENTÁRIA'!$A$16:$B$721,2,FALSE)</f>
        <v>99806</v>
      </c>
      <c r="C4102" s="631" t="str">
        <f>VLOOKUP(A4102,'3 - PLAN. ORÇAMENTÁRIA'!$A$16:$C$721,3,FALSE)</f>
        <v>LIMPEZA DE REVESTIMENTO CERÂMICO EM PAREDE COM PANO ÚMIDO AF_04/2019</v>
      </c>
      <c r="D4102" s="632"/>
      <c r="E4102" s="632"/>
      <c r="F4102" s="632"/>
      <c r="G4102" s="633"/>
      <c r="H4102" s="493" t="str">
        <f>VLOOKUP(A4102,'3 - PLAN. ORÇAMENTÁRIA'!$A$17:$E$721,5,FALSE)</f>
        <v>M2</v>
      </c>
    </row>
    <row r="4103" spans="1:8" ht="12.75" customHeight="1">
      <c r="B4103" s="628" t="s">
        <v>607</v>
      </c>
      <c r="C4103" s="628"/>
      <c r="D4103" s="103" t="s">
        <v>579</v>
      </c>
      <c r="E4103" s="103" t="s">
        <v>580</v>
      </c>
      <c r="F4103" s="103" t="s">
        <v>581</v>
      </c>
      <c r="G4103" s="103" t="s">
        <v>582</v>
      </c>
      <c r="H4103" s="103" t="s">
        <v>583</v>
      </c>
    </row>
    <row r="4104" spans="1:8">
      <c r="B4104" s="130" t="s">
        <v>625</v>
      </c>
      <c r="C4104" s="229" t="s">
        <v>626</v>
      </c>
      <c r="D4104" s="130" t="s">
        <v>119</v>
      </c>
      <c r="E4104" s="130" t="s">
        <v>121</v>
      </c>
      <c r="F4104" s="230">
        <v>0.04</v>
      </c>
      <c r="G4104" s="494">
        <v>23.75</v>
      </c>
      <c r="H4104" s="494">
        <v>0.95</v>
      </c>
    </row>
    <row r="4105" spans="1:8" ht="12.75" customHeight="1">
      <c r="B4105" s="105"/>
      <c r="C4105" s="105"/>
      <c r="D4105" s="105"/>
      <c r="E4105" s="105"/>
      <c r="F4105" s="629" t="s">
        <v>610</v>
      </c>
      <c r="G4105" s="629"/>
      <c r="H4105" s="495">
        <v>0.95</v>
      </c>
    </row>
    <row r="4106" spans="1:8" ht="12.75" customHeight="1">
      <c r="B4106" s="105"/>
      <c r="C4106" s="105"/>
      <c r="D4106" s="105"/>
      <c r="E4106" s="105"/>
      <c r="F4106" s="630" t="s">
        <v>464</v>
      </c>
      <c r="G4106" s="630"/>
      <c r="H4106" s="102">
        <v>0.95</v>
      </c>
    </row>
    <row r="4107" spans="1:8">
      <c r="B4107" s="105"/>
      <c r="C4107" s="105"/>
      <c r="D4107" s="105"/>
      <c r="E4107" s="105"/>
      <c r="F4107" s="634"/>
      <c r="G4107" s="634"/>
      <c r="H4107" s="634"/>
    </row>
    <row r="4108" spans="1:8" s="220" customFormat="1" ht="27" customHeight="1">
      <c r="A4108" s="178" t="str">
        <f>'3 - PLAN. ORÇAMENTÁRIA'!A707</f>
        <v>9.1.10</v>
      </c>
      <c r="B4108" s="242">
        <f>VLOOKUP(A4108,'3 - PLAN. ORÇAMENTÁRIA'!$A$16:$B$721,2,FALSE)</f>
        <v>99816</v>
      </c>
      <c r="C4108" s="631" t="str">
        <f>VLOOKUP(A4108,'3 - PLAN. ORÇAMENTÁRIA'!$A$16:$C$721,3,FALSE)</f>
        <v>LIMPEZA DE TANQUE OU LAVATÓRIO DE LOUÇA ISOLADO, INCLUSIVE METAIS CORRESPONDENTES. AF_04/2019</v>
      </c>
      <c r="D4108" s="632"/>
      <c r="E4108" s="632"/>
      <c r="F4108" s="632"/>
      <c r="G4108" s="633"/>
      <c r="H4108" s="493" t="str">
        <f>VLOOKUP(A4108,'3 - PLAN. ORÇAMENTÁRIA'!$A$17:$E$721,5,FALSE)</f>
        <v>UN</v>
      </c>
    </row>
    <row r="4109" spans="1:8">
      <c r="B4109" s="628" t="s">
        <v>593</v>
      </c>
      <c r="C4109" s="628"/>
      <c r="D4109" s="103" t="s">
        <v>579</v>
      </c>
      <c r="E4109" s="103" t="s">
        <v>580</v>
      </c>
      <c r="F4109" s="103" t="s">
        <v>581</v>
      </c>
      <c r="G4109" s="103" t="s">
        <v>582</v>
      </c>
      <c r="H4109" s="103" t="s">
        <v>583</v>
      </c>
    </row>
    <row r="4110" spans="1:8">
      <c r="B4110" s="130" t="s">
        <v>2737</v>
      </c>
      <c r="C4110" s="229" t="s">
        <v>2738</v>
      </c>
      <c r="D4110" s="130" t="s">
        <v>119</v>
      </c>
      <c r="E4110" s="130" t="s">
        <v>107</v>
      </c>
      <c r="F4110" s="230">
        <v>0.16700000000000001</v>
      </c>
      <c r="G4110" s="494">
        <v>9.33</v>
      </c>
      <c r="H4110" s="494">
        <v>1.56</v>
      </c>
    </row>
    <row r="4111" spans="1:8">
      <c r="B4111" s="130" t="s">
        <v>2739</v>
      </c>
      <c r="C4111" s="229" t="s">
        <v>2740</v>
      </c>
      <c r="D4111" s="130" t="s">
        <v>119</v>
      </c>
      <c r="E4111" s="130" t="s">
        <v>107</v>
      </c>
      <c r="F4111" s="230">
        <v>0.1</v>
      </c>
      <c r="G4111" s="494">
        <v>12.23</v>
      </c>
      <c r="H4111" s="494">
        <v>1.22</v>
      </c>
    </row>
    <row r="4112" spans="1:8">
      <c r="B4112" s="105"/>
      <c r="C4112" s="105"/>
      <c r="D4112" s="105"/>
      <c r="E4112" s="105"/>
      <c r="F4112" s="629" t="s">
        <v>604</v>
      </c>
      <c r="G4112" s="629"/>
      <c r="H4112" s="495">
        <v>2.78</v>
      </c>
    </row>
    <row r="4113" spans="1:8" ht="12.75" customHeight="1">
      <c r="B4113" s="628" t="s">
        <v>607</v>
      </c>
      <c r="C4113" s="628"/>
      <c r="D4113" s="103" t="s">
        <v>579</v>
      </c>
      <c r="E4113" s="103" t="s">
        <v>580</v>
      </c>
      <c r="F4113" s="103" t="s">
        <v>581</v>
      </c>
      <c r="G4113" s="103" t="s">
        <v>582</v>
      </c>
      <c r="H4113" s="103" t="s">
        <v>583</v>
      </c>
    </row>
    <row r="4114" spans="1:8">
      <c r="B4114" s="130" t="s">
        <v>625</v>
      </c>
      <c r="C4114" s="229" t="s">
        <v>626</v>
      </c>
      <c r="D4114" s="130" t="s">
        <v>119</v>
      </c>
      <c r="E4114" s="130" t="s">
        <v>121</v>
      </c>
      <c r="F4114" s="230">
        <v>0.29799999999999999</v>
      </c>
      <c r="G4114" s="494">
        <v>23.75</v>
      </c>
      <c r="H4114" s="494">
        <v>7.08</v>
      </c>
    </row>
    <row r="4115" spans="1:8" ht="12.75" customHeight="1">
      <c r="B4115" s="105"/>
      <c r="C4115" s="105"/>
      <c r="D4115" s="105"/>
      <c r="E4115" s="105"/>
      <c r="F4115" s="629" t="s">
        <v>610</v>
      </c>
      <c r="G4115" s="629"/>
      <c r="H4115" s="495">
        <v>7.08</v>
      </c>
    </row>
    <row r="4116" spans="1:8" ht="12.75" customHeight="1">
      <c r="B4116" s="105"/>
      <c r="C4116" s="105"/>
      <c r="D4116" s="105"/>
      <c r="E4116" s="105"/>
      <c r="F4116" s="630" t="s">
        <v>464</v>
      </c>
      <c r="G4116" s="630"/>
      <c r="H4116" s="102">
        <v>9.84</v>
      </c>
    </row>
    <row r="4117" spans="1:8">
      <c r="B4117" s="105"/>
      <c r="C4117" s="105"/>
      <c r="D4117" s="105"/>
      <c r="E4117" s="105"/>
      <c r="F4117" s="634"/>
      <c r="G4117" s="634"/>
      <c r="H4117" s="634"/>
    </row>
    <row r="4118" spans="1:8" s="220" customFormat="1" ht="27" customHeight="1">
      <c r="A4118" s="178" t="str">
        <f>'3 - PLAN. ORÇAMENTÁRIA'!A708</f>
        <v>9.1.11</v>
      </c>
      <c r="B4118" s="242">
        <f>VLOOKUP(A4118,'3 - PLAN. ORÇAMENTÁRIA'!$A$16:$B$721,2,FALSE)</f>
        <v>99814</v>
      </c>
      <c r="C4118" s="631" t="str">
        <f>VLOOKUP(A4118,'3 - PLAN. ORÇAMENTÁRIA'!$A$16:$C$721,3,FALSE)</f>
        <v>LIMPEZA DE SUPERFÍCIE COM JATO DE ALTA PRESSÃO. AF_04/2019</v>
      </c>
      <c r="D4118" s="632"/>
      <c r="E4118" s="632"/>
      <c r="F4118" s="632"/>
      <c r="G4118" s="633"/>
      <c r="H4118" s="493" t="str">
        <f>VLOOKUP(A4118,'3 - PLAN. ORÇAMENTÁRIA'!$A$17:$E$721,5,FALSE)</f>
        <v>M2</v>
      </c>
    </row>
    <row r="4119" spans="1:8" ht="12.75" customHeight="1">
      <c r="B4119" s="628" t="s">
        <v>1301</v>
      </c>
      <c r="C4119" s="628"/>
      <c r="D4119" s="103" t="s">
        <v>579</v>
      </c>
      <c r="E4119" s="103" t="s">
        <v>580</v>
      </c>
      <c r="F4119" s="103" t="s">
        <v>581</v>
      </c>
      <c r="G4119" s="103" t="s">
        <v>582</v>
      </c>
      <c r="H4119" s="103" t="s">
        <v>583</v>
      </c>
    </row>
    <row r="4120" spans="1:8" ht="25.5">
      <c r="B4120" s="130" t="s">
        <v>2743</v>
      </c>
      <c r="C4120" s="229" t="s">
        <v>2744</v>
      </c>
      <c r="D4120" s="130" t="s">
        <v>119</v>
      </c>
      <c r="E4120" s="130" t="s">
        <v>1307</v>
      </c>
      <c r="F4120" s="230">
        <v>1.4999999999999999E-2</v>
      </c>
      <c r="G4120" s="494">
        <v>3.61</v>
      </c>
      <c r="H4120" s="494">
        <v>0.05</v>
      </c>
    </row>
    <row r="4121" spans="1:8" ht="12.75" customHeight="1">
      <c r="B4121" s="105"/>
      <c r="C4121" s="105"/>
      <c r="D4121" s="105"/>
      <c r="E4121" s="105"/>
      <c r="F4121" s="629" t="s">
        <v>1308</v>
      </c>
      <c r="G4121" s="629"/>
      <c r="H4121" s="495">
        <v>0.05</v>
      </c>
    </row>
    <row r="4122" spans="1:8" ht="12.75" customHeight="1">
      <c r="B4122" s="628" t="s">
        <v>607</v>
      </c>
      <c r="C4122" s="628"/>
      <c r="D4122" s="103" t="s">
        <v>579</v>
      </c>
      <c r="E4122" s="103" t="s">
        <v>580</v>
      </c>
      <c r="F4122" s="103" t="s">
        <v>581</v>
      </c>
      <c r="G4122" s="103" t="s">
        <v>582</v>
      </c>
      <c r="H4122" s="103" t="s">
        <v>583</v>
      </c>
    </row>
    <row r="4123" spans="1:8">
      <c r="B4123" s="130" t="s">
        <v>625</v>
      </c>
      <c r="C4123" s="229" t="s">
        <v>626</v>
      </c>
      <c r="D4123" s="130" t="s">
        <v>119</v>
      </c>
      <c r="E4123" s="130" t="s">
        <v>121</v>
      </c>
      <c r="F4123" s="230">
        <v>8.8999999999999996E-2</v>
      </c>
      <c r="G4123" s="494">
        <v>23.75</v>
      </c>
      <c r="H4123" s="494">
        <v>2.11</v>
      </c>
    </row>
    <row r="4124" spans="1:8" ht="12.75" customHeight="1">
      <c r="B4124" s="105"/>
      <c r="C4124" s="105"/>
      <c r="D4124" s="105"/>
      <c r="E4124" s="105"/>
      <c r="F4124" s="629" t="s">
        <v>610</v>
      </c>
      <c r="G4124" s="629"/>
      <c r="H4124" s="495">
        <v>2.11</v>
      </c>
    </row>
    <row r="4125" spans="1:8" ht="12.75" customHeight="1">
      <c r="B4125" s="105"/>
      <c r="C4125" s="105"/>
      <c r="D4125" s="105"/>
      <c r="E4125" s="105"/>
      <c r="F4125" s="630" t="s">
        <v>464</v>
      </c>
      <c r="G4125" s="630"/>
      <c r="H4125" s="102">
        <v>2.16</v>
      </c>
    </row>
    <row r="4126" spans="1:8">
      <c r="B4126" s="105"/>
      <c r="C4126" s="105"/>
      <c r="D4126" s="105"/>
      <c r="E4126" s="105"/>
      <c r="F4126" s="634"/>
      <c r="G4126" s="634"/>
      <c r="H4126" s="634"/>
    </row>
    <row r="4127" spans="1:8" s="220" customFormat="1" ht="27" customHeight="1">
      <c r="A4127" s="178" t="str">
        <f>'3 - PLAN. ORÇAMENTÁRIA'!A720</f>
        <v>10.1.1</v>
      </c>
      <c r="B4127" s="178">
        <f>VLOOKUP(A4127,'3 - PLAN. ORÇAMENTÁRIA'!$A$16:$B$721,2,FALSE)</f>
        <v>10527</v>
      </c>
      <c r="C4127" s="631" t="str">
        <f>VLOOKUP(A4127,'3 - PLAN. ORÇAMENTÁRIA'!$A$16:$C$721,3,FALSE)</f>
        <v>LOCACAO DE ANDAIME METALICO TUBULAR DE ENCAIXE, TIPO DE TORRE, CADA PAINEL COM LARGURA DE 1 ATE 1,5 M E ALTURA DE *1,00* M, INCLUINDO DIAGONAL, BARRAS DE LIGACAO, SAPATAS OU RODIZIOS E DEMAIS ITENS NECESSARIOS A MONTAGEM (NAO INCLUI INSTALACAO)</v>
      </c>
      <c r="D4127" s="632"/>
      <c r="E4127" s="632"/>
      <c r="F4127" s="632"/>
      <c r="G4127" s="633"/>
      <c r="H4127" s="433" t="str">
        <f>VLOOKUP(A4127,'3 - PLAN. ORÇAMENTÁRIA'!$A$17:$E$721,5,FALSE)</f>
        <v>MXMES</v>
      </c>
    </row>
    <row r="4128" spans="1:8">
      <c r="B4128" s="628" t="s">
        <v>588</v>
      </c>
      <c r="C4128" s="628"/>
      <c r="D4128" s="103" t="s">
        <v>579</v>
      </c>
      <c r="E4128" s="103" t="s">
        <v>580</v>
      </c>
      <c r="F4128" s="103" t="s">
        <v>581</v>
      </c>
      <c r="G4128" s="103" t="s">
        <v>582</v>
      </c>
      <c r="H4128" s="103" t="s">
        <v>583</v>
      </c>
    </row>
    <row r="4129" spans="1:9" ht="38.25">
      <c r="B4129" s="130" t="s">
        <v>2745</v>
      </c>
      <c r="C4129" s="229" t="s">
        <v>2539</v>
      </c>
      <c r="D4129" s="130" t="s">
        <v>119</v>
      </c>
      <c r="E4129" s="130" t="s">
        <v>463</v>
      </c>
      <c r="F4129" s="230">
        <v>1</v>
      </c>
      <c r="G4129" s="494">
        <v>30.13</v>
      </c>
      <c r="H4129" s="494">
        <v>30.13</v>
      </c>
    </row>
    <row r="4130" spans="1:9" ht="12.75" customHeight="1">
      <c r="B4130" s="105"/>
      <c r="C4130" s="105"/>
      <c r="D4130" s="105"/>
      <c r="E4130" s="105"/>
      <c r="F4130" s="629" t="s">
        <v>589</v>
      </c>
      <c r="G4130" s="629"/>
      <c r="H4130" s="495">
        <v>30.13</v>
      </c>
    </row>
    <row r="4131" spans="1:9" ht="12.75" customHeight="1">
      <c r="B4131" s="105"/>
      <c r="C4131" s="105"/>
      <c r="D4131" s="105"/>
      <c r="E4131" s="105"/>
      <c r="F4131" s="630" t="s">
        <v>464</v>
      </c>
      <c r="G4131" s="630"/>
      <c r="H4131" s="102">
        <v>30.13</v>
      </c>
    </row>
    <row r="4132" spans="1:9">
      <c r="B4132" s="105"/>
      <c r="C4132" s="105"/>
      <c r="D4132" s="105"/>
      <c r="E4132" s="105"/>
      <c r="F4132" s="634"/>
      <c r="G4132" s="634"/>
      <c r="H4132" s="634"/>
    </row>
    <row r="4133" spans="1:9" s="220" customFormat="1" ht="27" customHeight="1">
      <c r="A4133" s="178" t="str">
        <f>'3 - PLAN. ORÇAMENTÁRIA'!A721</f>
        <v>10.1.2</v>
      </c>
      <c r="B4133" s="178">
        <f>VLOOKUP(A4133,'3 - PLAN. ORÇAMENTÁRIA'!$A$16:$B$721,2,FALSE)</f>
        <v>97064</v>
      </c>
      <c r="C4133" s="631" t="str">
        <f>VLOOKUP(A4133,'3 - PLAN. ORÇAMENTÁRIA'!$A$16:$C$721,3,FALSE)</f>
        <v>MONTAGEM E DESMONTAGEM DE ANDAIME TUBULAR TIPO "TORRE" (EXCLUSIVE ANDAIME E LIMPEZA). AF_03/2024</v>
      </c>
      <c r="D4133" s="632"/>
      <c r="E4133" s="632"/>
      <c r="F4133" s="632"/>
      <c r="G4133" s="633"/>
      <c r="H4133" s="433" t="str">
        <f>VLOOKUP(A4133,'3 - PLAN. ORÇAMENTÁRIA'!$A$17:$E$721,5,FALSE)</f>
        <v>M</v>
      </c>
    </row>
    <row r="4134" spans="1:9" ht="12.75" customHeight="1">
      <c r="B4134" s="628" t="s">
        <v>607</v>
      </c>
      <c r="C4134" s="628"/>
      <c r="D4134" s="103" t="s">
        <v>579</v>
      </c>
      <c r="E4134" s="103" t="s">
        <v>580</v>
      </c>
      <c r="F4134" s="103" t="s">
        <v>581</v>
      </c>
      <c r="G4134" s="103" t="s">
        <v>582</v>
      </c>
      <c r="H4134" s="103" t="s">
        <v>583</v>
      </c>
    </row>
    <row r="4135" spans="1:9">
      <c r="B4135" s="130" t="s">
        <v>1329</v>
      </c>
      <c r="C4135" s="229" t="s">
        <v>1330</v>
      </c>
      <c r="D4135" s="130" t="s">
        <v>119</v>
      </c>
      <c r="E4135" s="130" t="s">
        <v>121</v>
      </c>
      <c r="F4135" s="230">
        <v>0.69769999999999999</v>
      </c>
      <c r="G4135" s="494">
        <v>25.64</v>
      </c>
      <c r="H4135" s="494">
        <v>17.89</v>
      </c>
    </row>
    <row r="4136" spans="1:9">
      <c r="B4136" s="130" t="s">
        <v>625</v>
      </c>
      <c r="C4136" s="229" t="s">
        <v>626</v>
      </c>
      <c r="D4136" s="130" t="s">
        <v>119</v>
      </c>
      <c r="E4136" s="130" t="s">
        <v>121</v>
      </c>
      <c r="F4136" s="230">
        <v>0.1331</v>
      </c>
      <c r="G4136" s="494">
        <v>23.75</v>
      </c>
      <c r="H4136" s="494">
        <v>3.16</v>
      </c>
    </row>
    <row r="4137" spans="1:9" ht="12.75" customHeight="1">
      <c r="B4137" s="105"/>
      <c r="C4137" s="105"/>
      <c r="D4137" s="105"/>
      <c r="E4137" s="105"/>
      <c r="F4137" s="629" t="s">
        <v>610</v>
      </c>
      <c r="G4137" s="629"/>
      <c r="H4137" s="495">
        <v>21.05</v>
      </c>
    </row>
    <row r="4138" spans="1:9">
      <c r="B4138" s="628" t="s">
        <v>586</v>
      </c>
      <c r="C4138" s="628"/>
      <c r="D4138" s="103" t="s">
        <v>579</v>
      </c>
      <c r="E4138" s="103" t="s">
        <v>580</v>
      </c>
      <c r="F4138" s="103" t="s">
        <v>581</v>
      </c>
      <c r="G4138" s="103" t="s">
        <v>582</v>
      </c>
      <c r="H4138" s="103" t="s">
        <v>583</v>
      </c>
    </row>
    <row r="4139" spans="1:9" ht="38.25">
      <c r="B4139" s="130" t="s">
        <v>1814</v>
      </c>
      <c r="C4139" s="229" t="s">
        <v>1815</v>
      </c>
      <c r="D4139" s="130" t="s">
        <v>119</v>
      </c>
      <c r="E4139" s="130" t="s">
        <v>1816</v>
      </c>
      <c r="F4139" s="230">
        <v>0.40200000000000002</v>
      </c>
      <c r="G4139" s="494">
        <v>14.53</v>
      </c>
      <c r="H4139" s="494">
        <v>5.84</v>
      </c>
    </row>
    <row r="4140" spans="1:9">
      <c r="B4140" s="105"/>
      <c r="C4140" s="105"/>
      <c r="D4140" s="105"/>
      <c r="E4140" s="105"/>
      <c r="F4140" s="629" t="s">
        <v>587</v>
      </c>
      <c r="G4140" s="629"/>
      <c r="H4140" s="495">
        <v>5.84</v>
      </c>
    </row>
    <row r="4141" spans="1:9" ht="12.75" customHeight="1">
      <c r="B4141" s="105"/>
      <c r="C4141" s="105"/>
      <c r="D4141" s="105"/>
      <c r="E4141" s="105"/>
      <c r="F4141" s="630" t="s">
        <v>464</v>
      </c>
      <c r="G4141" s="630"/>
      <c r="H4141" s="102">
        <v>26.88</v>
      </c>
    </row>
    <row r="4142" spans="1:9">
      <c r="B4142" s="105"/>
      <c r="C4142" s="105"/>
      <c r="D4142" s="105"/>
      <c r="E4142" s="105"/>
      <c r="F4142" s="111"/>
      <c r="G4142" s="111"/>
      <c r="H4142" s="228"/>
    </row>
    <row r="4143" spans="1:9" ht="170.25" customHeight="1">
      <c r="A4143" s="591" t="s">
        <v>1818</v>
      </c>
      <c r="B4143" s="591"/>
      <c r="C4143" s="591"/>
      <c r="D4143" s="591"/>
      <c r="E4143" s="591"/>
      <c r="F4143" s="591"/>
      <c r="G4143" s="591"/>
      <c r="H4143" s="591"/>
      <c r="I4143" s="591"/>
    </row>
  </sheetData>
  <mergeCells count="2518">
    <mergeCell ref="F2731:H2731"/>
    <mergeCell ref="C2732:G2732"/>
    <mergeCell ref="B2733:C2733"/>
    <mergeCell ref="F2736:G2736"/>
    <mergeCell ref="C2675:G2675"/>
    <mergeCell ref="B2693:C2693"/>
    <mergeCell ref="F2696:G2696"/>
    <mergeCell ref="F2697:G2697"/>
    <mergeCell ref="C2699:G2699"/>
    <mergeCell ref="B2700:C2700"/>
    <mergeCell ref="F2703:G2703"/>
    <mergeCell ref="B2704:C2704"/>
    <mergeCell ref="F2707:G2707"/>
    <mergeCell ref="F2708:G2708"/>
    <mergeCell ref="F2709:H2709"/>
    <mergeCell ref="C2710:G2710"/>
    <mergeCell ref="B2711:C2711"/>
    <mergeCell ref="F3037:G3037"/>
    <mergeCell ref="F3015:G3015"/>
    <mergeCell ref="F3048:G3048"/>
    <mergeCell ref="C3050:G3050"/>
    <mergeCell ref="B3051:C3051"/>
    <mergeCell ref="F3054:G3054"/>
    <mergeCell ref="B3055:C3055"/>
    <mergeCell ref="F3058:G3058"/>
    <mergeCell ref="B3075:C3075"/>
    <mergeCell ref="C2307:G2307"/>
    <mergeCell ref="C2318:G2318"/>
    <mergeCell ref="B2402:C2402"/>
    <mergeCell ref="F2405:G2405"/>
    <mergeCell ref="B2439:C2439"/>
    <mergeCell ref="F2998:G2998"/>
    <mergeCell ref="B2999:C2999"/>
    <mergeCell ref="F3002:G3002"/>
    <mergeCell ref="F3003:G3003"/>
    <mergeCell ref="F3004:H3004"/>
    <mergeCell ref="C3005:G3005"/>
    <mergeCell ref="B3006:C3006"/>
    <mergeCell ref="F3010:G3010"/>
    <mergeCell ref="B3011:C3011"/>
    <mergeCell ref="F3014:G3014"/>
    <mergeCell ref="C2368:G2368"/>
    <mergeCell ref="B2369:C2369"/>
    <mergeCell ref="B3040:C3040"/>
    <mergeCell ref="F3073:H3073"/>
    <mergeCell ref="B2373:C2373"/>
    <mergeCell ref="F2376:G2376"/>
    <mergeCell ref="F3036:G3036"/>
    <mergeCell ref="F2377:G2377"/>
    <mergeCell ref="B3029:C3029"/>
    <mergeCell ref="F3032:G3032"/>
    <mergeCell ref="B3033:C3033"/>
    <mergeCell ref="F2954:H2954"/>
    <mergeCell ref="C2955:G2955"/>
    <mergeCell ref="B2956:C2956"/>
    <mergeCell ref="F2960:G2960"/>
    <mergeCell ref="B2803:C2803"/>
    <mergeCell ref="F2928:G2928"/>
    <mergeCell ref="B2912:C2912"/>
    <mergeCell ref="F2915:G2915"/>
    <mergeCell ref="F2916:G2916"/>
    <mergeCell ref="F2917:H2917"/>
    <mergeCell ref="F2879:H2879"/>
    <mergeCell ref="C2868:G2868"/>
    <mergeCell ref="B2869:C2869"/>
    <mergeCell ref="F2873:G2873"/>
    <mergeCell ref="B2874:C2874"/>
    <mergeCell ref="F2877:G2877"/>
    <mergeCell ref="F2878:G2878"/>
    <mergeCell ref="F2891:G2891"/>
    <mergeCell ref="F2892:H2892"/>
    <mergeCell ref="B2821:C2821"/>
    <mergeCell ref="F2829:G2829"/>
    <mergeCell ref="B2843:C2843"/>
    <mergeCell ref="F2846:G2846"/>
    <mergeCell ref="B2825:C2825"/>
    <mergeCell ref="F2828:G2828"/>
    <mergeCell ref="B2859:C2859"/>
    <mergeCell ref="F2865:G2865"/>
    <mergeCell ref="F2866:G2866"/>
    <mergeCell ref="C2842:G2842"/>
    <mergeCell ref="F3049:H3049"/>
    <mergeCell ref="F3043:G3043"/>
    <mergeCell ref="B3044:C3044"/>
    <mergeCell ref="F2990:G2990"/>
    <mergeCell ref="F2991:G2991"/>
    <mergeCell ref="F2992:H2992"/>
    <mergeCell ref="C2993:G2993"/>
    <mergeCell ref="B2994:C2994"/>
    <mergeCell ref="F2929:H2929"/>
    <mergeCell ref="C2930:G2930"/>
    <mergeCell ref="B2931:C2931"/>
    <mergeCell ref="F2936:G2936"/>
    <mergeCell ref="B2937:C2937"/>
    <mergeCell ref="F2940:G2940"/>
    <mergeCell ref="F2941:G2941"/>
    <mergeCell ref="F2942:H2942"/>
    <mergeCell ref="F2977:G2977"/>
    <mergeCell ref="F2978:G2978"/>
    <mergeCell ref="F3047:G3047"/>
    <mergeCell ref="F2979:H2979"/>
    <mergeCell ref="C2980:G2980"/>
    <mergeCell ref="B2981:C2981"/>
    <mergeCell ref="F2986:G2986"/>
    <mergeCell ref="B2987:C2987"/>
    <mergeCell ref="C3017:G3017"/>
    <mergeCell ref="B3018:C3018"/>
    <mergeCell ref="F3021:G3021"/>
    <mergeCell ref="C3039:G3039"/>
    <mergeCell ref="F3038:H3038"/>
    <mergeCell ref="F3026:G3026"/>
    <mergeCell ref="F3027:H3027"/>
    <mergeCell ref="C3028:G3028"/>
    <mergeCell ref="C3114:G3114"/>
    <mergeCell ref="B3115:C3115"/>
    <mergeCell ref="F3118:G3118"/>
    <mergeCell ref="B3119:C3119"/>
    <mergeCell ref="F3290:H3290"/>
    <mergeCell ref="B3292:C3292"/>
    <mergeCell ref="F3098:G3098"/>
    <mergeCell ref="F3300:G3300"/>
    <mergeCell ref="F3301:H3301"/>
    <mergeCell ref="F3388:G3388"/>
    <mergeCell ref="B3079:C3079"/>
    <mergeCell ref="F3086:G3086"/>
    <mergeCell ref="B3087:C3087"/>
    <mergeCell ref="F3090:G3090"/>
    <mergeCell ref="F3059:G3059"/>
    <mergeCell ref="C3061:G3061"/>
    <mergeCell ref="B3062:C3062"/>
    <mergeCell ref="F3064:G3064"/>
    <mergeCell ref="B3065:C3065"/>
    <mergeCell ref="F3068:G3068"/>
    <mergeCell ref="F3139:H3139"/>
    <mergeCell ref="C3172:G3172"/>
    <mergeCell ref="C3140:G3140"/>
    <mergeCell ref="C3100:G3100"/>
    <mergeCell ref="B3101:C3101"/>
    <mergeCell ref="C3134:G3134"/>
    <mergeCell ref="B3135:C3135"/>
    <mergeCell ref="F3160:G3160"/>
    <mergeCell ref="F3216:G3216"/>
    <mergeCell ref="B3217:C3217"/>
    <mergeCell ref="F3220:G3220"/>
    <mergeCell ref="C3074:G3074"/>
    <mergeCell ref="C3423:G3423"/>
    <mergeCell ref="B3281:C3281"/>
    <mergeCell ref="F3284:G3284"/>
    <mergeCell ref="B3285:C3285"/>
    <mergeCell ref="F3288:G3288"/>
    <mergeCell ref="F3289:G3289"/>
    <mergeCell ref="F3459:G3459"/>
    <mergeCell ref="B3452:C3452"/>
    <mergeCell ref="B3455:C3455"/>
    <mergeCell ref="F3458:G3458"/>
    <mergeCell ref="B3428:C3428"/>
    <mergeCell ref="F3361:G3361"/>
    <mergeCell ref="F3097:G3097"/>
    <mergeCell ref="F3137:G3137"/>
    <mergeCell ref="F3104:G3104"/>
    <mergeCell ref="F3105:G3105"/>
    <mergeCell ref="F3106:H3106"/>
    <mergeCell ref="F3138:G3138"/>
    <mergeCell ref="C3451:G3451"/>
    <mergeCell ref="F3450:H3450"/>
    <mergeCell ref="B3152:C3152"/>
    <mergeCell ref="F3156:G3156"/>
    <mergeCell ref="B3157:C3157"/>
    <mergeCell ref="F3159:G3159"/>
    <mergeCell ref="C3280:G3280"/>
    <mergeCell ref="C3291:G3291"/>
    <mergeCell ref="B3270:C3270"/>
    <mergeCell ref="F3306:G3306"/>
    <mergeCell ref="F3411:H3411"/>
    <mergeCell ref="B3417:C3417"/>
    <mergeCell ref="F3321:G3321"/>
    <mergeCell ref="C3313:G3313"/>
    <mergeCell ref="B3720:C3720"/>
    <mergeCell ref="F3722:G3722"/>
    <mergeCell ref="F3723:G3723"/>
    <mergeCell ref="F3724:H3724"/>
    <mergeCell ref="F3465:G3465"/>
    <mergeCell ref="B3466:C3466"/>
    <mergeCell ref="B3762:C3762"/>
    <mergeCell ref="F3764:G3764"/>
    <mergeCell ref="B3765:C3765"/>
    <mergeCell ref="B3091:C3091"/>
    <mergeCell ref="F3078:G3078"/>
    <mergeCell ref="B3726:C3726"/>
    <mergeCell ref="F3728:G3728"/>
    <mergeCell ref="B3729:C3729"/>
    <mergeCell ref="F3732:G3732"/>
    <mergeCell ref="F3733:G3733"/>
    <mergeCell ref="B3697:C3697"/>
    <mergeCell ref="B3303:C3303"/>
    <mergeCell ref="B3307:C3307"/>
    <mergeCell ref="F3310:G3310"/>
    <mergeCell ref="F3311:G3311"/>
    <mergeCell ref="F3312:H3312"/>
    <mergeCell ref="C3357:G3357"/>
    <mergeCell ref="C3368:G3368"/>
    <mergeCell ref="C3379:G3379"/>
    <mergeCell ref="C3390:G3390"/>
    <mergeCell ref="C3401:G3401"/>
    <mergeCell ref="C3412:G3412"/>
    <mergeCell ref="F3355:G3355"/>
    <mergeCell ref="F3356:H3356"/>
    <mergeCell ref="F3747:H3747"/>
    <mergeCell ref="B3749:C3749"/>
    <mergeCell ref="F3751:G3751"/>
    <mergeCell ref="B3752:C3752"/>
    <mergeCell ref="F3755:G3755"/>
    <mergeCell ref="B3756:C3756"/>
    <mergeCell ref="F3758:G3758"/>
    <mergeCell ref="F3759:G3759"/>
    <mergeCell ref="F3760:H3760"/>
    <mergeCell ref="B3743:C3743"/>
    <mergeCell ref="F3745:G3745"/>
    <mergeCell ref="B3823:C3823"/>
    <mergeCell ref="F3778:G3778"/>
    <mergeCell ref="B3362:C3362"/>
    <mergeCell ref="F3365:G3365"/>
    <mergeCell ref="F3399:G3399"/>
    <mergeCell ref="F3366:G3366"/>
    <mergeCell ref="F3367:H3367"/>
    <mergeCell ref="B3369:C3369"/>
    <mergeCell ref="F3372:G3372"/>
    <mergeCell ref="F3460:H3460"/>
    <mergeCell ref="B3462:C3462"/>
    <mergeCell ref="F3443:G3443"/>
    <mergeCell ref="F3444:H3444"/>
    <mergeCell ref="F3454:G3454"/>
    <mergeCell ref="B3775:C3775"/>
    <mergeCell ref="B3716:C3716"/>
    <mergeCell ref="F3719:G3719"/>
    <mergeCell ref="B3406:C3406"/>
    <mergeCell ref="F3409:G3409"/>
    <mergeCell ref="F3400:H3400"/>
    <mergeCell ref="B3402:C3402"/>
    <mergeCell ref="F3705:G3705"/>
    <mergeCell ref="B3706:C3706"/>
    <mergeCell ref="F3825:G3825"/>
    <mergeCell ref="B3826:C3826"/>
    <mergeCell ref="F3829:G3829"/>
    <mergeCell ref="F3830:G3830"/>
    <mergeCell ref="C3812:G3812"/>
    <mergeCell ref="C3822:G3822"/>
    <mergeCell ref="B3792:C3792"/>
    <mergeCell ref="F3794:G3794"/>
    <mergeCell ref="B3795:C3795"/>
    <mergeCell ref="F3798:G3798"/>
    <mergeCell ref="F3799:G3799"/>
    <mergeCell ref="C3735:G3735"/>
    <mergeCell ref="C3748:G3748"/>
    <mergeCell ref="C3761:G3761"/>
    <mergeCell ref="C3771:G3771"/>
    <mergeCell ref="C3781:G3781"/>
    <mergeCell ref="C3791:G3791"/>
    <mergeCell ref="B3813:C3813"/>
    <mergeCell ref="F3815:G3815"/>
    <mergeCell ref="B3816:C3816"/>
    <mergeCell ref="F3819:G3819"/>
    <mergeCell ref="F3768:G3768"/>
    <mergeCell ref="F3769:G3769"/>
    <mergeCell ref="F3770:H3770"/>
    <mergeCell ref="B3772:C3772"/>
    <mergeCell ref="F3774:G3774"/>
    <mergeCell ref="B3736:C3736"/>
    <mergeCell ref="F3738:G3738"/>
    <mergeCell ref="B3739:C3739"/>
    <mergeCell ref="F3742:G3742"/>
    <mergeCell ref="F3790:H3790"/>
    <mergeCell ref="F3746:G3746"/>
    <mergeCell ref="F3709:G3709"/>
    <mergeCell ref="F3710:G3710"/>
    <mergeCell ref="C3702:G3702"/>
    <mergeCell ref="B3713:C3713"/>
    <mergeCell ref="F3715:G3715"/>
    <mergeCell ref="F3121:G3121"/>
    <mergeCell ref="F3113:H3113"/>
    <mergeCell ref="B3108:C3108"/>
    <mergeCell ref="F3111:G3111"/>
    <mergeCell ref="F3112:G3112"/>
    <mergeCell ref="C3107:G3107"/>
    <mergeCell ref="F3122:G3122"/>
    <mergeCell ref="F3123:H3123"/>
    <mergeCell ref="C3124:G3124"/>
    <mergeCell ref="B3125:C3125"/>
    <mergeCell ref="F3128:G3128"/>
    <mergeCell ref="B3129:C3129"/>
    <mergeCell ref="F3131:G3131"/>
    <mergeCell ref="F3132:G3132"/>
    <mergeCell ref="F3133:H3133"/>
    <mergeCell ref="C3151:G3151"/>
    <mergeCell ref="C3712:G3712"/>
    <mergeCell ref="B3243:C3243"/>
    <mergeCell ref="F3405:G3405"/>
    <mergeCell ref="F3246:G3246"/>
    <mergeCell ref="F3247:G3247"/>
    <mergeCell ref="B3187:C3187"/>
    <mergeCell ref="B3141:C3141"/>
    <mergeCell ref="F3144:G3144"/>
    <mergeCell ref="F3699:G3699"/>
    <mergeCell ref="F3700:G3700"/>
    <mergeCell ref="C3696:G3696"/>
    <mergeCell ref="B3703:C3703"/>
    <mergeCell ref="B3145:C3145"/>
    <mergeCell ref="F3148:G3148"/>
    <mergeCell ref="F3149:G3149"/>
    <mergeCell ref="F3150:H3150"/>
    <mergeCell ref="B3274:C3274"/>
    <mergeCell ref="F3277:G3277"/>
    <mergeCell ref="F3278:G3278"/>
    <mergeCell ref="F3279:H3279"/>
    <mergeCell ref="C3302:G3302"/>
    <mergeCell ref="F3233:G3233"/>
    <mergeCell ref="C3445:G3445"/>
    <mergeCell ref="B3435:C3435"/>
    <mergeCell ref="F3438:G3438"/>
    <mergeCell ref="B3439:C3439"/>
    <mergeCell ref="F3295:G3295"/>
    <mergeCell ref="B3296:C3296"/>
    <mergeCell ref="F3299:G3299"/>
    <mergeCell ref="F3273:G3273"/>
    <mergeCell ref="C3269:G3269"/>
    <mergeCell ref="B3250:C3250"/>
    <mergeCell ref="F3253:G3253"/>
    <mergeCell ref="F3256:G3256"/>
    <mergeCell ref="B3257:C3257"/>
    <mergeCell ref="F3260:G3260"/>
    <mergeCell ref="F3266:G3266"/>
    <mergeCell ref="F3267:G3267"/>
    <mergeCell ref="F3268:H3268"/>
    <mergeCell ref="F3394:G3394"/>
    <mergeCell ref="B3314:C3314"/>
    <mergeCell ref="F3317:G3317"/>
    <mergeCell ref="B3318:C3318"/>
    <mergeCell ref="B3069:C3069"/>
    <mergeCell ref="F3071:G3071"/>
    <mergeCell ref="F3072:G3072"/>
    <mergeCell ref="C2893:G2893"/>
    <mergeCell ref="B2894:C2894"/>
    <mergeCell ref="F2899:G2899"/>
    <mergeCell ref="B2900:C2900"/>
    <mergeCell ref="F2903:G2903"/>
    <mergeCell ref="F2904:G2904"/>
    <mergeCell ref="F2905:H2905"/>
    <mergeCell ref="C2906:G2906"/>
    <mergeCell ref="B2907:C2907"/>
    <mergeCell ref="F2911:G2911"/>
    <mergeCell ref="B3022:C3022"/>
    <mergeCell ref="F3025:G3025"/>
    <mergeCell ref="C2918:G2918"/>
    <mergeCell ref="B2919:C2919"/>
    <mergeCell ref="F2923:G2923"/>
    <mergeCell ref="C2943:G2943"/>
    <mergeCell ref="B2944:C2944"/>
    <mergeCell ref="F2948:G2948"/>
    <mergeCell ref="B2949:C2949"/>
    <mergeCell ref="F2952:G2952"/>
    <mergeCell ref="F2953:G2953"/>
    <mergeCell ref="B2961:C2961"/>
    <mergeCell ref="F2964:G2964"/>
    <mergeCell ref="F2965:G2965"/>
    <mergeCell ref="F2966:H2966"/>
    <mergeCell ref="C2967:G2967"/>
    <mergeCell ref="B2974:C2974"/>
    <mergeCell ref="B2924:C2924"/>
    <mergeCell ref="F2927:G2927"/>
    <mergeCell ref="F2886:G2886"/>
    <mergeCell ref="B2887:C2887"/>
    <mergeCell ref="F2890:G2890"/>
    <mergeCell ref="C2880:G2880"/>
    <mergeCell ref="B2881:C2881"/>
    <mergeCell ref="B2968:C2968"/>
    <mergeCell ref="F2973:G2973"/>
    <mergeCell ref="F2780:G2780"/>
    <mergeCell ref="B2781:C2781"/>
    <mergeCell ref="F2784:G2784"/>
    <mergeCell ref="F2785:G2785"/>
    <mergeCell ref="F2786:H2786"/>
    <mergeCell ref="C2787:G2787"/>
    <mergeCell ref="B2788:C2788"/>
    <mergeCell ref="B2847:C2847"/>
    <mergeCell ref="F2854:G2854"/>
    <mergeCell ref="B2855:C2855"/>
    <mergeCell ref="F2858:G2858"/>
    <mergeCell ref="F2830:H2830"/>
    <mergeCell ref="C2831:G2831"/>
    <mergeCell ref="B2832:C2832"/>
    <mergeCell ref="F2835:G2835"/>
    <mergeCell ref="B2836:C2836"/>
    <mergeCell ref="F2839:G2839"/>
    <mergeCell ref="F2840:G2840"/>
    <mergeCell ref="F2841:H2841"/>
    <mergeCell ref="F2806:G2806"/>
    <mergeCell ref="F2807:G2807"/>
    <mergeCell ref="F2808:H2808"/>
    <mergeCell ref="C2809:G2809"/>
    <mergeCell ref="B2810:C2810"/>
    <mergeCell ref="F2813:G2813"/>
    <mergeCell ref="F2817:G2817"/>
    <mergeCell ref="F2791:G2791"/>
    <mergeCell ref="F2824:G2824"/>
    <mergeCell ref="F2818:G2818"/>
    <mergeCell ref="F2819:H2819"/>
    <mergeCell ref="C2820:G2820"/>
    <mergeCell ref="F2753:H2753"/>
    <mergeCell ref="C2754:G2754"/>
    <mergeCell ref="B2755:C2755"/>
    <mergeCell ref="F2758:G2758"/>
    <mergeCell ref="B2759:C2759"/>
    <mergeCell ref="F2762:G2762"/>
    <mergeCell ref="F2763:G2763"/>
    <mergeCell ref="F2764:H2764"/>
    <mergeCell ref="C2765:G2765"/>
    <mergeCell ref="B2766:C2766"/>
    <mergeCell ref="F2769:G2769"/>
    <mergeCell ref="B2770:C2770"/>
    <mergeCell ref="F2773:G2773"/>
    <mergeCell ref="F2774:G2774"/>
    <mergeCell ref="F2775:H2775"/>
    <mergeCell ref="C2776:G2776"/>
    <mergeCell ref="B2777:C2777"/>
    <mergeCell ref="B2792:C2792"/>
    <mergeCell ref="F2795:G2795"/>
    <mergeCell ref="F2796:G2796"/>
    <mergeCell ref="F2797:H2797"/>
    <mergeCell ref="C2798:G2798"/>
    <mergeCell ref="B2799:C2799"/>
    <mergeCell ref="F2802:G2802"/>
    <mergeCell ref="F2192:H2192"/>
    <mergeCell ref="F2294:G2294"/>
    <mergeCell ref="C2591:G2591"/>
    <mergeCell ref="F2534:G2534"/>
    <mergeCell ref="F2279:G2279"/>
    <mergeCell ref="C2390:G2390"/>
    <mergeCell ref="B2395:C2395"/>
    <mergeCell ref="F2398:G2398"/>
    <mergeCell ref="F2399:G2399"/>
    <mergeCell ref="F2400:H2400"/>
    <mergeCell ref="C2401:G2401"/>
    <mergeCell ref="B2406:C2406"/>
    <mergeCell ref="F2409:G2409"/>
    <mergeCell ref="F2620:G2620"/>
    <mergeCell ref="B2621:C2621"/>
    <mergeCell ref="F2624:G2624"/>
    <mergeCell ref="B2814:C2814"/>
    <mergeCell ref="F2483:H2483"/>
    <mergeCell ref="B2744:C2744"/>
    <mergeCell ref="F2747:G2747"/>
    <mergeCell ref="B2748:C2748"/>
    <mergeCell ref="F2751:G2751"/>
    <mergeCell ref="F2752:G2752"/>
    <mergeCell ref="F2742:H2742"/>
    <mergeCell ref="C2743:G2743"/>
    <mergeCell ref="B2688:C2688"/>
    <mergeCell ref="F2692:G2692"/>
    <mergeCell ref="F2719:G2719"/>
    <mergeCell ref="F2720:H2720"/>
    <mergeCell ref="C2721:G2721"/>
    <mergeCell ref="B2722:C2722"/>
    <mergeCell ref="F2741:G2741"/>
    <mergeCell ref="B2200:C2200"/>
    <mergeCell ref="F2203:G2203"/>
    <mergeCell ref="F2204:G2204"/>
    <mergeCell ref="F2205:H2205"/>
    <mergeCell ref="B2248:C2248"/>
    <mergeCell ref="C2357:G2357"/>
    <mergeCell ref="C2265:G2265"/>
    <mergeCell ref="F2284:G2284"/>
    <mergeCell ref="F2714:G2714"/>
    <mergeCell ref="B2715:C2715"/>
    <mergeCell ref="F2718:G2718"/>
    <mergeCell ref="B2676:C2676"/>
    <mergeCell ref="F2680:G2680"/>
    <mergeCell ref="B2681:C2681"/>
    <mergeCell ref="F2684:G2684"/>
    <mergeCell ref="F2685:G2685"/>
    <mergeCell ref="F2686:H2686"/>
    <mergeCell ref="C2687:G2687"/>
    <mergeCell ref="F2637:G2637"/>
    <mergeCell ref="F2638:H2638"/>
    <mergeCell ref="C2639:G2639"/>
    <mergeCell ref="B2640:C2640"/>
    <mergeCell ref="F2644:G2644"/>
    <mergeCell ref="B2645:C2645"/>
    <mergeCell ref="F2241:G2241"/>
    <mergeCell ref="C2422:G2422"/>
    <mergeCell ref="B2423:C2423"/>
    <mergeCell ref="F2425:G2425"/>
    <mergeCell ref="B2426:C2426"/>
    <mergeCell ref="F2429:G2429"/>
    <mergeCell ref="F2477:G2477"/>
    <mergeCell ref="B2478:C2478"/>
    <mergeCell ref="F2481:G2481"/>
    <mergeCell ref="F2482:G2482"/>
    <mergeCell ref="F2430:G2430"/>
    <mergeCell ref="F2361:G2361"/>
    <mergeCell ref="C2471:G2471"/>
    <mergeCell ref="B2472:C2472"/>
    <mergeCell ref="F2372:G2372"/>
    <mergeCell ref="B2244:C2244"/>
    <mergeCell ref="B2212:C2212"/>
    <mergeCell ref="B2135:C2135"/>
    <mergeCell ref="B2155:C2155"/>
    <mergeCell ref="F2147:G2147"/>
    <mergeCell ref="C2276:G2276"/>
    <mergeCell ref="B2277:C2277"/>
    <mergeCell ref="F2138:G2138"/>
    <mergeCell ref="F2139:G2139"/>
    <mergeCell ref="B2129:C2129"/>
    <mergeCell ref="F2253:H2253"/>
    <mergeCell ref="B2319:C2319"/>
    <mergeCell ref="F2324:G2324"/>
    <mergeCell ref="B2325:C2325"/>
    <mergeCell ref="F2328:G2328"/>
    <mergeCell ref="F2330:H2330"/>
    <mergeCell ref="C2331:G2331"/>
    <mergeCell ref="F2451:G2451"/>
    <mergeCell ref="B2452:C2452"/>
    <mergeCell ref="F2455:G2455"/>
    <mergeCell ref="F2457:H2457"/>
    <mergeCell ref="F2394:G2394"/>
    <mergeCell ref="F2410:G2410"/>
    <mergeCell ref="B2358:C2358"/>
    <mergeCell ref="F2456:G2456"/>
    <mergeCell ref="B2109:C2109"/>
    <mergeCell ref="B2255:C2255"/>
    <mergeCell ref="F2258:G2258"/>
    <mergeCell ref="F2283:G2283"/>
    <mergeCell ref="F2590:H2590"/>
    <mergeCell ref="C2115:G2115"/>
    <mergeCell ref="B2116:C2116"/>
    <mergeCell ref="F2121:G2121"/>
    <mergeCell ref="B2122:C2122"/>
    <mergeCell ref="B2207:C2207"/>
    <mergeCell ref="F2153:H2153"/>
    <mergeCell ref="B2280:C2280"/>
    <mergeCell ref="C2180:G2180"/>
    <mergeCell ref="B2181:C2181"/>
    <mergeCell ref="F2186:G2186"/>
    <mergeCell ref="B2187:C2187"/>
    <mergeCell ref="F2190:G2190"/>
    <mergeCell ref="F2191:G2191"/>
    <mergeCell ref="C2230:G2230"/>
    <mergeCell ref="B2231:C2231"/>
    <mergeCell ref="F2236:G2236"/>
    <mergeCell ref="B2237:C2237"/>
    <mergeCell ref="F2240:G2240"/>
    <mergeCell ref="F2151:G2151"/>
    <mergeCell ref="F2178:G2178"/>
    <mergeCell ref="F2152:G2152"/>
    <mergeCell ref="B2308:C2308"/>
    <mergeCell ref="F2311:G2311"/>
    <mergeCell ref="B2312:C2312"/>
    <mergeCell ref="F2315:G2315"/>
    <mergeCell ref="F2316:G2316"/>
    <mergeCell ref="F2317:H2317"/>
    <mergeCell ref="C1795:G1795"/>
    <mergeCell ref="C1810:G1810"/>
    <mergeCell ref="B1811:C1811"/>
    <mergeCell ref="F1803:G1803"/>
    <mergeCell ref="F1868:G1868"/>
    <mergeCell ref="F2140:H2140"/>
    <mergeCell ref="F2114:H2114"/>
    <mergeCell ref="B1800:C1800"/>
    <mergeCell ref="F1807:G1807"/>
    <mergeCell ref="F1808:G1808"/>
    <mergeCell ref="F1809:H1809"/>
    <mergeCell ref="F1817:G1817"/>
    <mergeCell ref="C2243:G2243"/>
    <mergeCell ref="F2125:G2125"/>
    <mergeCell ref="F2126:G2126"/>
    <mergeCell ref="F1842:G1842"/>
    <mergeCell ref="B1843:C1843"/>
    <mergeCell ref="B1882:C1882"/>
    <mergeCell ref="B1876:C1876"/>
    <mergeCell ref="F1881:G1881"/>
    <mergeCell ref="B1869:C1869"/>
    <mergeCell ref="F1872:G1872"/>
    <mergeCell ref="F1826:G1826"/>
    <mergeCell ref="C1828:G1828"/>
    <mergeCell ref="B1898:C1898"/>
    <mergeCell ref="F1902:G1902"/>
    <mergeCell ref="F2179:H2179"/>
    <mergeCell ref="B2194:C2194"/>
    <mergeCell ref="B2064:C2064"/>
    <mergeCell ref="B2070:C2070"/>
    <mergeCell ref="F2108:G2108"/>
    <mergeCell ref="F2164:G2164"/>
    <mergeCell ref="F1788:G1788"/>
    <mergeCell ref="B1789:C1789"/>
    <mergeCell ref="F1772:H1772"/>
    <mergeCell ref="B1823:C1823"/>
    <mergeCell ref="F1825:G1825"/>
    <mergeCell ref="B1850:C1850"/>
    <mergeCell ref="C1839:G1839"/>
    <mergeCell ref="B1840:C1840"/>
    <mergeCell ref="C1892:G1892"/>
    <mergeCell ref="F1832:G1832"/>
    <mergeCell ref="B1829:C1829"/>
    <mergeCell ref="B1833:C1833"/>
    <mergeCell ref="F1836:G1836"/>
    <mergeCell ref="F1837:G1837"/>
    <mergeCell ref="F1838:H1838"/>
    <mergeCell ref="F1799:G1799"/>
    <mergeCell ref="F504:G504"/>
    <mergeCell ref="B955:C955"/>
    <mergeCell ref="C1001:G1001"/>
    <mergeCell ref="B1002:C1002"/>
    <mergeCell ref="F983:G983"/>
    <mergeCell ref="B996:C996"/>
    <mergeCell ref="F998:G998"/>
    <mergeCell ref="F1873:G1873"/>
    <mergeCell ref="F1874:H1874"/>
    <mergeCell ref="F1568:G1568"/>
    <mergeCell ref="F1569:H1569"/>
    <mergeCell ref="F1519:G1519"/>
    <mergeCell ref="B1549:C1549"/>
    <mergeCell ref="B1451:C1451"/>
    <mergeCell ref="B1531:C1531"/>
    <mergeCell ref="F1534:G1534"/>
    <mergeCell ref="F1685:H1685"/>
    <mergeCell ref="F1670:G1670"/>
    <mergeCell ref="C1663:G1663"/>
    <mergeCell ref="F1725:H1725"/>
    <mergeCell ref="F1556:G1556"/>
    <mergeCell ref="C1673:G1673"/>
    <mergeCell ref="B1701:C1701"/>
    <mergeCell ref="F1623:G1623"/>
    <mergeCell ref="B1624:C1624"/>
    <mergeCell ref="B1634:C1634"/>
    <mergeCell ref="B1774:C1774"/>
    <mergeCell ref="F1777:G1777"/>
    <mergeCell ref="B1778:C1778"/>
    <mergeCell ref="F1782:G1782"/>
    <mergeCell ref="F530:G530"/>
    <mergeCell ref="F535:G535"/>
    <mergeCell ref="B671:C671"/>
    <mergeCell ref="F544:H544"/>
    <mergeCell ref="C680:G680"/>
    <mergeCell ref="B608:C608"/>
    <mergeCell ref="F611:G611"/>
    <mergeCell ref="F723:G723"/>
    <mergeCell ref="F583:G583"/>
    <mergeCell ref="B584:C584"/>
    <mergeCell ref="B574:C574"/>
    <mergeCell ref="F633:G633"/>
    <mergeCell ref="B667:C667"/>
    <mergeCell ref="F670:G670"/>
    <mergeCell ref="F685:G685"/>
    <mergeCell ref="B686:C686"/>
    <mergeCell ref="F649:G649"/>
    <mergeCell ref="C691:G691"/>
    <mergeCell ref="F573:G573"/>
    <mergeCell ref="B556:C556"/>
    <mergeCell ref="B588:C588"/>
    <mergeCell ref="F590:G590"/>
    <mergeCell ref="F591:G591"/>
    <mergeCell ref="F621:G621"/>
    <mergeCell ref="F688:G688"/>
    <mergeCell ref="B681:C681"/>
    <mergeCell ref="B629:C629"/>
    <mergeCell ref="F632:G632"/>
    <mergeCell ref="F628:G628"/>
    <mergeCell ref="F659:G659"/>
    <mergeCell ref="B560:C560"/>
    <mergeCell ref="F592:H592"/>
    <mergeCell ref="F606:H606"/>
    <mergeCell ref="B625:C625"/>
    <mergeCell ref="F678:G678"/>
    <mergeCell ref="F634:H634"/>
    <mergeCell ref="F639:G639"/>
    <mergeCell ref="B640:C640"/>
    <mergeCell ref="F677:G677"/>
    <mergeCell ref="F642:G642"/>
    <mergeCell ref="F643:G643"/>
    <mergeCell ref="F644:H644"/>
    <mergeCell ref="B660:C660"/>
    <mergeCell ref="F664:G664"/>
    <mergeCell ref="F663:G663"/>
    <mergeCell ref="F622:G622"/>
    <mergeCell ref="F554:H554"/>
    <mergeCell ref="C1526:G1526"/>
    <mergeCell ref="B1444:C1444"/>
    <mergeCell ref="B1379:C1379"/>
    <mergeCell ref="F1373:H1373"/>
    <mergeCell ref="F1469:G1469"/>
    <mergeCell ref="F828:G828"/>
    <mergeCell ref="B1105:C1105"/>
    <mergeCell ref="F1107:G1107"/>
    <mergeCell ref="C1094:G1094"/>
    <mergeCell ref="C881:G881"/>
    <mergeCell ref="F958:G958"/>
    <mergeCell ref="F775:G775"/>
    <mergeCell ref="C593:G593"/>
    <mergeCell ref="F696:G696"/>
    <mergeCell ref="B797:C797"/>
    <mergeCell ref="F800:G800"/>
    <mergeCell ref="F562:G562"/>
    <mergeCell ref="F563:G563"/>
    <mergeCell ref="F564:H564"/>
    <mergeCell ref="B1454:C1454"/>
    <mergeCell ref="F1457:G1457"/>
    <mergeCell ref="C778:G778"/>
    <mergeCell ref="B942:C942"/>
    <mergeCell ref="B1108:C1108"/>
    <mergeCell ref="B1395:C1395"/>
    <mergeCell ref="F1392:G1392"/>
    <mergeCell ref="B887:C887"/>
    <mergeCell ref="F890:G890"/>
    <mergeCell ref="F559:G559"/>
    <mergeCell ref="B598:C598"/>
    <mergeCell ref="F679:H679"/>
    <mergeCell ref="B150:C150"/>
    <mergeCell ref="F221:G221"/>
    <mergeCell ref="F360:G360"/>
    <mergeCell ref="F435:H435"/>
    <mergeCell ref="B396:C396"/>
    <mergeCell ref="F433:G433"/>
    <mergeCell ref="F390:H390"/>
    <mergeCell ref="B392:C392"/>
    <mergeCell ref="F395:G395"/>
    <mergeCell ref="B426:C426"/>
    <mergeCell ref="F605:G605"/>
    <mergeCell ref="F871:G871"/>
    <mergeCell ref="B872:C872"/>
    <mergeCell ref="F673:G673"/>
    <mergeCell ref="B674:C674"/>
    <mergeCell ref="B550:C550"/>
    <mergeCell ref="F587:G587"/>
    <mergeCell ref="B526:C526"/>
    <mergeCell ref="F529:G529"/>
    <mergeCell ref="F531:H531"/>
    <mergeCell ref="F716:G716"/>
    <mergeCell ref="B650:C650"/>
    <mergeCell ref="F510:G510"/>
    <mergeCell ref="B511:C511"/>
    <mergeCell ref="B515:C515"/>
    <mergeCell ref="C532:G532"/>
    <mergeCell ref="B769:C769"/>
    <mergeCell ref="F718:H718"/>
    <mergeCell ref="B720:C720"/>
    <mergeCell ref="B724:C724"/>
    <mergeCell ref="F665:H665"/>
    <mergeCell ref="F772:G772"/>
    <mergeCell ref="F222:H222"/>
    <mergeCell ref="B189:C189"/>
    <mergeCell ref="B252:C252"/>
    <mergeCell ref="F255:G255"/>
    <mergeCell ref="B210:C210"/>
    <mergeCell ref="F236:H236"/>
    <mergeCell ref="F264:H264"/>
    <mergeCell ref="B266:C266"/>
    <mergeCell ref="F248:G248"/>
    <mergeCell ref="F249:G249"/>
    <mergeCell ref="B218:C218"/>
    <mergeCell ref="F220:G220"/>
    <mergeCell ref="F193:G193"/>
    <mergeCell ref="F194:H194"/>
    <mergeCell ref="F176:G176"/>
    <mergeCell ref="F286:G286"/>
    <mergeCell ref="F287:G287"/>
    <mergeCell ref="B274:C274"/>
    <mergeCell ref="F276:G276"/>
    <mergeCell ref="F277:G277"/>
    <mergeCell ref="F367:G367"/>
    <mergeCell ref="C363:G363"/>
    <mergeCell ref="F389:G389"/>
    <mergeCell ref="F315:G315"/>
    <mergeCell ref="F335:G335"/>
    <mergeCell ref="F40:G40"/>
    <mergeCell ref="B41:C41"/>
    <mergeCell ref="F53:G53"/>
    <mergeCell ref="F54:G54"/>
    <mergeCell ref="F55:H55"/>
    <mergeCell ref="F72:G72"/>
    <mergeCell ref="B106:C106"/>
    <mergeCell ref="F73:H73"/>
    <mergeCell ref="F121:G121"/>
    <mergeCell ref="B122:C122"/>
    <mergeCell ref="C209:G209"/>
    <mergeCell ref="C188:G188"/>
    <mergeCell ref="F187:H187"/>
    <mergeCell ref="B75:C75"/>
    <mergeCell ref="F71:G71"/>
    <mergeCell ref="F67:G67"/>
    <mergeCell ref="F92:G92"/>
    <mergeCell ref="F94:H94"/>
    <mergeCell ref="F162:G162"/>
    <mergeCell ref="B270:C270"/>
    <mergeCell ref="B143:C143"/>
    <mergeCell ref="C251:G251"/>
    <mergeCell ref="B301:C301"/>
    <mergeCell ref="B174:C174"/>
    <mergeCell ref="F177:G177"/>
    <mergeCell ref="F178:H178"/>
    <mergeCell ref="F166:G166"/>
    <mergeCell ref="F458:G458"/>
    <mergeCell ref="B224:C224"/>
    <mergeCell ref="F227:G227"/>
    <mergeCell ref="B228:C228"/>
    <mergeCell ref="F231:G231"/>
    <mergeCell ref="B232:C232"/>
    <mergeCell ref="B132:C132"/>
    <mergeCell ref="B68:C68"/>
    <mergeCell ref="F128:G128"/>
    <mergeCell ref="F129:G129"/>
    <mergeCell ref="F130:H130"/>
    <mergeCell ref="B139:C139"/>
    <mergeCell ref="F192:G192"/>
    <mergeCell ref="B14:C14"/>
    <mergeCell ref="F16:G16"/>
    <mergeCell ref="F17:G17"/>
    <mergeCell ref="F23:G23"/>
    <mergeCell ref="F24:H24"/>
    <mergeCell ref="F136:G136"/>
    <mergeCell ref="B163:C163"/>
    <mergeCell ref="B200:C200"/>
    <mergeCell ref="F202:G202"/>
    <mergeCell ref="F207:G207"/>
    <mergeCell ref="F84:H84"/>
    <mergeCell ref="F125:G125"/>
    <mergeCell ref="B126:C126"/>
    <mergeCell ref="F168:H168"/>
    <mergeCell ref="B180:C180"/>
    <mergeCell ref="B110:C110"/>
    <mergeCell ref="F105:G105"/>
    <mergeCell ref="C95:G95"/>
    <mergeCell ref="C115:G115"/>
    <mergeCell ref="C7:G7"/>
    <mergeCell ref="B196:C196"/>
    <mergeCell ref="F185:G185"/>
    <mergeCell ref="F345:G345"/>
    <mergeCell ref="F82:G82"/>
    <mergeCell ref="C19:G19"/>
    <mergeCell ref="F18:H18"/>
    <mergeCell ref="B57:C57"/>
    <mergeCell ref="B8:C8"/>
    <mergeCell ref="F93:G93"/>
    <mergeCell ref="F283:G283"/>
    <mergeCell ref="C289:G289"/>
    <mergeCell ref="F109:G109"/>
    <mergeCell ref="F112:G112"/>
    <mergeCell ref="F114:H114"/>
    <mergeCell ref="B116:C116"/>
    <mergeCell ref="F10:G10"/>
    <mergeCell ref="F11:G11"/>
    <mergeCell ref="F12:H12"/>
    <mergeCell ref="B170:C170"/>
    <mergeCell ref="F142:G142"/>
    <mergeCell ref="F135:G135"/>
    <mergeCell ref="F137:H137"/>
    <mergeCell ref="C131:G131"/>
    <mergeCell ref="C159:G159"/>
    <mergeCell ref="C169:G169"/>
    <mergeCell ref="F157:G157"/>
    <mergeCell ref="F199:G199"/>
    <mergeCell ref="F234:G234"/>
    <mergeCell ref="F235:G235"/>
    <mergeCell ref="C179:G179"/>
    <mergeCell ref="F306:H306"/>
    <mergeCell ref="B1865:C1865"/>
    <mergeCell ref="B1707:C1707"/>
    <mergeCell ref="F1709:G1709"/>
    <mergeCell ref="B459:C459"/>
    <mergeCell ref="B618:C618"/>
    <mergeCell ref="F331:G331"/>
    <mergeCell ref="F362:H362"/>
    <mergeCell ref="B364:C364"/>
    <mergeCell ref="F208:H208"/>
    <mergeCell ref="F461:G461"/>
    <mergeCell ref="F790:G790"/>
    <mergeCell ref="F486:G486"/>
    <mergeCell ref="B487:C487"/>
    <mergeCell ref="B479:C479"/>
    <mergeCell ref="F482:G482"/>
    <mergeCell ref="F505:H505"/>
    <mergeCell ref="F336:G336"/>
    <mergeCell ref="B441:C441"/>
    <mergeCell ref="F496:G496"/>
    <mergeCell ref="B497:C497"/>
    <mergeCell ref="F500:G500"/>
    <mergeCell ref="F444:G444"/>
    <mergeCell ref="B256:C256"/>
    <mergeCell ref="F695:G695"/>
    <mergeCell ref="B594:C594"/>
    <mergeCell ref="B612:C612"/>
    <mergeCell ref="B646:C646"/>
    <mergeCell ref="C709:G709"/>
    <mergeCell ref="B744:C744"/>
    <mergeCell ref="F737:G737"/>
    <mergeCell ref="F738:H738"/>
    <mergeCell ref="B714:C714"/>
    <mergeCell ref="F1652:H1652"/>
    <mergeCell ref="F1737:G1737"/>
    <mergeCell ref="B1720:C1720"/>
    <mergeCell ref="C1537:G1537"/>
    <mergeCell ref="F1578:G1578"/>
    <mergeCell ref="F1715:H1715"/>
    <mergeCell ref="F1656:G1656"/>
    <mergeCell ref="F1650:G1650"/>
    <mergeCell ref="F1651:G1651"/>
    <mergeCell ref="F2247:G2247"/>
    <mergeCell ref="B2148:C2148"/>
    <mergeCell ref="F2134:G2134"/>
    <mergeCell ref="F1982:G1982"/>
    <mergeCell ref="F1767:G1767"/>
    <mergeCell ref="B1861:C1861"/>
    <mergeCell ref="C1926:G1926"/>
    <mergeCell ref="B1927:C1927"/>
    <mergeCell ref="F1931:G1931"/>
    <mergeCell ref="B1932:C1932"/>
    <mergeCell ref="F1935:G1935"/>
    <mergeCell ref="F1936:G1936"/>
    <mergeCell ref="F2199:G2199"/>
    <mergeCell ref="B2142:C2142"/>
    <mergeCell ref="F1632:H1632"/>
    <mergeCell ref="C1716:G1716"/>
    <mergeCell ref="F1770:G1770"/>
    <mergeCell ref="B1796:C1796"/>
    <mergeCell ref="F1822:G1822"/>
    <mergeCell ref="C1849:G1849"/>
    <mergeCell ref="C1915:G1915"/>
    <mergeCell ref="F1914:H1914"/>
    <mergeCell ref="B1905:C1905"/>
    <mergeCell ref="C896:G896"/>
    <mergeCell ref="F909:G909"/>
    <mergeCell ref="C911:G911"/>
    <mergeCell ref="C931:G931"/>
    <mergeCell ref="B916:C916"/>
    <mergeCell ref="F915:G915"/>
    <mergeCell ref="F918:G918"/>
    <mergeCell ref="F919:G919"/>
    <mergeCell ref="B1644:C1644"/>
    <mergeCell ref="C1763:G1763"/>
    <mergeCell ref="B1753:C1753"/>
    <mergeCell ref="B1743:C1743"/>
    <mergeCell ref="B1764:C1764"/>
    <mergeCell ref="F1641:G1641"/>
    <mergeCell ref="F1742:G1742"/>
    <mergeCell ref="F1723:G1723"/>
    <mergeCell ref="F1545:G1545"/>
    <mergeCell ref="F1671:G1671"/>
    <mergeCell ref="C1686:G1686"/>
    <mergeCell ref="C1696:G1696"/>
    <mergeCell ref="C1706:G1706"/>
    <mergeCell ref="B1667:C1667"/>
    <mergeCell ref="F1630:G1630"/>
    <mergeCell ref="C1588:G1588"/>
    <mergeCell ref="F1591:G1591"/>
    <mergeCell ref="F1636:G1636"/>
    <mergeCell ref="B1582:C1582"/>
    <mergeCell ref="F1760:G1760"/>
    <mergeCell ref="F1761:G1761"/>
    <mergeCell ref="F1762:H1762"/>
    <mergeCell ref="C1752:G1752"/>
    <mergeCell ref="C1609:G1609"/>
    <mergeCell ref="B1230:C1230"/>
    <mergeCell ref="F1234:H1234"/>
    <mergeCell ref="F1351:G1351"/>
    <mergeCell ref="F1352:G1352"/>
    <mergeCell ref="F1353:H1353"/>
    <mergeCell ref="B1355:C1355"/>
    <mergeCell ref="F1358:G1358"/>
    <mergeCell ref="F1361:G1361"/>
    <mergeCell ref="F1363:H1363"/>
    <mergeCell ref="C1334:G1334"/>
    <mergeCell ref="C1344:G1344"/>
    <mergeCell ref="C1354:G1354"/>
    <mergeCell ref="F1341:G1341"/>
    <mergeCell ref="F1343:H1343"/>
    <mergeCell ref="F1342:G1342"/>
    <mergeCell ref="F1321:G1321"/>
    <mergeCell ref="F851:G851"/>
    <mergeCell ref="F852:H852"/>
    <mergeCell ref="F857:G857"/>
    <mergeCell ref="B876:C876"/>
    <mergeCell ref="F866:H866"/>
    <mergeCell ref="F878:G878"/>
    <mergeCell ref="F879:G879"/>
    <mergeCell ref="F880:H880"/>
    <mergeCell ref="B882:C882"/>
    <mergeCell ref="B897:C897"/>
    <mergeCell ref="F939:G939"/>
    <mergeCell ref="F929:G929"/>
    <mergeCell ref="F930:H930"/>
    <mergeCell ref="B902:C902"/>
    <mergeCell ref="F865:G865"/>
    <mergeCell ref="F875:G875"/>
    <mergeCell ref="C1394:G1394"/>
    <mergeCell ref="C1404:G1404"/>
    <mergeCell ref="B1385:C1385"/>
    <mergeCell ref="F817:G817"/>
    <mergeCell ref="B1303:C1303"/>
    <mergeCell ref="F1306:G1306"/>
    <mergeCell ref="B1307:C1307"/>
    <mergeCell ref="F1196:G1196"/>
    <mergeCell ref="B1197:C1197"/>
    <mergeCell ref="F1171:G1171"/>
    <mergeCell ref="F1172:G1172"/>
    <mergeCell ref="C1192:G1192"/>
    <mergeCell ref="F1206:H1206"/>
    <mergeCell ref="B1201:C1201"/>
    <mergeCell ref="B1175:C1175"/>
    <mergeCell ref="C1249:G1249"/>
    <mergeCell ref="F1233:G1233"/>
    <mergeCell ref="F1371:G1371"/>
    <mergeCell ref="F1372:G1372"/>
    <mergeCell ref="B1287:C1287"/>
    <mergeCell ref="F1290:G1290"/>
    <mergeCell ref="F1286:G1286"/>
    <mergeCell ref="F1311:H1311"/>
    <mergeCell ref="F1218:G1218"/>
    <mergeCell ref="B1254:C1254"/>
    <mergeCell ref="C1235:G1235"/>
    <mergeCell ref="B1236:C1236"/>
    <mergeCell ref="F1239:G1239"/>
    <mergeCell ref="B1240:C1240"/>
    <mergeCell ref="F1243:G1243"/>
    <mergeCell ref="B1244:C1244"/>
    <mergeCell ref="F1246:G1246"/>
    <mergeCell ref="F1393:H1393"/>
    <mergeCell ref="F1402:G1402"/>
    <mergeCell ref="B1250:C1250"/>
    <mergeCell ref="F1253:G1253"/>
    <mergeCell ref="B1263:C1263"/>
    <mergeCell ref="F1289:G1289"/>
    <mergeCell ref="F1291:H1291"/>
    <mergeCell ref="C1221:G1221"/>
    <mergeCell ref="B1226:C1226"/>
    <mergeCell ref="F1229:G1229"/>
    <mergeCell ref="F1267:G1267"/>
    <mergeCell ref="F1272:G1272"/>
    <mergeCell ref="B1273:C1273"/>
    <mergeCell ref="F1276:G1276"/>
    <mergeCell ref="B1168:C1168"/>
    <mergeCell ref="F861:G861"/>
    <mergeCell ref="B862:C862"/>
    <mergeCell ref="F1247:G1247"/>
    <mergeCell ref="B1222:C1222"/>
    <mergeCell ref="F1225:G1225"/>
    <mergeCell ref="F1296:G1296"/>
    <mergeCell ref="B1297:C1297"/>
    <mergeCell ref="F1299:G1299"/>
    <mergeCell ref="F1300:G1300"/>
    <mergeCell ref="F1301:H1301"/>
    <mergeCell ref="B1313:C1313"/>
    <mergeCell ref="F1316:G1316"/>
    <mergeCell ref="B1317:C1317"/>
    <mergeCell ref="F894:G894"/>
    <mergeCell ref="F895:H895"/>
    <mergeCell ref="F864:G864"/>
    <mergeCell ref="B891:C891"/>
    <mergeCell ref="F1398:G1398"/>
    <mergeCell ref="B1461:C1461"/>
    <mergeCell ref="F1464:G1464"/>
    <mergeCell ref="B1465:C1465"/>
    <mergeCell ref="B1416:C1416"/>
    <mergeCell ref="B1399:C1399"/>
    <mergeCell ref="F1437:G1437"/>
    <mergeCell ref="F1597:H1597"/>
    <mergeCell ref="C1460:G1460"/>
    <mergeCell ref="F1530:G1530"/>
    <mergeCell ref="B1405:C1405"/>
    <mergeCell ref="F1580:H1580"/>
    <mergeCell ref="F1617:G1617"/>
    <mergeCell ref="B1542:C1542"/>
    <mergeCell ref="F1535:G1535"/>
    <mergeCell ref="F1420:G1420"/>
    <mergeCell ref="F1563:G1563"/>
    <mergeCell ref="F1602:G1602"/>
    <mergeCell ref="F1415:G1415"/>
    <mergeCell ref="C1440:G1440"/>
    <mergeCell ref="B1538:C1538"/>
    <mergeCell ref="B1610:C1610"/>
    <mergeCell ref="F1612:G1612"/>
    <mergeCell ref="B1613:C1613"/>
    <mergeCell ref="F1616:G1616"/>
    <mergeCell ref="B1553:C1553"/>
    <mergeCell ref="F1579:G1579"/>
    <mergeCell ref="F1546:G1546"/>
    <mergeCell ref="F1502:G1502"/>
    <mergeCell ref="C1504:G1504"/>
    <mergeCell ref="B1505:C1505"/>
    <mergeCell ref="F1508:G1508"/>
    <mergeCell ref="F1421:H1421"/>
    <mergeCell ref="C1450:G1450"/>
    <mergeCell ref="B1571:C1571"/>
    <mergeCell ref="B1527:C1527"/>
    <mergeCell ref="F1631:G1631"/>
    <mergeCell ref="B1603:C1603"/>
    <mergeCell ref="F1459:H1459"/>
    <mergeCell ref="F1586:G1586"/>
    <mergeCell ref="F1587:H1587"/>
    <mergeCell ref="B1589:C1589"/>
    <mergeCell ref="C1581:G1581"/>
    <mergeCell ref="F1098:G1098"/>
    <mergeCell ref="B992:C992"/>
    <mergeCell ref="B980:C980"/>
    <mergeCell ref="F954:G954"/>
    <mergeCell ref="C961:G961"/>
    <mergeCell ref="F948:G948"/>
    <mergeCell ref="C1515:G1515"/>
    <mergeCell ref="B1657:C1657"/>
    <mergeCell ref="F1660:G1660"/>
    <mergeCell ref="F1447:G1447"/>
    <mergeCell ref="F1448:G1448"/>
    <mergeCell ref="F1433:G1433"/>
    <mergeCell ref="B1434:C1434"/>
    <mergeCell ref="B1423:C1423"/>
    <mergeCell ref="F1419:G1419"/>
    <mergeCell ref="B1592:C1592"/>
    <mergeCell ref="F1595:G1595"/>
    <mergeCell ref="C1559:G1559"/>
    <mergeCell ref="F1557:G1557"/>
    <mergeCell ref="F1458:G1458"/>
    <mergeCell ref="B1564:C1564"/>
    <mergeCell ref="F1567:G1567"/>
    <mergeCell ref="F1585:G1585"/>
    <mergeCell ref="C1548:G1548"/>
    <mergeCell ref="F1449:H1449"/>
    <mergeCell ref="C1422:G1422"/>
    <mergeCell ref="B1441:C1441"/>
    <mergeCell ref="F1443:G1443"/>
    <mergeCell ref="F1468:G1468"/>
    <mergeCell ref="F1626:G1626"/>
    <mergeCell ref="C1633:G1633"/>
    <mergeCell ref="B1575:C1575"/>
    <mergeCell ref="C13:G13"/>
    <mergeCell ref="C138:G138"/>
    <mergeCell ref="B20:C20"/>
    <mergeCell ref="F22:G22"/>
    <mergeCell ref="B437:C437"/>
    <mergeCell ref="B318:C318"/>
    <mergeCell ref="F321:G321"/>
    <mergeCell ref="F269:G269"/>
    <mergeCell ref="F153:G153"/>
    <mergeCell ref="B154:C154"/>
    <mergeCell ref="F206:G206"/>
    <mergeCell ref="B203:C203"/>
    <mergeCell ref="F156:G156"/>
    <mergeCell ref="F295:H295"/>
    <mergeCell ref="B297:C297"/>
    <mergeCell ref="F300:G300"/>
    <mergeCell ref="F304:G304"/>
    <mergeCell ref="F305:G305"/>
    <mergeCell ref="B100:C100"/>
    <mergeCell ref="C296:G296"/>
    <mergeCell ref="C307:G307"/>
    <mergeCell ref="F434:G434"/>
    <mergeCell ref="F83:G83"/>
    <mergeCell ref="F167:G167"/>
    <mergeCell ref="C237:G237"/>
    <mergeCell ref="C195:G195"/>
    <mergeCell ref="F259:G259"/>
    <mergeCell ref="B260:C260"/>
    <mergeCell ref="F250:H250"/>
    <mergeCell ref="B238:C238"/>
    <mergeCell ref="B242:C242"/>
    <mergeCell ref="C223:G223"/>
    <mergeCell ref="B26:C26"/>
    <mergeCell ref="F36:G36"/>
    <mergeCell ref="B37:C37"/>
    <mergeCell ref="B160:C160"/>
    <mergeCell ref="F158:H158"/>
    <mergeCell ref="F217:G217"/>
    <mergeCell ref="F149:G149"/>
    <mergeCell ref="B580:C580"/>
    <mergeCell ref="B1006:C1006"/>
    <mergeCell ref="F1009:G1009"/>
    <mergeCell ref="C1012:G1012"/>
    <mergeCell ref="F1020:G1020"/>
    <mergeCell ref="B636:C636"/>
    <mergeCell ref="F601:G601"/>
    <mergeCell ref="F768:G768"/>
    <mergeCell ref="F697:H697"/>
    <mergeCell ref="B699:C699"/>
    <mergeCell ref="F702:G702"/>
    <mergeCell ref="F746:G746"/>
    <mergeCell ref="B747:C747"/>
    <mergeCell ref="B703:C703"/>
    <mergeCell ref="C739:G739"/>
    <mergeCell ref="C719:G719"/>
    <mergeCell ref="F758:G758"/>
    <mergeCell ref="F763:H763"/>
    <mergeCell ref="C764:G764"/>
    <mergeCell ref="F708:H708"/>
    <mergeCell ref="F623:H623"/>
    <mergeCell ref="F752:H752"/>
    <mergeCell ref="B765:C765"/>
    <mergeCell ref="F950:H950"/>
    <mergeCell ref="B952:C952"/>
    <mergeCell ref="F361:G361"/>
    <mergeCell ref="C338:G338"/>
    <mergeCell ref="F463:H463"/>
    <mergeCell ref="B465:C465"/>
    <mergeCell ref="F472:G472"/>
    <mergeCell ref="B353:C353"/>
    <mergeCell ref="F316:H316"/>
    <mergeCell ref="F351:H351"/>
    <mergeCell ref="C976:G976"/>
    <mergeCell ref="F314:G314"/>
    <mergeCell ref="C317:G317"/>
    <mergeCell ref="F385:G385"/>
    <mergeCell ref="B386:C386"/>
    <mergeCell ref="F378:G378"/>
    <mergeCell ref="F380:H380"/>
    <mergeCell ref="B86:C86"/>
    <mergeCell ref="B96:C96"/>
    <mergeCell ref="F949:G949"/>
    <mergeCell ref="B945:C945"/>
    <mergeCell ref="F803:G803"/>
    <mergeCell ref="C834:G834"/>
    <mergeCell ref="F810:G810"/>
    <mergeCell ref="B854:C854"/>
    <mergeCell ref="C853:G853"/>
    <mergeCell ref="C867:G867"/>
    <mergeCell ref="F886:G886"/>
    <mergeCell ref="B868:C868"/>
    <mergeCell ref="B858:C858"/>
    <mergeCell ref="F893:G893"/>
    <mergeCell ref="F905:G905"/>
    <mergeCell ref="F908:G908"/>
    <mergeCell ref="B906:C906"/>
    <mergeCell ref="F88:G88"/>
    <mergeCell ref="B89:C89"/>
    <mergeCell ref="F173:G173"/>
    <mergeCell ref="F186:G186"/>
    <mergeCell ref="F553:G553"/>
    <mergeCell ref="B533:C533"/>
    <mergeCell ref="B536:C536"/>
    <mergeCell ref="B284:C284"/>
    <mergeCell ref="B312:C312"/>
    <mergeCell ref="B473:C473"/>
    <mergeCell ref="F99:G99"/>
    <mergeCell ref="F113:G113"/>
    <mergeCell ref="F422:G422"/>
    <mergeCell ref="F415:G415"/>
    <mergeCell ref="C492:G492"/>
    <mergeCell ref="C506:G506"/>
    <mergeCell ref="F490:G490"/>
    <mergeCell ref="B416:C416"/>
    <mergeCell ref="F418:G418"/>
    <mergeCell ref="B405:C405"/>
    <mergeCell ref="C381:G381"/>
    <mergeCell ref="C370:G370"/>
    <mergeCell ref="B419:C419"/>
    <mergeCell ref="F350:G350"/>
    <mergeCell ref="B343:C343"/>
    <mergeCell ref="F491:H491"/>
    <mergeCell ref="B493:C493"/>
    <mergeCell ref="B501:C501"/>
    <mergeCell ref="F503:G503"/>
    <mergeCell ref="F468:G468"/>
    <mergeCell ref="F273:G273"/>
    <mergeCell ref="F262:G262"/>
    <mergeCell ref="C279:G279"/>
    <mergeCell ref="F294:G294"/>
    <mergeCell ref="B280:C280"/>
    <mergeCell ref="F241:G241"/>
    <mergeCell ref="F245:G245"/>
    <mergeCell ref="F288:H288"/>
    <mergeCell ref="C265:G265"/>
    <mergeCell ref="F263:G263"/>
    <mergeCell ref="F337:H337"/>
    <mergeCell ref="B339:C339"/>
    <mergeCell ref="F342:G342"/>
    <mergeCell ref="B346:C346"/>
    <mergeCell ref="F349:G349"/>
    <mergeCell ref="F357:G357"/>
    <mergeCell ref="C352:G352"/>
    <mergeCell ref="B246:C246"/>
    <mergeCell ref="F278:H278"/>
    <mergeCell ref="B332:C332"/>
    <mergeCell ref="B308:C308"/>
    <mergeCell ref="F311:G311"/>
    <mergeCell ref="F293:G293"/>
    <mergeCell ref="B290:C290"/>
    <mergeCell ref="B382:C382"/>
    <mergeCell ref="F388:G388"/>
    <mergeCell ref="C391:G391"/>
    <mergeCell ref="B322:C322"/>
    <mergeCell ref="F408:G408"/>
    <mergeCell ref="F409:G409"/>
    <mergeCell ref="F410:H410"/>
    <mergeCell ref="B412:C412"/>
    <mergeCell ref="C411:G411"/>
    <mergeCell ref="F489:G489"/>
    <mergeCell ref="F476:G476"/>
    <mergeCell ref="B483:C483"/>
    <mergeCell ref="B375:C375"/>
    <mergeCell ref="F379:G379"/>
    <mergeCell ref="B451:C451"/>
    <mergeCell ref="F477:H477"/>
    <mergeCell ref="F525:G525"/>
    <mergeCell ref="F517:G517"/>
    <mergeCell ref="F423:G423"/>
    <mergeCell ref="F424:H424"/>
    <mergeCell ref="F430:G430"/>
    <mergeCell ref="B431:C431"/>
    <mergeCell ref="B445:C445"/>
    <mergeCell ref="F404:G404"/>
    <mergeCell ref="B371:C371"/>
    <mergeCell ref="F374:G374"/>
    <mergeCell ref="B358:C358"/>
    <mergeCell ref="F369:H369"/>
    <mergeCell ref="B507:C507"/>
    <mergeCell ref="B469:C469"/>
    <mergeCell ref="C436:G436"/>
    <mergeCell ref="F368:G368"/>
    <mergeCell ref="F539:G539"/>
    <mergeCell ref="B602:C602"/>
    <mergeCell ref="C464:G464"/>
    <mergeCell ref="C478:G478"/>
    <mergeCell ref="F475:G475"/>
    <mergeCell ref="F447:G447"/>
    <mergeCell ref="F448:G448"/>
    <mergeCell ref="F449:H449"/>
    <mergeCell ref="F454:G454"/>
    <mergeCell ref="C450:G450"/>
    <mergeCell ref="F462:G462"/>
    <mergeCell ref="C425:G425"/>
    <mergeCell ref="F518:G518"/>
    <mergeCell ref="F519:H519"/>
    <mergeCell ref="C565:G565"/>
    <mergeCell ref="B566:C566"/>
    <mergeCell ref="F569:G569"/>
    <mergeCell ref="B570:C570"/>
    <mergeCell ref="F542:G542"/>
    <mergeCell ref="F440:G440"/>
    <mergeCell ref="B540:C540"/>
    <mergeCell ref="F576:G576"/>
    <mergeCell ref="F577:G577"/>
    <mergeCell ref="F514:G514"/>
    <mergeCell ref="F543:G543"/>
    <mergeCell ref="B521:C521"/>
    <mergeCell ref="F597:G597"/>
    <mergeCell ref="F552:G552"/>
    <mergeCell ref="B546:C546"/>
    <mergeCell ref="F549:G549"/>
    <mergeCell ref="C520:G520"/>
    <mergeCell ref="B455:C455"/>
    <mergeCell ref="F614:G614"/>
    <mergeCell ref="F615:G615"/>
    <mergeCell ref="F616:H616"/>
    <mergeCell ref="C579:G579"/>
    <mergeCell ref="F707:G707"/>
    <mergeCell ref="F706:G706"/>
    <mergeCell ref="F736:G736"/>
    <mergeCell ref="F743:G743"/>
    <mergeCell ref="B740:C740"/>
    <mergeCell ref="F732:G732"/>
    <mergeCell ref="B759:C759"/>
    <mergeCell ref="F761:G761"/>
    <mergeCell ref="C753:G753"/>
    <mergeCell ref="B710:C710"/>
    <mergeCell ref="F750:G750"/>
    <mergeCell ref="F776:G776"/>
    <mergeCell ref="F777:H777"/>
    <mergeCell ref="B754:C754"/>
    <mergeCell ref="F717:G717"/>
    <mergeCell ref="F604:G604"/>
    <mergeCell ref="C698:G698"/>
    <mergeCell ref="F689:G689"/>
    <mergeCell ref="F690:H690"/>
    <mergeCell ref="B692:C692"/>
    <mergeCell ref="B779:C779"/>
    <mergeCell ref="F782:G782"/>
    <mergeCell ref="B807:C807"/>
    <mergeCell ref="C792:G792"/>
    <mergeCell ref="B783:C783"/>
    <mergeCell ref="F786:G786"/>
    <mergeCell ref="F751:G751"/>
    <mergeCell ref="F762:G762"/>
    <mergeCell ref="B787:C787"/>
    <mergeCell ref="F713:G713"/>
    <mergeCell ref="B835:C835"/>
    <mergeCell ref="B811:C811"/>
    <mergeCell ref="F814:G814"/>
    <mergeCell ref="B815:C815"/>
    <mergeCell ref="F791:H791"/>
    <mergeCell ref="B793:C793"/>
    <mergeCell ref="F796:G796"/>
    <mergeCell ref="B733:C733"/>
    <mergeCell ref="F789:G789"/>
    <mergeCell ref="B773:C773"/>
    <mergeCell ref="B844:C844"/>
    <mergeCell ref="B825:C825"/>
    <mergeCell ref="C806:G806"/>
    <mergeCell ref="B801:C801"/>
    <mergeCell ref="F850:G850"/>
    <mergeCell ref="C820:G820"/>
    <mergeCell ref="F831:G831"/>
    <mergeCell ref="F832:G832"/>
    <mergeCell ref="B821:C821"/>
    <mergeCell ref="F824:G824"/>
    <mergeCell ref="B840:C840"/>
    <mergeCell ref="B848:C848"/>
    <mergeCell ref="B829:C829"/>
    <mergeCell ref="F804:G804"/>
    <mergeCell ref="F805:H805"/>
    <mergeCell ref="F847:G847"/>
    <mergeCell ref="F843:G843"/>
    <mergeCell ref="F819:H819"/>
    <mergeCell ref="F818:G818"/>
    <mergeCell ref="F839:G839"/>
    <mergeCell ref="F901:G901"/>
    <mergeCell ref="F974:G974"/>
    <mergeCell ref="F975:H975"/>
    <mergeCell ref="B969:C969"/>
    <mergeCell ref="F959:G959"/>
    <mergeCell ref="F960:H960"/>
    <mergeCell ref="F910:H910"/>
    <mergeCell ref="B926:C926"/>
    <mergeCell ref="F940:H940"/>
    <mergeCell ref="F973:G973"/>
    <mergeCell ref="B962:C962"/>
    <mergeCell ref="C941:G941"/>
    <mergeCell ref="C951:G951"/>
    <mergeCell ref="F944:G944"/>
    <mergeCell ref="F964:G964"/>
    <mergeCell ref="B965:C965"/>
    <mergeCell ref="F968:G968"/>
    <mergeCell ref="B935:C935"/>
    <mergeCell ref="F938:G938"/>
    <mergeCell ref="F928:G928"/>
    <mergeCell ref="B912:C912"/>
    <mergeCell ref="B932:C932"/>
    <mergeCell ref="F934:G934"/>
    <mergeCell ref="B1021:C1021"/>
    <mergeCell ref="F1033:G1033"/>
    <mergeCell ref="B977:C977"/>
    <mergeCell ref="F979:G979"/>
    <mergeCell ref="F1118:H1118"/>
    <mergeCell ref="F989:G989"/>
    <mergeCell ref="F1040:G1040"/>
    <mergeCell ref="F1041:G1041"/>
    <mergeCell ref="F1010:G1010"/>
    <mergeCell ref="F999:G999"/>
    <mergeCell ref="F1005:G1005"/>
    <mergeCell ref="B1013:C1013"/>
    <mergeCell ref="F920:H920"/>
    <mergeCell ref="B922:C922"/>
    <mergeCell ref="F925:G925"/>
    <mergeCell ref="C921:G921"/>
    <mergeCell ref="F990:H990"/>
    <mergeCell ref="F1092:G1092"/>
    <mergeCell ref="B1080:C1080"/>
    <mergeCell ref="F1025:G1025"/>
    <mergeCell ref="F1073:G1073"/>
    <mergeCell ref="B1074:C1074"/>
    <mergeCell ref="F1076:G1076"/>
    <mergeCell ref="B1044:C1044"/>
    <mergeCell ref="F1046:G1046"/>
    <mergeCell ref="B1047:C1047"/>
    <mergeCell ref="F1050:G1050"/>
    <mergeCell ref="F1051:G1051"/>
    <mergeCell ref="C1053:G1053"/>
    <mergeCell ref="B1054:C1054"/>
    <mergeCell ref="F1026:G1026"/>
    <mergeCell ref="F1077:G1077"/>
    <mergeCell ref="F1000:H1000"/>
    <mergeCell ref="F1011:H1011"/>
    <mergeCell ref="C1043:G1043"/>
    <mergeCell ref="F1093:H1093"/>
    <mergeCell ref="B1089:C1089"/>
    <mergeCell ref="F1091:G1091"/>
    <mergeCell ref="B1029:C1029"/>
    <mergeCell ref="C1028:G1028"/>
    <mergeCell ref="F995:G995"/>
    <mergeCell ref="B1139:C1139"/>
    <mergeCell ref="F1155:H1155"/>
    <mergeCell ref="F1154:G1154"/>
    <mergeCell ref="B984:C984"/>
    <mergeCell ref="F988:G988"/>
    <mergeCell ref="F1042:H1042"/>
    <mergeCell ref="C991:G991"/>
    <mergeCell ref="F1063:G1063"/>
    <mergeCell ref="F1064:G1064"/>
    <mergeCell ref="C1066:G1066"/>
    <mergeCell ref="B1067:C1067"/>
    <mergeCell ref="F1069:G1069"/>
    <mergeCell ref="B1070:C1070"/>
    <mergeCell ref="F1084:G1084"/>
    <mergeCell ref="C1079:G1079"/>
    <mergeCell ref="B1112:C1112"/>
    <mergeCell ref="C1104:G1104"/>
    <mergeCell ref="B1120:C1120"/>
    <mergeCell ref="F1131:G1131"/>
    <mergeCell ref="B1132:C1132"/>
    <mergeCell ref="C1138:G1138"/>
    <mergeCell ref="F1059:G1059"/>
    <mergeCell ref="B1060:C1060"/>
    <mergeCell ref="B1179:C1179"/>
    <mergeCell ref="B1150:C1150"/>
    <mergeCell ref="F1153:G1153"/>
    <mergeCell ref="F1149:G1149"/>
    <mergeCell ref="F1137:H1137"/>
    <mergeCell ref="B1034:C1034"/>
    <mergeCell ref="F1037:G1037"/>
    <mergeCell ref="B1038:C1038"/>
    <mergeCell ref="C1156:G1156"/>
    <mergeCell ref="C1174:G1174"/>
    <mergeCell ref="F1160:G1160"/>
    <mergeCell ref="B1085:C1085"/>
    <mergeCell ref="F1088:G1088"/>
    <mergeCell ref="F1111:G1111"/>
    <mergeCell ref="B1193:C1193"/>
    <mergeCell ref="F1190:G1190"/>
    <mergeCell ref="F1191:H1191"/>
    <mergeCell ref="F1135:G1135"/>
    <mergeCell ref="C1119:G1119"/>
    <mergeCell ref="F1136:G1136"/>
    <mergeCell ref="F1116:G1116"/>
    <mergeCell ref="F1185:G1185"/>
    <mergeCell ref="B1186:C1186"/>
    <mergeCell ref="F1189:G1189"/>
    <mergeCell ref="B1161:C1161"/>
    <mergeCell ref="F1167:G1167"/>
    <mergeCell ref="F1117:G1117"/>
    <mergeCell ref="B1095:C1095"/>
    <mergeCell ref="F1103:H1103"/>
    <mergeCell ref="F1178:G1178"/>
    <mergeCell ref="F1266:G1266"/>
    <mergeCell ref="F1268:H1268"/>
    <mergeCell ref="F1381:G1381"/>
    <mergeCell ref="F1382:G1382"/>
    <mergeCell ref="B1359:C1359"/>
    <mergeCell ref="B1365:C1365"/>
    <mergeCell ref="C1292:G1292"/>
    <mergeCell ref="C1312:G1312"/>
    <mergeCell ref="C1302:G1302"/>
    <mergeCell ref="B1270:C1270"/>
    <mergeCell ref="F1280:G1280"/>
    <mergeCell ref="C1269:G1269"/>
    <mergeCell ref="F1200:G1200"/>
    <mergeCell ref="F1204:G1204"/>
    <mergeCell ref="F1205:G1205"/>
    <mergeCell ref="C1207:G1207"/>
    <mergeCell ref="B1099:C1099"/>
    <mergeCell ref="F1102:G1102"/>
    <mergeCell ref="F1173:H1173"/>
    <mergeCell ref="F1220:H1220"/>
    <mergeCell ref="F1213:G1213"/>
    <mergeCell ref="B1214:C1214"/>
    <mergeCell ref="F1219:G1219"/>
    <mergeCell ref="B1208:C1208"/>
    <mergeCell ref="B1157:C1157"/>
    <mergeCell ref="F1101:G1101"/>
    <mergeCell ref="F1378:G1378"/>
    <mergeCell ref="B1277:C1277"/>
    <mergeCell ref="F1279:G1279"/>
    <mergeCell ref="F1262:G1262"/>
    <mergeCell ref="F1248:H1248"/>
    <mergeCell ref="F1232:G1232"/>
    <mergeCell ref="F1391:G1391"/>
    <mergeCell ref="B1335:C1335"/>
    <mergeCell ref="B1345:C1345"/>
    <mergeCell ref="F1362:G1362"/>
    <mergeCell ref="F1337:G1337"/>
    <mergeCell ref="C1282:G1282"/>
    <mergeCell ref="F1347:G1347"/>
    <mergeCell ref="B1348:C1348"/>
    <mergeCell ref="B1293:C1293"/>
    <mergeCell ref="F1333:H1333"/>
    <mergeCell ref="C1323:G1323"/>
    <mergeCell ref="B1324:C1324"/>
    <mergeCell ref="F1327:G1327"/>
    <mergeCell ref="B1328:C1328"/>
    <mergeCell ref="F1331:G1331"/>
    <mergeCell ref="F1332:G1332"/>
    <mergeCell ref="F1309:G1309"/>
    <mergeCell ref="F1310:G1310"/>
    <mergeCell ref="B1389:C1389"/>
    <mergeCell ref="C1384:G1384"/>
    <mergeCell ref="F1322:H1322"/>
    <mergeCell ref="B1283:C1283"/>
    <mergeCell ref="B1375:C1375"/>
    <mergeCell ref="C1364:G1364"/>
    <mergeCell ref="C1374:G1374"/>
    <mergeCell ref="F1368:G1368"/>
    <mergeCell ref="B1369:C1369"/>
    <mergeCell ref="B1338:C1338"/>
    <mergeCell ref="F1320:G1320"/>
    <mergeCell ref="F1388:G1388"/>
    <mergeCell ref="F1403:H1403"/>
    <mergeCell ref="F1401:G1401"/>
    <mergeCell ref="F1453:G1453"/>
    <mergeCell ref="B1768:C1768"/>
    <mergeCell ref="F1771:G1771"/>
    <mergeCell ref="B1516:C1516"/>
    <mergeCell ref="B1520:C1520"/>
    <mergeCell ref="F1523:G1523"/>
    <mergeCell ref="F1524:G1524"/>
    <mergeCell ref="B1733:C1733"/>
    <mergeCell ref="F1683:G1683"/>
    <mergeCell ref="F1684:G1684"/>
    <mergeCell ref="C1653:G1653"/>
    <mergeCell ref="C1570:G1570"/>
    <mergeCell ref="C1598:G1598"/>
    <mergeCell ref="F1666:G1666"/>
    <mergeCell ref="B1654:C1654"/>
    <mergeCell ref="B1599:C1599"/>
    <mergeCell ref="C1643:G1643"/>
    <mergeCell ref="C1619:G1619"/>
    <mergeCell ref="B1627:C1627"/>
    <mergeCell ref="F1756:G1756"/>
    <mergeCell ref="B1757:C1757"/>
    <mergeCell ref="F1749:G1749"/>
    <mergeCell ref="F1751:H1751"/>
    <mergeCell ref="F1746:G1746"/>
    <mergeCell ref="F1750:G1750"/>
    <mergeCell ref="F1719:G1719"/>
    <mergeCell ref="F1736:G1736"/>
    <mergeCell ref="B1747:C1747"/>
    <mergeCell ref="F1438:G1438"/>
    <mergeCell ref="F1439:H1439"/>
    <mergeCell ref="B1674:C1674"/>
    <mergeCell ref="F1676:G1676"/>
    <mergeCell ref="B1727:C1727"/>
    <mergeCell ref="F1574:G1574"/>
    <mergeCell ref="F1732:G1732"/>
    <mergeCell ref="B1717:C1717"/>
    <mergeCell ref="F1536:H1536"/>
    <mergeCell ref="F1606:G1606"/>
    <mergeCell ref="F1607:G1607"/>
    <mergeCell ref="B1620:C1620"/>
    <mergeCell ref="F1680:G1680"/>
    <mergeCell ref="B1681:C1681"/>
    <mergeCell ref="F1690:G1690"/>
    <mergeCell ref="F1714:G1714"/>
    <mergeCell ref="B1560:C1560"/>
    <mergeCell ref="B1697:C1697"/>
    <mergeCell ref="B1687:C1687"/>
    <mergeCell ref="F1661:G1661"/>
    <mergeCell ref="B1691:C1691"/>
    <mergeCell ref="F1700:G1700"/>
    <mergeCell ref="F1694:G1694"/>
    <mergeCell ref="F1703:G1703"/>
    <mergeCell ref="F1695:H1695"/>
    <mergeCell ref="F1552:G1552"/>
    <mergeCell ref="F1608:H1608"/>
    <mergeCell ref="F1541:G1541"/>
    <mergeCell ref="C1726:G1726"/>
    <mergeCell ref="B1637:C1637"/>
    <mergeCell ref="F1704:G1704"/>
    <mergeCell ref="F1705:H1705"/>
    <mergeCell ref="B1710:C1710"/>
    <mergeCell ref="F1713:G1713"/>
    <mergeCell ref="F1596:G1596"/>
    <mergeCell ref="B1664:C1664"/>
    <mergeCell ref="F1846:G1846"/>
    <mergeCell ref="F1847:G1847"/>
    <mergeCell ref="F1864:G1864"/>
    <mergeCell ref="F1897:G1897"/>
    <mergeCell ref="C1784:G1784"/>
    <mergeCell ref="B1804:C1804"/>
    <mergeCell ref="F1794:H1794"/>
    <mergeCell ref="C1773:G1773"/>
    <mergeCell ref="B1893:C1893"/>
    <mergeCell ref="F1781:G1781"/>
    <mergeCell ref="F1792:G1792"/>
    <mergeCell ref="F1858:G1858"/>
    <mergeCell ref="F1859:H1859"/>
    <mergeCell ref="F1853:G1853"/>
    <mergeCell ref="B1854:C1854"/>
    <mergeCell ref="B1818:C1818"/>
    <mergeCell ref="F1793:G1793"/>
    <mergeCell ref="F1783:H1783"/>
    <mergeCell ref="B1785:C1785"/>
    <mergeCell ref="F1724:G1724"/>
    <mergeCell ref="F1738:H1738"/>
    <mergeCell ref="B1740:C1740"/>
    <mergeCell ref="F1646:G1646"/>
    <mergeCell ref="B1647:C1647"/>
    <mergeCell ref="C1739:G1739"/>
    <mergeCell ref="F1640:G1640"/>
    <mergeCell ref="F1642:H1642"/>
    <mergeCell ref="F1693:G1693"/>
    <mergeCell ref="F1672:H1672"/>
    <mergeCell ref="B1677:C1677"/>
    <mergeCell ref="B1887:C1887"/>
    <mergeCell ref="F1889:G1889"/>
    <mergeCell ref="F1890:G1890"/>
    <mergeCell ref="F1857:G1857"/>
    <mergeCell ref="F2035:G2035"/>
    <mergeCell ref="F2048:G2048"/>
    <mergeCell ref="B2051:C2051"/>
    <mergeCell ref="F2056:G2056"/>
    <mergeCell ref="B2057:C2057"/>
    <mergeCell ref="F2060:G2060"/>
    <mergeCell ref="C2037:G2037"/>
    <mergeCell ref="F2030:G2030"/>
    <mergeCell ref="F2013:H2013"/>
    <mergeCell ref="C1938:G1938"/>
    <mergeCell ref="B1939:C1939"/>
    <mergeCell ref="F1941:G1941"/>
    <mergeCell ref="F1969:G1969"/>
    <mergeCell ref="F2022:G2022"/>
    <mergeCell ref="B1985:C1985"/>
    <mergeCell ref="F1988:G1988"/>
    <mergeCell ref="C1860:G1860"/>
    <mergeCell ref="B1979:C1979"/>
    <mergeCell ref="F1901:G1901"/>
    <mergeCell ref="C1984:G1984"/>
    <mergeCell ref="F1886:G1886"/>
    <mergeCell ref="C1875:G1875"/>
    <mergeCell ref="B1989:C1989"/>
    <mergeCell ref="F1991:G1991"/>
    <mergeCell ref="F1992:G1992"/>
    <mergeCell ref="F1993:H1993"/>
    <mergeCell ref="C1994:G1994"/>
    <mergeCell ref="B1995:C1995"/>
    <mergeCell ref="B2077:C2077"/>
    <mergeCell ref="F2082:G2082"/>
    <mergeCell ref="B2083:C2083"/>
    <mergeCell ref="F2002:G2002"/>
    <mergeCell ref="F1964:G1964"/>
    <mergeCell ref="B1962:C1962"/>
    <mergeCell ref="B1965:C1965"/>
    <mergeCell ref="F1968:G1968"/>
    <mergeCell ref="B1942:C1942"/>
    <mergeCell ref="F1945:G1945"/>
    <mergeCell ref="B1946:C1946"/>
    <mergeCell ref="F1948:G1948"/>
    <mergeCell ref="F1949:G1949"/>
    <mergeCell ref="C1951:G1951"/>
    <mergeCell ref="B1952:C1952"/>
    <mergeCell ref="F1955:G1955"/>
    <mergeCell ref="F1959:G1959"/>
    <mergeCell ref="B1956:C1956"/>
    <mergeCell ref="F1958:G1958"/>
    <mergeCell ref="F1998:G1998"/>
    <mergeCell ref="B1999:C1999"/>
    <mergeCell ref="F2001:G2001"/>
    <mergeCell ref="F2273:G2273"/>
    <mergeCell ref="F2274:G2274"/>
    <mergeCell ref="F2275:H2275"/>
    <mergeCell ref="B2090:C2090"/>
    <mergeCell ref="F2036:H2036"/>
    <mergeCell ref="B2038:C2038"/>
    <mergeCell ref="B2044:C2044"/>
    <mergeCell ref="F2047:G2047"/>
    <mergeCell ref="F2099:G2099"/>
    <mergeCell ref="F2100:G2100"/>
    <mergeCell ref="F2101:H2101"/>
    <mergeCell ref="B2103:C2103"/>
    <mergeCell ref="C2102:G2102"/>
    <mergeCell ref="F2112:G2112"/>
    <mergeCell ref="F2113:G2113"/>
    <mergeCell ref="F1970:H1970"/>
    <mergeCell ref="B1972:C1972"/>
    <mergeCell ref="F1974:G1974"/>
    <mergeCell ref="B1975:C1975"/>
    <mergeCell ref="F1978:G1978"/>
    <mergeCell ref="F1981:G1981"/>
    <mergeCell ref="F1983:H1983"/>
    <mergeCell ref="B2096:C2096"/>
    <mergeCell ref="F2095:G2095"/>
    <mergeCell ref="F2088:H2088"/>
    <mergeCell ref="C2089:G2089"/>
    <mergeCell ref="C2076:G2076"/>
    <mergeCell ref="F2073:G2073"/>
    <mergeCell ref="F2086:G2086"/>
    <mergeCell ref="F2069:G2069"/>
    <mergeCell ref="F2074:G2074"/>
    <mergeCell ref="F2075:H2075"/>
    <mergeCell ref="F2496:H2496"/>
    <mergeCell ref="B2524:C2524"/>
    <mergeCell ref="F2625:G2625"/>
    <mergeCell ref="B2491:C2491"/>
    <mergeCell ref="F2576:G2576"/>
    <mergeCell ref="F2520:G2520"/>
    <mergeCell ref="F2087:G2087"/>
    <mergeCell ref="F2293:G2293"/>
    <mergeCell ref="C2286:G2286"/>
    <mergeCell ref="B2287:C2287"/>
    <mergeCell ref="F2289:G2289"/>
    <mergeCell ref="C2254:G2254"/>
    <mergeCell ref="F2228:G2228"/>
    <mergeCell ref="F2211:G2211"/>
    <mergeCell ref="F2160:G2160"/>
    <mergeCell ref="B2161:C2161"/>
    <mergeCell ref="F2173:G2173"/>
    <mergeCell ref="B2174:C2174"/>
    <mergeCell ref="F2177:G2177"/>
    <mergeCell ref="B2266:C2266"/>
    <mergeCell ref="F2269:G2269"/>
    <mergeCell ref="B2270:C2270"/>
    <mergeCell ref="B2290:C2290"/>
    <mergeCell ref="F2251:G2251"/>
    <mergeCell ref="F2252:G2252"/>
    <mergeCell ref="F2165:G2165"/>
    <mergeCell ref="F2166:H2166"/>
    <mergeCell ref="B2168:C2168"/>
    <mergeCell ref="B2259:C2259"/>
    <mergeCell ref="F2262:G2262"/>
    <mergeCell ref="F2263:G2263"/>
    <mergeCell ref="F2264:H2264"/>
    <mergeCell ref="F2661:G2661"/>
    <mergeCell ref="F2662:H2662"/>
    <mergeCell ref="C2663:G2663"/>
    <mergeCell ref="F3169:G3169"/>
    <mergeCell ref="B3194:C3194"/>
    <mergeCell ref="F3171:H3171"/>
    <mergeCell ref="C2412:G2412"/>
    <mergeCell ref="F2420:G2420"/>
    <mergeCell ref="C2432:G2432"/>
    <mergeCell ref="B2433:C2433"/>
    <mergeCell ref="B2391:C2391"/>
    <mergeCell ref="B2362:C2362"/>
    <mergeCell ref="F2648:G2648"/>
    <mergeCell ref="F2725:G2725"/>
    <mergeCell ref="B2726:C2726"/>
    <mergeCell ref="F2729:G2729"/>
    <mergeCell ref="F2730:G2730"/>
    <mergeCell ref="F2533:G2533"/>
    <mergeCell ref="F2544:G2544"/>
    <mergeCell ref="B2585:C2585"/>
    <mergeCell ref="F2626:H2626"/>
    <mergeCell ref="F2516:G2516"/>
    <mergeCell ref="F2438:G2438"/>
    <mergeCell ref="F2464:G2464"/>
    <mergeCell ref="C2536:G2536"/>
    <mergeCell ref="F2443:G2443"/>
    <mergeCell ref="F2444:H2444"/>
    <mergeCell ref="C2445:G2445"/>
    <mergeCell ref="B2446:C2446"/>
    <mergeCell ref="F2535:H2535"/>
    <mergeCell ref="F2494:G2494"/>
    <mergeCell ref="F2495:G2495"/>
    <mergeCell ref="F2550:H2550"/>
    <mergeCell ref="C2551:G2551"/>
    <mergeCell ref="B2552:C2552"/>
    <mergeCell ref="F2559:G2559"/>
    <mergeCell ref="C2523:G2523"/>
    <mergeCell ref="F2529:G2529"/>
    <mergeCell ref="F2521:G2521"/>
    <mergeCell ref="F2564:G2564"/>
    <mergeCell ref="C2627:G2627"/>
    <mergeCell ref="B2628:C2628"/>
    <mergeCell ref="F2632:G2632"/>
    <mergeCell ref="B2633:C2633"/>
    <mergeCell ref="F3202:H3202"/>
    <mergeCell ref="B3204:C3204"/>
    <mergeCell ref="F3211:G3211"/>
    <mergeCell ref="B3173:C3173"/>
    <mergeCell ref="F3190:G3190"/>
    <mergeCell ref="F3196:G3196"/>
    <mergeCell ref="B3197:C3197"/>
    <mergeCell ref="F3200:G3200"/>
    <mergeCell ref="F3201:G3201"/>
    <mergeCell ref="F3176:G3176"/>
    <mergeCell ref="C3162:G3162"/>
    <mergeCell ref="B2737:C2737"/>
    <mergeCell ref="F2740:G2740"/>
    <mergeCell ref="F2649:G2649"/>
    <mergeCell ref="F2650:H2650"/>
    <mergeCell ref="C2651:G2651"/>
    <mergeCell ref="B2652:C2652"/>
    <mergeCell ref="F2656:G2656"/>
    <mergeCell ref="B2657:C2657"/>
    <mergeCell ref="F2660:G2660"/>
    <mergeCell ref="F2468:G2468"/>
    <mergeCell ref="F2470:H2470"/>
    <mergeCell ref="F2522:H2522"/>
    <mergeCell ref="B2485:C2485"/>
    <mergeCell ref="F2490:G2490"/>
    <mergeCell ref="B2616:C2616"/>
    <mergeCell ref="F2636:G2636"/>
    <mergeCell ref="F2578:H2578"/>
    <mergeCell ref="B2537:C2537"/>
    <mergeCell ref="C3203:G3203"/>
    <mergeCell ref="F3180:G3180"/>
    <mergeCell ref="F3181:G3181"/>
    <mergeCell ref="F2577:G2577"/>
    <mergeCell ref="F2469:G2469"/>
    <mergeCell ref="C2484:G2484"/>
    <mergeCell ref="B3214:C3214"/>
    <mergeCell ref="B2664:C2664"/>
    <mergeCell ref="F2668:G2668"/>
    <mergeCell ref="B2669:C2669"/>
    <mergeCell ref="F2672:G2672"/>
    <mergeCell ref="F2673:G2673"/>
    <mergeCell ref="F2674:H2674"/>
    <mergeCell ref="C3213:G3213"/>
    <mergeCell ref="F3206:G3206"/>
    <mergeCell ref="B3207:C3207"/>
    <mergeCell ref="F3210:G3210"/>
    <mergeCell ref="F3212:H3212"/>
    <mergeCell ref="B2517:C2517"/>
    <mergeCell ref="F3191:G3191"/>
    <mergeCell ref="B2511:C2511"/>
    <mergeCell ref="B2560:C2560"/>
    <mergeCell ref="F2563:G2563"/>
    <mergeCell ref="F2442:G2442"/>
    <mergeCell ref="F2337:G2337"/>
    <mergeCell ref="B2338:C2338"/>
    <mergeCell ref="F2342:G2342"/>
    <mergeCell ref="F2343:H2343"/>
    <mergeCell ref="B2345:C2345"/>
    <mergeCell ref="F2350:G2350"/>
    <mergeCell ref="B2351:C2351"/>
    <mergeCell ref="F2354:G2354"/>
    <mergeCell ref="F2355:G2355"/>
    <mergeCell ref="F2356:H2356"/>
    <mergeCell ref="B3163:C3163"/>
    <mergeCell ref="F3165:G3165"/>
    <mergeCell ref="B3166:C3166"/>
    <mergeCell ref="C3183:G3183"/>
    <mergeCell ref="C3193:G3193"/>
    <mergeCell ref="F2365:G2365"/>
    <mergeCell ref="F2366:G2366"/>
    <mergeCell ref="C2458:G2458"/>
    <mergeCell ref="B2459:C2459"/>
    <mergeCell ref="F3192:H3192"/>
    <mergeCell ref="F3182:H3182"/>
    <mergeCell ref="B3184:C3184"/>
    <mergeCell ref="F3186:G3186"/>
    <mergeCell ref="B2498:C2498"/>
    <mergeCell ref="F2503:G2503"/>
    <mergeCell ref="B2504:C2504"/>
    <mergeCell ref="F2509:H2509"/>
    <mergeCell ref="F2612:G2612"/>
    <mergeCell ref="F2614:H2614"/>
    <mergeCell ref="C2615:G2615"/>
    <mergeCell ref="B2465:C2465"/>
    <mergeCell ref="C3249:G3249"/>
    <mergeCell ref="B3261:C3261"/>
    <mergeCell ref="B3254:C3254"/>
    <mergeCell ref="B3221:C3221"/>
    <mergeCell ref="F3223:G3223"/>
    <mergeCell ref="F3224:G3224"/>
    <mergeCell ref="F3225:H3225"/>
    <mergeCell ref="B3227:C3227"/>
    <mergeCell ref="F3229:G3229"/>
    <mergeCell ref="B3230:C3230"/>
    <mergeCell ref="B3234:C3234"/>
    <mergeCell ref="F3236:G3236"/>
    <mergeCell ref="F3237:G3237"/>
    <mergeCell ref="F3238:H3238"/>
    <mergeCell ref="B3240:C3240"/>
    <mergeCell ref="F3242:G3242"/>
    <mergeCell ref="C3226:G3226"/>
    <mergeCell ref="F3248:H3248"/>
    <mergeCell ref="C3239:G3239"/>
    <mergeCell ref="B3380:C3380"/>
    <mergeCell ref="B3358:C3358"/>
    <mergeCell ref="B3395:C3395"/>
    <mergeCell ref="F3398:G3398"/>
    <mergeCell ref="B2530:C2530"/>
    <mergeCell ref="C2497:G2497"/>
    <mergeCell ref="F3170:G3170"/>
    <mergeCell ref="B3177:C3177"/>
    <mergeCell ref="B2545:C2545"/>
    <mergeCell ref="F2548:G2548"/>
    <mergeCell ref="F2549:G2549"/>
    <mergeCell ref="F2565:H2565"/>
    <mergeCell ref="C2566:G2566"/>
    <mergeCell ref="B2567:C2567"/>
    <mergeCell ref="F2572:G2572"/>
    <mergeCell ref="B2573:C2573"/>
    <mergeCell ref="C2579:G2579"/>
    <mergeCell ref="B2580:C2580"/>
    <mergeCell ref="F2584:G2584"/>
    <mergeCell ref="F2588:G2588"/>
    <mergeCell ref="F2589:G2589"/>
    <mergeCell ref="B2592:C2592"/>
    <mergeCell ref="F2596:G2596"/>
    <mergeCell ref="B2597:C2597"/>
    <mergeCell ref="F2600:G2600"/>
    <mergeCell ref="F2601:G2601"/>
    <mergeCell ref="F2602:H2602"/>
    <mergeCell ref="C2603:G2603"/>
    <mergeCell ref="B2604:C2604"/>
    <mergeCell ref="F2608:G2608"/>
    <mergeCell ref="B2609:C2609"/>
    <mergeCell ref="F2613:G2613"/>
    <mergeCell ref="F3322:G3322"/>
    <mergeCell ref="F3323:H3323"/>
    <mergeCell ref="B3325:C3325"/>
    <mergeCell ref="F3328:G3328"/>
    <mergeCell ref="B3329:C3329"/>
    <mergeCell ref="F3332:G3332"/>
    <mergeCell ref="F3333:G3333"/>
    <mergeCell ref="F3334:H3334"/>
    <mergeCell ref="B3336:C3336"/>
    <mergeCell ref="F3339:G3339"/>
    <mergeCell ref="B3424:C3424"/>
    <mergeCell ref="B3413:C3413"/>
    <mergeCell ref="F3420:G3420"/>
    <mergeCell ref="F3427:G3427"/>
    <mergeCell ref="F3376:G3376"/>
    <mergeCell ref="F3377:G3377"/>
    <mergeCell ref="F3378:H3378"/>
    <mergeCell ref="F3383:G3383"/>
    <mergeCell ref="B3384:C3384"/>
    <mergeCell ref="F3416:G3416"/>
    <mergeCell ref="B3373:C3373"/>
    <mergeCell ref="F3410:G3410"/>
    <mergeCell ref="C3324:G3324"/>
    <mergeCell ref="F3343:G3343"/>
    <mergeCell ref="F3344:G3344"/>
    <mergeCell ref="F3345:H3345"/>
    <mergeCell ref="B3347:C3347"/>
    <mergeCell ref="F3350:G3350"/>
    <mergeCell ref="B3351:C3351"/>
    <mergeCell ref="F3354:G3354"/>
    <mergeCell ref="F3389:H3389"/>
    <mergeCell ref="B3391:C3391"/>
    <mergeCell ref="C3335:G3335"/>
    <mergeCell ref="B3340:C3340"/>
    <mergeCell ref="F3470:G3470"/>
    <mergeCell ref="F3471:H3471"/>
    <mergeCell ref="B3473:C3473"/>
    <mergeCell ref="F3476:G3476"/>
    <mergeCell ref="F3477:G3477"/>
    <mergeCell ref="F3478:H3478"/>
    <mergeCell ref="B3480:C3480"/>
    <mergeCell ref="F3483:G3483"/>
    <mergeCell ref="F3484:G3484"/>
    <mergeCell ref="F3485:H3485"/>
    <mergeCell ref="B3487:C3487"/>
    <mergeCell ref="F3490:G3490"/>
    <mergeCell ref="F3491:G3491"/>
    <mergeCell ref="F3492:H3492"/>
    <mergeCell ref="C3479:G3479"/>
    <mergeCell ref="C3486:G3486"/>
    <mergeCell ref="C3434:G3434"/>
    <mergeCell ref="F3469:G3469"/>
    <mergeCell ref="C3461:G3461"/>
    <mergeCell ref="F3431:G3431"/>
    <mergeCell ref="F3432:G3432"/>
    <mergeCell ref="F3433:H3433"/>
    <mergeCell ref="F3442:G3442"/>
    <mergeCell ref="F3449:G3449"/>
    <mergeCell ref="B3446:C3446"/>
    <mergeCell ref="F3448:G3448"/>
    <mergeCell ref="C3346:G3346"/>
    <mergeCell ref="F3421:G3421"/>
    <mergeCell ref="F3422:H3422"/>
    <mergeCell ref="F3387:G3387"/>
    <mergeCell ref="B3494:C3494"/>
    <mergeCell ref="C3493:G3493"/>
    <mergeCell ref="C3472:G3472"/>
    <mergeCell ref="F3499:H3499"/>
    <mergeCell ref="F3512:G3512"/>
    <mergeCell ref="F3513:H3513"/>
    <mergeCell ref="B3515:C3515"/>
    <mergeCell ref="F3517:G3517"/>
    <mergeCell ref="B3518:C3518"/>
    <mergeCell ref="F3521:G3521"/>
    <mergeCell ref="F3523:H3523"/>
    <mergeCell ref="B3525:C3525"/>
    <mergeCell ref="F3528:G3528"/>
    <mergeCell ref="F3529:G3529"/>
    <mergeCell ref="C3500:G3500"/>
    <mergeCell ref="C3507:G3507"/>
    <mergeCell ref="C3514:G3514"/>
    <mergeCell ref="C3524:G3524"/>
    <mergeCell ref="F3522:G3522"/>
    <mergeCell ref="B3508:C3508"/>
    <mergeCell ref="F3511:G3511"/>
    <mergeCell ref="B3501:C3501"/>
    <mergeCell ref="F3504:G3504"/>
    <mergeCell ref="F3505:G3505"/>
    <mergeCell ref="F3506:H3506"/>
    <mergeCell ref="B3895:C3895"/>
    <mergeCell ref="F3897:G3897"/>
    <mergeCell ref="B3898:C3898"/>
    <mergeCell ref="F3904:G3904"/>
    <mergeCell ref="C3894:G3894"/>
    <mergeCell ref="B3905:C3905"/>
    <mergeCell ref="F3908:G3908"/>
    <mergeCell ref="F3909:G3909"/>
    <mergeCell ref="F3910:H3910"/>
    <mergeCell ref="B3912:C3912"/>
    <mergeCell ref="F3914:G3914"/>
    <mergeCell ref="B3915:C3915"/>
    <mergeCell ref="F3921:G3921"/>
    <mergeCell ref="B3922:C3922"/>
    <mergeCell ref="F3925:G3925"/>
    <mergeCell ref="F3871:H3871"/>
    <mergeCell ref="F3880:G3880"/>
    <mergeCell ref="F3881:G3881"/>
    <mergeCell ref="C3883:G3883"/>
    <mergeCell ref="B3884:C3884"/>
    <mergeCell ref="F3888:G3888"/>
    <mergeCell ref="F3882:H3882"/>
    <mergeCell ref="F3892:G3892"/>
    <mergeCell ref="B3889:C3889"/>
    <mergeCell ref="F3891:G3891"/>
    <mergeCell ref="F3926:G3926"/>
    <mergeCell ref="F3927:H3927"/>
    <mergeCell ref="B3929:C3929"/>
    <mergeCell ref="F3931:G3931"/>
    <mergeCell ref="B3932:C3932"/>
    <mergeCell ref="C3911:G3911"/>
    <mergeCell ref="C3928:G3928"/>
    <mergeCell ref="B3967:C3967"/>
    <mergeCell ref="F3970:G3970"/>
    <mergeCell ref="B3971:C3971"/>
    <mergeCell ref="F3974:G3974"/>
    <mergeCell ref="F3975:G3975"/>
    <mergeCell ref="F3976:H3976"/>
    <mergeCell ref="B3978:C3978"/>
    <mergeCell ref="F3981:G3981"/>
    <mergeCell ref="B3982:C3982"/>
    <mergeCell ref="F3985:G3985"/>
    <mergeCell ref="F3986:G3986"/>
    <mergeCell ref="F3938:G3938"/>
    <mergeCell ref="B3939:C3939"/>
    <mergeCell ref="F3942:G3942"/>
    <mergeCell ref="F3943:G3943"/>
    <mergeCell ref="F3944:H3944"/>
    <mergeCell ref="B3946:C3946"/>
    <mergeCell ref="F3948:G3948"/>
    <mergeCell ref="B3949:C3949"/>
    <mergeCell ref="F3952:G3952"/>
    <mergeCell ref="B3953:C3953"/>
    <mergeCell ref="F3959:G3959"/>
    <mergeCell ref="B3960:C3960"/>
    <mergeCell ref="F3963:G3963"/>
    <mergeCell ref="F3964:G3964"/>
    <mergeCell ref="F3965:H3965"/>
    <mergeCell ref="C3945:G3945"/>
    <mergeCell ref="C3966:G3966"/>
    <mergeCell ref="C3977:G3977"/>
    <mergeCell ref="C4010:G4010"/>
    <mergeCell ref="C4016:G4016"/>
    <mergeCell ref="F3987:H3987"/>
    <mergeCell ref="B3989:C3989"/>
    <mergeCell ref="F3992:G3992"/>
    <mergeCell ref="B3993:C3993"/>
    <mergeCell ref="F3996:G3996"/>
    <mergeCell ref="F3997:G3997"/>
    <mergeCell ref="F3998:H3998"/>
    <mergeCell ref="B4000:C4000"/>
    <mergeCell ref="F4003:G4003"/>
    <mergeCell ref="B4004:C4004"/>
    <mergeCell ref="F4007:G4007"/>
    <mergeCell ref="F4008:G4008"/>
    <mergeCell ref="F4009:H4009"/>
    <mergeCell ref="C3988:G3988"/>
    <mergeCell ref="C3999:G3999"/>
    <mergeCell ref="F4029:G4029"/>
    <mergeCell ref="F4030:G4030"/>
    <mergeCell ref="F4031:H4031"/>
    <mergeCell ref="B4033:C4033"/>
    <mergeCell ref="F4036:G4036"/>
    <mergeCell ref="B4037:C4037"/>
    <mergeCell ref="C4022:G4022"/>
    <mergeCell ref="C4032:G4032"/>
    <mergeCell ref="C4127:G4127"/>
    <mergeCell ref="C4133:G4133"/>
    <mergeCell ref="F4020:G4020"/>
    <mergeCell ref="F4021:H4021"/>
    <mergeCell ref="B4011:C4011"/>
    <mergeCell ref="F4013:G4013"/>
    <mergeCell ref="F4014:G4014"/>
    <mergeCell ref="F4015:H4015"/>
    <mergeCell ref="B4017:C4017"/>
    <mergeCell ref="F4019:G4019"/>
    <mergeCell ref="F4039:G4039"/>
    <mergeCell ref="F4040:G4040"/>
    <mergeCell ref="F4041:H4041"/>
    <mergeCell ref="B4043:C4043"/>
    <mergeCell ref="F4045:G4045"/>
    <mergeCell ref="F4046:G4046"/>
    <mergeCell ref="F4047:H4047"/>
    <mergeCell ref="B4049:C4049"/>
    <mergeCell ref="F4053:G4053"/>
    <mergeCell ref="B4054:C4054"/>
    <mergeCell ref="F4056:G4056"/>
    <mergeCell ref="C4042:G4042"/>
    <mergeCell ref="C4048:G4048"/>
    <mergeCell ref="C4059:G4059"/>
    <mergeCell ref="F4140:G4140"/>
    <mergeCell ref="F4141:G4141"/>
    <mergeCell ref="C25:G25"/>
    <mergeCell ref="C56:G56"/>
    <mergeCell ref="C74:G74"/>
    <mergeCell ref="C85:G85"/>
    <mergeCell ref="C545:G545"/>
    <mergeCell ref="C555:G555"/>
    <mergeCell ref="C607:G607"/>
    <mergeCell ref="C617:G617"/>
    <mergeCell ref="C624:G624"/>
    <mergeCell ref="C635:G635"/>
    <mergeCell ref="C645:G645"/>
    <mergeCell ref="C666:G666"/>
    <mergeCell ref="F4063:G4063"/>
    <mergeCell ref="B4064:C4064"/>
    <mergeCell ref="F4066:G4066"/>
    <mergeCell ref="F4067:G4067"/>
    <mergeCell ref="F4068:H4068"/>
    <mergeCell ref="B4070:C4070"/>
    <mergeCell ref="F4073:G4073"/>
    <mergeCell ref="B4074:C4074"/>
    <mergeCell ref="F4076:G4076"/>
    <mergeCell ref="B4023:C4023"/>
    <mergeCell ref="F4025:G4025"/>
    <mergeCell ref="B4026:C4026"/>
    <mergeCell ref="C4085:G4085"/>
    <mergeCell ref="F4131:G4131"/>
    <mergeCell ref="F4132:H4132"/>
    <mergeCell ref="F4077:G4077"/>
    <mergeCell ref="F4078:H4078"/>
    <mergeCell ref="B4080:C4080"/>
    <mergeCell ref="F4082:G4082"/>
    <mergeCell ref="F4083:G4083"/>
    <mergeCell ref="F4084:H4084"/>
    <mergeCell ref="C4069:G4069"/>
    <mergeCell ref="C4079:G4079"/>
    <mergeCell ref="B4134:C4134"/>
    <mergeCell ref="F4137:G4137"/>
    <mergeCell ref="B4138:C4138"/>
    <mergeCell ref="F4099:G4099"/>
    <mergeCell ref="F4100:G4100"/>
    <mergeCell ref="F4101:H4101"/>
    <mergeCell ref="B4103:C4103"/>
    <mergeCell ref="F4105:G4105"/>
    <mergeCell ref="F4106:G4106"/>
    <mergeCell ref="F4107:H4107"/>
    <mergeCell ref="B4109:C4109"/>
    <mergeCell ref="F4112:G4112"/>
    <mergeCell ref="B4113:C4113"/>
    <mergeCell ref="F4115:G4115"/>
    <mergeCell ref="F4116:G4116"/>
    <mergeCell ref="F4117:H4117"/>
    <mergeCell ref="C4091:G4091"/>
    <mergeCell ref="C4102:G4102"/>
    <mergeCell ref="B4128:C4128"/>
    <mergeCell ref="F4130:G4130"/>
    <mergeCell ref="B4119:C4119"/>
    <mergeCell ref="F4121:G4121"/>
    <mergeCell ref="B4122:C4122"/>
    <mergeCell ref="F4124:G4124"/>
    <mergeCell ref="F4125:G4125"/>
    <mergeCell ref="F4126:H4126"/>
    <mergeCell ref="C4108:G4108"/>
    <mergeCell ref="F4057:G4057"/>
    <mergeCell ref="F4058:H4058"/>
    <mergeCell ref="B4060:C4060"/>
    <mergeCell ref="C1904:G1904"/>
    <mergeCell ref="F1908:G1908"/>
    <mergeCell ref="B2015:C2015"/>
    <mergeCell ref="F2018:G2018"/>
    <mergeCell ref="B2019:C2019"/>
    <mergeCell ref="F2021:G2021"/>
    <mergeCell ref="F2023:H2023"/>
    <mergeCell ref="B2025:C2025"/>
    <mergeCell ref="B2031:C2031"/>
    <mergeCell ref="F2034:G2034"/>
    <mergeCell ref="F2061:G2061"/>
    <mergeCell ref="F2062:H2062"/>
    <mergeCell ref="F2305:G2305"/>
    <mergeCell ref="F2507:G2507"/>
    <mergeCell ref="F2508:G2508"/>
    <mergeCell ref="B2297:C2297"/>
    <mergeCell ref="F2300:G2300"/>
    <mergeCell ref="B2301:C2301"/>
    <mergeCell ref="F2304:G2304"/>
    <mergeCell ref="F2306:H2306"/>
    <mergeCell ref="C2024:G2024"/>
    <mergeCell ref="C2050:G2050"/>
    <mergeCell ref="C2063:G2063"/>
    <mergeCell ref="B1916:C1916"/>
    <mergeCell ref="F1919:G1919"/>
    <mergeCell ref="B1920:C1920"/>
    <mergeCell ref="F1924:G1924"/>
    <mergeCell ref="F1925:H1925"/>
    <mergeCell ref="F1923:G1923"/>
    <mergeCell ref="C4118:G4118"/>
    <mergeCell ref="B4086:C4086"/>
    <mergeCell ref="F4088:G4088"/>
    <mergeCell ref="F4089:G4089"/>
    <mergeCell ref="F4090:H4090"/>
    <mergeCell ref="B4092:C4092"/>
    <mergeCell ref="F4096:G4096"/>
    <mergeCell ref="B4097:C4097"/>
    <mergeCell ref="B2413:C2413"/>
    <mergeCell ref="F2415:G2415"/>
    <mergeCell ref="B2416:C2416"/>
    <mergeCell ref="F2419:G2419"/>
    <mergeCell ref="C2510:G2510"/>
    <mergeCell ref="B3833:C3833"/>
    <mergeCell ref="F3836:G3836"/>
    <mergeCell ref="F3837:G3837"/>
    <mergeCell ref="C3653:G3653"/>
    <mergeCell ref="B3648:C3648"/>
    <mergeCell ref="F3650:G3650"/>
    <mergeCell ref="F3651:G3651"/>
    <mergeCell ref="F3843:G3843"/>
    <mergeCell ref="C3872:G3872"/>
    <mergeCell ref="B3873:C3873"/>
    <mergeCell ref="F3876:G3876"/>
    <mergeCell ref="B3877:C3877"/>
    <mergeCell ref="F3870:G3870"/>
    <mergeCell ref="F3853:G3853"/>
    <mergeCell ref="F3854:G3854"/>
    <mergeCell ref="F3855:H3855"/>
    <mergeCell ref="C3856:G3856"/>
    <mergeCell ref="B3857:C3857"/>
    <mergeCell ref="F3860:G3860"/>
    <mergeCell ref="B3861:C3861"/>
    <mergeCell ref="F3863:G3863"/>
    <mergeCell ref="F3864:G3864"/>
    <mergeCell ref="F3865:H3865"/>
    <mergeCell ref="C3866:G3866"/>
    <mergeCell ref="B3867:C3867"/>
    <mergeCell ref="F3869:G3869"/>
    <mergeCell ref="C3846:G3846"/>
    <mergeCell ref="B3847:C3847"/>
    <mergeCell ref="A4143:I4143"/>
    <mergeCell ref="A1:I4"/>
    <mergeCell ref="A5:I5"/>
    <mergeCell ref="C2128:G2128"/>
    <mergeCell ref="C2141:G2141"/>
    <mergeCell ref="C2154:G2154"/>
    <mergeCell ref="C2167:G2167"/>
    <mergeCell ref="C2193:G2193"/>
    <mergeCell ref="C2206:G2206"/>
    <mergeCell ref="C2218:G2218"/>
    <mergeCell ref="F2215:G2215"/>
    <mergeCell ref="F2216:G2216"/>
    <mergeCell ref="F2217:H2217"/>
    <mergeCell ref="B2219:C2219"/>
    <mergeCell ref="F2223:G2223"/>
    <mergeCell ref="B2224:C2224"/>
    <mergeCell ref="F2227:G2227"/>
    <mergeCell ref="B3644:C3644"/>
    <mergeCell ref="F3647:G3647"/>
    <mergeCell ref="F3652:H3652"/>
    <mergeCell ref="F3638:G3638"/>
    <mergeCell ref="F3639:H3639"/>
    <mergeCell ref="F3596:G3596"/>
    <mergeCell ref="F3850:G3850"/>
    <mergeCell ref="B3851:C3851"/>
    <mergeCell ref="F2229:H2229"/>
    <mergeCell ref="F2049:H2049"/>
    <mergeCell ref="B2005:C2005"/>
    <mergeCell ref="F2008:G2008"/>
    <mergeCell ref="B2009:C2009"/>
    <mergeCell ref="F2011:G2011"/>
    <mergeCell ref="F2012:G2012"/>
    <mergeCell ref="F2043:G2043"/>
    <mergeCell ref="C2014:G2014"/>
    <mergeCell ref="F3844:G3844"/>
    <mergeCell ref="F3845:H3845"/>
    <mergeCell ref="F3838:H3838"/>
    <mergeCell ref="B3635:C3635"/>
    <mergeCell ref="F3637:G3637"/>
    <mergeCell ref="C3634:G3634"/>
    <mergeCell ref="F3663:G3663"/>
    <mergeCell ref="F3664:G3664"/>
    <mergeCell ref="F3621:G3621"/>
    <mergeCell ref="F3643:G3643"/>
    <mergeCell ref="C3640:G3640"/>
    <mergeCell ref="C3839:G3839"/>
    <mergeCell ref="B3840:C3840"/>
    <mergeCell ref="F3665:H3665"/>
    <mergeCell ref="C2296:G2296"/>
    <mergeCell ref="B3680:C3680"/>
    <mergeCell ref="B3615:C3615"/>
    <mergeCell ref="F3617:G3617"/>
    <mergeCell ref="B3618:C3618"/>
    <mergeCell ref="C3614:G3614"/>
    <mergeCell ref="F3602:H3602"/>
    <mergeCell ref="F3631:G3631"/>
    <mergeCell ref="F3632:G3632"/>
    <mergeCell ref="F3633:H3633"/>
    <mergeCell ref="C3624:G3624"/>
    <mergeCell ref="B1909:C1909"/>
    <mergeCell ref="F1912:G1912"/>
    <mergeCell ref="F1913:G1913"/>
    <mergeCell ref="C1961:G1961"/>
    <mergeCell ref="C1971:G1971"/>
    <mergeCell ref="C2004:G2004"/>
    <mergeCell ref="F3622:G3622"/>
    <mergeCell ref="F3623:H3623"/>
    <mergeCell ref="B3625:C3625"/>
    <mergeCell ref="F3627:G3627"/>
    <mergeCell ref="B3628:C3628"/>
    <mergeCell ref="B3549:C3549"/>
    <mergeCell ref="F3552:G3552"/>
    <mergeCell ref="B3553:C3553"/>
    <mergeCell ref="F3556:G3556"/>
    <mergeCell ref="F3497:G3497"/>
    <mergeCell ref="F3498:G3498"/>
    <mergeCell ref="F3536:H3536"/>
    <mergeCell ref="F2285:H2285"/>
    <mergeCell ref="F2295:H2295"/>
    <mergeCell ref="F3567:G3567"/>
    <mergeCell ref="F3568:G3568"/>
    <mergeCell ref="C3537:G3537"/>
    <mergeCell ref="C3548:G3548"/>
    <mergeCell ref="C3559:G3559"/>
    <mergeCell ref="B3542:C3542"/>
    <mergeCell ref="F3546:G3546"/>
    <mergeCell ref="F3563:G3563"/>
    <mergeCell ref="C3832:G3832"/>
    <mergeCell ref="F3683:G3683"/>
    <mergeCell ref="F3684:G3684"/>
    <mergeCell ref="F3685:H3685"/>
    <mergeCell ref="B3687:C3687"/>
    <mergeCell ref="F3689:G3689"/>
    <mergeCell ref="B3690:C3690"/>
    <mergeCell ref="F3693:G3693"/>
    <mergeCell ref="F3694:G3694"/>
    <mergeCell ref="F3695:H3695"/>
    <mergeCell ref="B3667:C3667"/>
    <mergeCell ref="F3669:G3669"/>
    <mergeCell ref="B3670:C3670"/>
    <mergeCell ref="F3673:G3673"/>
    <mergeCell ref="F3674:G3674"/>
    <mergeCell ref="F3675:H3675"/>
    <mergeCell ref="B3677:C3677"/>
    <mergeCell ref="F3679:G3679"/>
    <mergeCell ref="F3779:G3779"/>
    <mergeCell ref="F3780:H3780"/>
    <mergeCell ref="B3782:C3782"/>
    <mergeCell ref="F3820:G3820"/>
    <mergeCell ref="F3821:H3821"/>
    <mergeCell ref="F3784:G3784"/>
    <mergeCell ref="B3785:C3785"/>
    <mergeCell ref="F3788:G3788"/>
    <mergeCell ref="F3789:G3789"/>
    <mergeCell ref="C3801:G3801"/>
    <mergeCell ref="B3802:C3802"/>
    <mergeCell ref="F3805:G3805"/>
    <mergeCell ref="B3806:C3806"/>
    <mergeCell ref="C3725:G3725"/>
    <mergeCell ref="B3575:C3575"/>
    <mergeCell ref="F3530:H3530"/>
    <mergeCell ref="B3532:C3532"/>
    <mergeCell ref="F3534:G3534"/>
    <mergeCell ref="F3535:G3535"/>
    <mergeCell ref="B3538:C3538"/>
    <mergeCell ref="F3541:G3541"/>
    <mergeCell ref="C3570:G3570"/>
    <mergeCell ref="C3581:G3581"/>
    <mergeCell ref="C3592:G3592"/>
    <mergeCell ref="F3574:G3574"/>
    <mergeCell ref="B3593:C3593"/>
    <mergeCell ref="F3585:G3585"/>
    <mergeCell ref="F3557:G3557"/>
    <mergeCell ref="F3558:H3558"/>
    <mergeCell ref="B3560:C3560"/>
    <mergeCell ref="B3564:C3564"/>
    <mergeCell ref="F3545:G3545"/>
    <mergeCell ref="F3547:H3547"/>
    <mergeCell ref="C3686:G3686"/>
    <mergeCell ref="C3531:G3531"/>
    <mergeCell ref="B3641:C3641"/>
    <mergeCell ref="F3809:G3809"/>
    <mergeCell ref="F3810:G3810"/>
    <mergeCell ref="C3676:G3676"/>
    <mergeCell ref="F3578:G3578"/>
    <mergeCell ref="F3579:G3579"/>
    <mergeCell ref="F3580:H3580"/>
    <mergeCell ref="B3582:C3582"/>
    <mergeCell ref="B3586:C3586"/>
    <mergeCell ref="F3589:G3589"/>
    <mergeCell ref="F3590:G3590"/>
    <mergeCell ref="F3591:H3591"/>
    <mergeCell ref="B3597:C3597"/>
    <mergeCell ref="F3600:G3600"/>
    <mergeCell ref="F3601:G3601"/>
    <mergeCell ref="C3666:G3666"/>
    <mergeCell ref="B3654:C3654"/>
    <mergeCell ref="F3656:G3656"/>
    <mergeCell ref="B3657:C3657"/>
    <mergeCell ref="F3660:G3660"/>
    <mergeCell ref="B3661:C3661"/>
    <mergeCell ref="B3604:C3604"/>
    <mergeCell ref="F3607:G3607"/>
    <mergeCell ref="B3608:C3608"/>
    <mergeCell ref="F3611:G3611"/>
    <mergeCell ref="F3612:G3612"/>
    <mergeCell ref="F3613:H3613"/>
    <mergeCell ref="C3603:G3603"/>
    <mergeCell ref="F3569:H3569"/>
    <mergeCell ref="B3571:C3571"/>
    <mergeCell ref="B1509:C1509"/>
    <mergeCell ref="F1512:G1512"/>
    <mergeCell ref="F1513:G1513"/>
    <mergeCell ref="C2379:G2379"/>
    <mergeCell ref="B2380:C2380"/>
    <mergeCell ref="F2383:G2383"/>
    <mergeCell ref="B2384:C2384"/>
    <mergeCell ref="F2387:G2387"/>
    <mergeCell ref="F2388:G2388"/>
    <mergeCell ref="C1471:G1471"/>
    <mergeCell ref="B1472:C1472"/>
    <mergeCell ref="F1475:G1475"/>
    <mergeCell ref="B1476:C1476"/>
    <mergeCell ref="F1479:G1479"/>
    <mergeCell ref="F1480:G1480"/>
    <mergeCell ref="C1482:G1482"/>
    <mergeCell ref="B1483:C1483"/>
    <mergeCell ref="F1486:G1486"/>
    <mergeCell ref="B1487:C1487"/>
    <mergeCell ref="F1490:G1490"/>
    <mergeCell ref="F1491:G1491"/>
    <mergeCell ref="C1493:G1493"/>
    <mergeCell ref="B1494:C1494"/>
    <mergeCell ref="F1497:G1497"/>
    <mergeCell ref="B1498:C1498"/>
    <mergeCell ref="F1501:G1501"/>
    <mergeCell ref="F2367:H2367"/>
    <mergeCell ref="F2127:H2127"/>
    <mergeCell ref="B2332:C2332"/>
    <mergeCell ref="F2341:G2341"/>
    <mergeCell ref="C2344:G2344"/>
    <mergeCell ref="F2329:G2329"/>
  </mergeCells>
  <phoneticPr fontId="32" type="noConversion"/>
  <conditionalFormatting sqref="A1 J1:XFD5 A5 A6:XFD2115 A2116:A2126 I2116:XFD2126 A2127:XFD2368 I2369:XFD2377 A2378:XFD2379 I2380:XFD2388 A2389:XFD3434 A3435:A3443 I3435:XFD3443 A3444:XFD3445 A3446:A3470 I3446:XFD3470 A3471:XFD3472 A3473:A3535 I3473:XFD3535 A3536:XFD3537 A3538:A3612 I3538:XFD3612 A3613:XFD3614 A3615:A3622 I3615:XFD3622 A3623:XFD3624 A3625:A3632 I3625:XFD3632 A3633:XFD3634 A3635:A3638 I3635:XFD3638 A3639:XFD3640 A3641:A3651 I3641:XFD3651 A3652:XFD3653 A3654:A3694 I3654:XFD3694 A3695:XFD3696 A3697:A3700 I3697:XFD3700 A3701:XFD3702 A3703:A3710 I3703:XFD3710 A3711:XFD3712 A3713:A3723 I3713:XFD3723 A3724:XFD3725 A3726:A3733 I3726:XFD3733 A3734:XFD3735 A3736:A3799 I3736:XFD3799 A3800:XFD3801 A3802:A3810 I3802:XFD3810 A3811:XFD3812 A3813:A3820 I3813:XFD3820 A3821:XFD3822 A3823:A3830 I3823:XFD3830 A3831:XFD3832 A3833:A3892 I3833:XFD3892 A3893:XFD3894 A3895:A3964 I3895:XFD3964 A3965:XFD3966 A3967:A4008 I3967:XFD4008 A4009:XFD4010 A4011:A4014 I4011:XFD4014 A4015:XFD4016 A4017:A4020 I4017:XFD4020 A4021:XFD4022 A4023:A4030 I4023:XFD4030 A4031:XFD4032 A4033:A4125 I4033:XFD4125 A4126:XFD4127 A4128:A4131 I4128:XFD4131 A4132:XFD4133 A4134:A4141 I4134:XFD4141 A4142:XFD4142 A4143 J4143:XFD4143 A4144:XFD1048576">
    <cfRule type="cellIs" dxfId="558" priority="463" operator="equal">
      <formula>"COT 01.0"</formula>
    </cfRule>
    <cfRule type="cellIs" dxfId="557" priority="462" operator="equal">
      <formula>"Composições"</formula>
    </cfRule>
  </conditionalFormatting>
  <conditionalFormatting sqref="A2369:A2377">
    <cfRule type="cellIs" dxfId="556" priority="74" operator="equal">
      <formula>"ORSE"</formula>
    </cfRule>
    <cfRule type="cellIs" dxfId="555" priority="76" operator="equal">
      <formula>"Composições"</formula>
    </cfRule>
    <cfRule type="cellIs" dxfId="554" priority="75" operator="equal">
      <formula>"SP OBRAS"</formula>
    </cfRule>
    <cfRule type="cellIs" dxfId="553" priority="73" operator="equal">
      <formula>"SP EDUCAÇÃO"</formula>
    </cfRule>
    <cfRule type="cellIs" dxfId="552" priority="77" operator="equal">
      <formula>"COT 01.0"</formula>
    </cfRule>
  </conditionalFormatting>
  <conditionalFormatting sqref="A2380:A2388">
    <cfRule type="cellIs" dxfId="551" priority="7" operator="equal">
      <formula>"SP EDUCAÇÃO"</formula>
    </cfRule>
    <cfRule type="cellIs" dxfId="550" priority="8" operator="equal">
      <formula>"ORSE"</formula>
    </cfRule>
    <cfRule type="cellIs" dxfId="549" priority="9" operator="equal">
      <formula>"SP OBRAS"</formula>
    </cfRule>
    <cfRule type="cellIs" dxfId="548" priority="10" operator="equal">
      <formula>"Composições"</formula>
    </cfRule>
    <cfRule type="cellIs" dxfId="547" priority="11" operator="equal">
      <formula>"COT 01.0"</formula>
    </cfRule>
  </conditionalFormatting>
  <conditionalFormatting sqref="A7:H2115 A2116:A2126 A2389:H3434 A3435:A3443 A3444:H3445 A3446:A3470 A3471:H3472 A3473:A3535 A3536:H3537 A3538:A3612 A3613:H3614 A3615:A3622 A3623:H3624 A3625:A3632 A3633:H3634 A3635:A3638 A3639:H3640 A3641:A3651 A3652:H3653 A3654:A3694 A3695:H3696 A3697:A3700 A3701:H3702 A3703:A3710 A3711:H3712 A3713:A3723 A3724:H3725 A3726:A3733 A3734:H3735 A3736:A3799 A3800:H3801 A3802:A3810 A3811:H3812 A3813:A3820 A3821:H3822 A3823:A3830 A3831:H3832 A3833:A3892 A3893:H3894 A3895:A3964 A3965:H3966 A3967:A4008 A4009:H4010 A4011:A4014 A4015:H4016 A4017:A4020 A4021:H4022 A4023:A4030 A4031:H4032 A4033:A4125 A4126:H4127 A4128:A4131 A4132:H4133 A4134:A4141 A4142:H4142">
    <cfRule type="cellIs" dxfId="546" priority="78" operator="equal">
      <formula>"SP EDUCAÇÃO"</formula>
    </cfRule>
    <cfRule type="cellIs" dxfId="545" priority="79" operator="equal">
      <formula>"ORSE"</formula>
    </cfRule>
    <cfRule type="cellIs" dxfId="544" priority="80" operator="equal">
      <formula>"SP OBRAS"</formula>
    </cfRule>
  </conditionalFormatting>
  <conditionalFormatting sqref="A2127:H2368">
    <cfRule type="cellIs" dxfId="543" priority="62" operator="equal">
      <formula>"SP OBRAS"</formula>
    </cfRule>
    <cfRule type="cellIs" dxfId="542" priority="61" operator="equal">
      <formula>"ORSE"</formula>
    </cfRule>
    <cfRule type="cellIs" dxfId="541" priority="60" operator="equal">
      <formula>"SP EDUCAÇÃO"</formula>
    </cfRule>
  </conditionalFormatting>
  <conditionalFormatting sqref="A2378:H2379">
    <cfRule type="cellIs" dxfId="540" priority="1" operator="equal">
      <formula>"SP EDUCAÇÃO"</formula>
    </cfRule>
    <cfRule type="cellIs" dxfId="539" priority="2" operator="equal">
      <formula>"ORSE"</formula>
    </cfRule>
    <cfRule type="cellIs" dxfId="538" priority="3" operator="equal">
      <formula>"SP OBRAS"</formula>
    </cfRule>
  </conditionalFormatting>
  <conditionalFormatting sqref="B2128:H2128 B2141:H2141 B2154:H2154 B2167:H2167 B2180:H2180 B2193:H2193 B2206:H2206 B2218:H2218 B2230:H2230">
    <cfRule type="cellIs" dxfId="537" priority="59" operator="equal">
      <formula>"SP OBRAS"</formula>
    </cfRule>
    <cfRule type="cellIs" dxfId="536" priority="58" operator="equal">
      <formula>"ORSE"</formula>
    </cfRule>
    <cfRule type="cellIs" dxfId="535" priority="57" operator="equal">
      <formula>"SP EDUCAÇÃO"</formula>
    </cfRule>
  </conditionalFormatting>
  <conditionalFormatting sqref="B3451:H3451 B3461:H3461">
    <cfRule type="cellIs" dxfId="534" priority="54" operator="equal">
      <formula>"SP OBRAS"</formula>
    </cfRule>
    <cfRule type="cellIs" dxfId="533" priority="53" operator="equal">
      <formula>"ORSE"</formula>
    </cfRule>
    <cfRule type="cellIs" dxfId="532" priority="52" operator="equal">
      <formula>"SP EDUCAÇÃO"</formula>
    </cfRule>
    <cfRule type="cellIs" dxfId="531" priority="55" operator="equal">
      <formula>"Composições"</formula>
    </cfRule>
    <cfRule type="cellIs" dxfId="530" priority="56" operator="equal">
      <formula>"COT 01.0"</formula>
    </cfRule>
  </conditionalFormatting>
  <conditionalFormatting sqref="B3479:H3479 B3486:H3486 B3493:H3493 B3500:H3500 B3507:H3507 B3514:H3514 B3524:H3524 B3531:H3531">
    <cfRule type="cellIs" dxfId="529" priority="51" operator="equal">
      <formula>"COT 01.0"</formula>
    </cfRule>
    <cfRule type="cellIs" dxfId="528" priority="50" operator="equal">
      <formula>"Composições"</formula>
    </cfRule>
    <cfRule type="cellIs" dxfId="527" priority="49" operator="equal">
      <formula>"SP OBRAS"</formula>
    </cfRule>
    <cfRule type="cellIs" dxfId="526" priority="48" operator="equal">
      <formula>"ORSE"</formula>
    </cfRule>
    <cfRule type="cellIs" dxfId="525" priority="47" operator="equal">
      <formula>"SP EDUCAÇÃO"</formula>
    </cfRule>
  </conditionalFormatting>
  <conditionalFormatting sqref="B3548:H3548 B3559:H3559 B3570:H3570 B3581:H3581 B3592:H3592 B3603:H3603">
    <cfRule type="cellIs" dxfId="524" priority="45" operator="equal">
      <formula>"Composições"</formula>
    </cfRule>
    <cfRule type="cellIs" dxfId="523" priority="44" operator="equal">
      <formula>"SP OBRAS"</formula>
    </cfRule>
    <cfRule type="cellIs" dxfId="522" priority="43" operator="equal">
      <formula>"ORSE"</formula>
    </cfRule>
    <cfRule type="cellIs" dxfId="521" priority="42" operator="equal">
      <formula>"SP EDUCAÇÃO"</formula>
    </cfRule>
    <cfRule type="cellIs" dxfId="520" priority="46" operator="equal">
      <formula>"COT 01.0"</formula>
    </cfRule>
  </conditionalFormatting>
  <conditionalFormatting sqref="B3666:H3666 B3676:H3676 B3686:H3686">
    <cfRule type="cellIs" dxfId="519" priority="38" operator="equal">
      <formula>"ORSE"</formula>
    </cfRule>
    <cfRule type="cellIs" dxfId="518" priority="39" operator="equal">
      <formula>"SP OBRAS"</formula>
    </cfRule>
    <cfRule type="cellIs" dxfId="517" priority="40" operator="equal">
      <formula>"Composições"</formula>
    </cfRule>
    <cfRule type="cellIs" dxfId="516" priority="41" operator="equal">
      <formula>"COT 01.0"</formula>
    </cfRule>
    <cfRule type="cellIs" dxfId="515" priority="37" operator="equal">
      <formula>"SP EDUCAÇÃO"</formula>
    </cfRule>
  </conditionalFormatting>
  <conditionalFormatting sqref="B3748:H3748 B3761:H3761 B3771:H3771 B3781:H3781 B3791:H3791">
    <cfRule type="cellIs" dxfId="514" priority="36" operator="equal">
      <formula>"COT 01.0"</formula>
    </cfRule>
    <cfRule type="cellIs" dxfId="513" priority="35" operator="equal">
      <formula>"Composições"</formula>
    </cfRule>
    <cfRule type="cellIs" dxfId="512" priority="34" operator="equal">
      <formula>"SP OBRAS"</formula>
    </cfRule>
    <cfRule type="cellIs" dxfId="511" priority="33" operator="equal">
      <formula>"ORSE"</formula>
    </cfRule>
    <cfRule type="cellIs" dxfId="510" priority="32" operator="equal">
      <formula>"SP EDUCAÇÃO"</formula>
    </cfRule>
  </conditionalFormatting>
  <conditionalFormatting sqref="B3839:H3839 B3846:H3846 B3856:H3856 B3866:H3866 B3872:H3872 B3883:H3883">
    <cfRule type="cellIs" dxfId="509" priority="31" operator="equal">
      <formula>"COT 01.0"</formula>
    </cfRule>
    <cfRule type="cellIs" dxfId="508" priority="29" operator="equal">
      <formula>"SP OBRAS"</formula>
    </cfRule>
    <cfRule type="cellIs" dxfId="507" priority="28" operator="equal">
      <formula>"ORSE"</formula>
    </cfRule>
    <cfRule type="cellIs" dxfId="506" priority="27" operator="equal">
      <formula>"SP EDUCAÇÃO"</formula>
    </cfRule>
    <cfRule type="cellIs" dxfId="505" priority="30" operator="equal">
      <formula>"Composições"</formula>
    </cfRule>
  </conditionalFormatting>
  <conditionalFormatting sqref="B3911:H3911 B3928:H3928 B3945:H3945">
    <cfRule type="cellIs" dxfId="504" priority="26" operator="equal">
      <formula>"COT 01.0"</formula>
    </cfRule>
    <cfRule type="cellIs" dxfId="503" priority="25" operator="equal">
      <formula>"Composições"</formula>
    </cfRule>
    <cfRule type="cellIs" dxfId="502" priority="24" operator="equal">
      <formula>"SP OBRAS"</formula>
    </cfRule>
    <cfRule type="cellIs" dxfId="501" priority="23" operator="equal">
      <formula>"ORSE"</formula>
    </cfRule>
    <cfRule type="cellIs" dxfId="500" priority="22" operator="equal">
      <formula>"SP EDUCAÇÃO"</formula>
    </cfRule>
  </conditionalFormatting>
  <conditionalFormatting sqref="B3977:H3977 B3988:H3988 B3999:H3999">
    <cfRule type="cellIs" dxfId="499" priority="21" operator="equal">
      <formula>"COT 01.0"</formula>
    </cfRule>
    <cfRule type="cellIs" dxfId="498" priority="19" operator="equal">
      <formula>"SP OBRAS"</formula>
    </cfRule>
    <cfRule type="cellIs" dxfId="497" priority="18" operator="equal">
      <formula>"ORSE"</formula>
    </cfRule>
    <cfRule type="cellIs" dxfId="496" priority="17" operator="equal">
      <formula>"SP EDUCAÇÃO"</formula>
    </cfRule>
    <cfRule type="cellIs" dxfId="495" priority="20" operator="equal">
      <formula>"Composições"</formula>
    </cfRule>
  </conditionalFormatting>
  <conditionalFormatting sqref="B4042:H4042 B4048:H4048 B4059:H4059 B4069:H4069 B4079:H4079 B4085:H4085 B4091:H4091 B4102:H4102 B4108:H4108 B4118:H4118">
    <cfRule type="cellIs" dxfId="494" priority="12" operator="equal">
      <formula>"SP EDUCAÇÃO"</formula>
    </cfRule>
    <cfRule type="cellIs" dxfId="493" priority="16" operator="equal">
      <formula>"COT 01.0"</formula>
    </cfRule>
    <cfRule type="cellIs" dxfId="492" priority="15" operator="equal">
      <formula>"Composições"</formula>
    </cfRule>
    <cfRule type="cellIs" dxfId="491" priority="14" operator="equal">
      <formula>"SP OBRAS"</formula>
    </cfRule>
    <cfRule type="cellIs" dxfId="490" priority="13" operator="equal">
      <formula>"ORSE"</formula>
    </cfRule>
  </conditionalFormatting>
  <pageMargins left="0.511811024" right="0.511811024" top="0.78740157499999996" bottom="0.78740157499999996" header="0.31496062000000002" footer="0.31496062000000002"/>
  <pageSetup paperSize="9" scale="64" fitToHeight="0" orientation="landscape" r:id="rId1"/>
  <rowBreaks count="1" manualBreakCount="1">
    <brk id="4053"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3D616-E790-4743-B6C7-8ED04A150A61}">
  <sheetPr>
    <tabColor rgb="FF00B0F0"/>
    <pageSetUpPr fitToPage="1"/>
  </sheetPr>
  <dimension ref="A1:J2770"/>
  <sheetViews>
    <sheetView view="pageBreakPreview" zoomScale="55" zoomScaleNormal="55" zoomScaleSheetLayoutView="55" workbookViewId="0">
      <selection activeCell="H749" sqref="H749"/>
    </sheetView>
  </sheetViews>
  <sheetFormatPr defaultColWidth="9.140625" defaultRowHeight="12.75"/>
  <cols>
    <col min="1" max="1" width="13.7109375" style="220" customWidth="1"/>
    <col min="2" max="2" width="18.85546875" style="220" customWidth="1"/>
    <col min="3" max="3" width="127.28515625" style="220" customWidth="1"/>
    <col min="4" max="4" width="15" style="220" customWidth="1"/>
    <col min="5" max="5" width="9.140625" style="220"/>
    <col min="6" max="6" width="17" style="220" customWidth="1"/>
    <col min="7" max="7" width="17.7109375" style="220" customWidth="1"/>
    <col min="8" max="8" width="14.5703125" style="220" customWidth="1"/>
    <col min="9" max="16384" width="9.140625" style="220"/>
  </cols>
  <sheetData>
    <row r="1" spans="1:9" ht="17.25" customHeight="1">
      <c r="A1" s="613" t="s">
        <v>62</v>
      </c>
      <c r="B1" s="613"/>
      <c r="C1" s="613"/>
      <c r="D1" s="613"/>
      <c r="E1" s="613"/>
      <c r="F1" s="613"/>
      <c r="G1" s="613"/>
      <c r="H1" s="613"/>
      <c r="I1" s="613"/>
    </row>
    <row r="2" spans="1:9" ht="17.25" customHeight="1">
      <c r="A2" s="613"/>
      <c r="B2" s="613"/>
      <c r="C2" s="613"/>
      <c r="D2" s="613"/>
      <c r="E2" s="613"/>
      <c r="F2" s="613"/>
      <c r="G2" s="613"/>
      <c r="H2" s="613"/>
      <c r="I2" s="613"/>
    </row>
    <row r="3" spans="1:9" ht="17.25" customHeight="1">
      <c r="A3" s="613"/>
      <c r="B3" s="613"/>
      <c r="C3" s="613"/>
      <c r="D3" s="613"/>
      <c r="E3" s="613"/>
      <c r="F3" s="613"/>
      <c r="G3" s="613"/>
      <c r="H3" s="613"/>
      <c r="I3" s="613"/>
    </row>
    <row r="4" spans="1:9" ht="17.25" customHeight="1">
      <c r="A4" s="613"/>
      <c r="B4" s="613"/>
      <c r="C4" s="613"/>
      <c r="D4" s="613"/>
      <c r="E4" s="613"/>
      <c r="F4" s="613"/>
      <c r="G4" s="613"/>
      <c r="H4" s="613"/>
      <c r="I4" s="613"/>
    </row>
    <row r="5" spans="1:9" ht="17.25" customHeight="1">
      <c r="A5" s="616" t="s">
        <v>2170</v>
      </c>
      <c r="B5" s="616"/>
      <c r="C5" s="616"/>
      <c r="D5" s="616"/>
      <c r="E5" s="616"/>
      <c r="F5" s="616"/>
      <c r="G5" s="616"/>
      <c r="H5" s="616"/>
      <c r="I5" s="616"/>
    </row>
    <row r="7" spans="1:9" ht="12.75" customHeight="1">
      <c r="A7" s="663" t="s">
        <v>3695</v>
      </c>
      <c r="B7" s="663"/>
      <c r="C7" s="663"/>
      <c r="D7" s="663"/>
      <c r="E7" s="663"/>
      <c r="F7" s="663"/>
      <c r="G7" s="663"/>
      <c r="H7" s="663"/>
      <c r="I7" s="663"/>
    </row>
    <row r="8" spans="1:9" ht="12.75" customHeight="1">
      <c r="A8" s="663"/>
      <c r="B8" s="663"/>
      <c r="C8" s="663"/>
      <c r="D8" s="663"/>
      <c r="E8" s="663"/>
      <c r="F8" s="663"/>
      <c r="G8" s="663"/>
      <c r="H8" s="663"/>
      <c r="I8" s="663"/>
    </row>
    <row r="9" spans="1:9" ht="12.75" customHeight="1">
      <c r="A9" s="663"/>
      <c r="B9" s="663"/>
      <c r="C9" s="663"/>
      <c r="D9" s="663"/>
      <c r="E9" s="663"/>
      <c r="F9" s="663"/>
      <c r="G9" s="663"/>
      <c r="H9" s="663"/>
      <c r="I9" s="663"/>
    </row>
    <row r="11" spans="1:9">
      <c r="A11" s="246" t="str">
        <f>'3 - PLAN. ORÇAMENTÁRIA'!A17</f>
        <v>1.1</v>
      </c>
      <c r="B11" s="178" t="str">
        <f>'3 - PLAN. ORÇAMENTÁRIA'!B17</f>
        <v>CCU 035</v>
      </c>
      <c r="C11" s="631" t="str">
        <f>'3 - PLAN. ORÇAMENTÁRIA'!C17</f>
        <v>ADMINISTRAÇÃO LOCAL</v>
      </c>
      <c r="D11" s="632"/>
      <c r="E11" s="632"/>
      <c r="F11" s="632"/>
      <c r="G11" s="633"/>
      <c r="H11" s="407" t="str">
        <f>'3 - PLAN. ORÇAMENTÁRIA'!E17</f>
        <v>UN</v>
      </c>
    </row>
    <row r="12" spans="1:9">
      <c r="B12" s="628" t="s">
        <v>586</v>
      </c>
      <c r="C12" s="628"/>
      <c r="D12" s="103" t="s">
        <v>579</v>
      </c>
      <c r="E12" s="103" t="s">
        <v>580</v>
      </c>
      <c r="F12" s="103" t="s">
        <v>581</v>
      </c>
      <c r="G12" s="103" t="s">
        <v>582</v>
      </c>
      <c r="H12" s="103" t="s">
        <v>583</v>
      </c>
    </row>
    <row r="13" spans="1:9" ht="14.25">
      <c r="B13" s="148">
        <v>90777</v>
      </c>
      <c r="C13" s="147" t="s">
        <v>120</v>
      </c>
      <c r="D13" s="148" t="s">
        <v>119</v>
      </c>
      <c r="E13" s="148" t="s">
        <v>121</v>
      </c>
      <c r="F13" s="149">
        <v>480</v>
      </c>
      <c r="G13" s="149">
        <v>127.32</v>
      </c>
      <c r="H13" s="160">
        <f t="shared" ref="H13:H19" si="0">ROUND(ROUND(F13,8)*G13,2)</f>
        <v>61113.599999999999</v>
      </c>
    </row>
    <row r="14" spans="1:9" ht="14.25">
      <c r="B14" s="148">
        <v>93572</v>
      </c>
      <c r="C14" s="147" t="s">
        <v>122</v>
      </c>
      <c r="D14" s="148" t="s">
        <v>119</v>
      </c>
      <c r="E14" s="148" t="s">
        <v>123</v>
      </c>
      <c r="F14" s="149">
        <v>10</v>
      </c>
      <c r="G14" s="149">
        <v>4495.74</v>
      </c>
      <c r="H14" s="160">
        <f t="shared" si="0"/>
        <v>44957.4</v>
      </c>
    </row>
    <row r="15" spans="1:9" ht="14.25">
      <c r="B15" s="148">
        <v>93563</v>
      </c>
      <c r="C15" s="147" t="s">
        <v>1841</v>
      </c>
      <c r="D15" s="148" t="s">
        <v>119</v>
      </c>
      <c r="E15" s="148" t="s">
        <v>123</v>
      </c>
      <c r="F15" s="149">
        <v>10</v>
      </c>
      <c r="G15" s="149">
        <v>6659.72</v>
      </c>
      <c r="H15" s="160">
        <f t="shared" si="0"/>
        <v>66597.2</v>
      </c>
    </row>
    <row r="16" spans="1:9" ht="28.5">
      <c r="B16" s="148" t="s">
        <v>1837</v>
      </c>
      <c r="C16" s="147" t="s">
        <v>1838</v>
      </c>
      <c r="D16" s="148" t="s">
        <v>149</v>
      </c>
      <c r="E16" s="148" t="s">
        <v>121</v>
      </c>
      <c r="F16" s="149">
        <v>3600</v>
      </c>
      <c r="G16" s="149">
        <v>28.8</v>
      </c>
      <c r="H16" s="160">
        <f t="shared" si="0"/>
        <v>103680</v>
      </c>
    </row>
    <row r="17" spans="1:10" ht="14.25">
      <c r="B17" s="148">
        <v>101460</v>
      </c>
      <c r="C17" s="147" t="s">
        <v>1839</v>
      </c>
      <c r="D17" s="148" t="s">
        <v>119</v>
      </c>
      <c r="E17" s="148" t="s">
        <v>123</v>
      </c>
      <c r="F17" s="149">
        <v>10</v>
      </c>
      <c r="G17" s="149">
        <v>4456.43</v>
      </c>
      <c r="H17" s="160">
        <f t="shared" si="0"/>
        <v>44564.3</v>
      </c>
    </row>
    <row r="18" spans="1:10" ht="14.25">
      <c r="B18" s="148" t="s">
        <v>1868</v>
      </c>
      <c r="C18" s="147" t="s">
        <v>1840</v>
      </c>
      <c r="D18" s="148" t="s">
        <v>3280</v>
      </c>
      <c r="E18" s="148" t="s">
        <v>144</v>
      </c>
      <c r="F18" s="149">
        <v>1</v>
      </c>
      <c r="G18" s="149">
        <f>'6 - COTAÇÃO MERCADO'!$D$44</f>
        <v>262.55</v>
      </c>
      <c r="H18" s="160">
        <f t="shared" si="0"/>
        <v>262.55</v>
      </c>
    </row>
    <row r="19" spans="1:10" ht="14.25">
      <c r="B19" s="148">
        <v>100309</v>
      </c>
      <c r="C19" s="147" t="s">
        <v>2067</v>
      </c>
      <c r="D19" s="148" t="s">
        <v>119</v>
      </c>
      <c r="E19" s="148" t="s">
        <v>121</v>
      </c>
      <c r="F19" s="149">
        <v>720</v>
      </c>
      <c r="G19" s="149">
        <v>52.38</v>
      </c>
      <c r="H19" s="160">
        <f t="shared" si="0"/>
        <v>37713.599999999999</v>
      </c>
    </row>
    <row r="20" spans="1:10">
      <c r="F20" s="629" t="s">
        <v>587</v>
      </c>
      <c r="G20" s="629"/>
      <c r="H20" s="406">
        <f>SUM(H13:H19)</f>
        <v>358888.64999999997</v>
      </c>
    </row>
    <row r="21" spans="1:10">
      <c r="F21" s="630" t="s">
        <v>464</v>
      </c>
      <c r="G21" s="630"/>
      <c r="H21" s="102">
        <f>H20</f>
        <v>358888.64999999997</v>
      </c>
    </row>
    <row r="23" spans="1:10" ht="12.75" customHeight="1">
      <c r="A23" s="650" t="s">
        <v>1178</v>
      </c>
      <c r="B23" s="650"/>
      <c r="C23" s="650"/>
      <c r="D23" s="650"/>
      <c r="E23" s="650"/>
      <c r="F23" s="650"/>
      <c r="G23" s="650"/>
      <c r="H23" s="650"/>
      <c r="I23" s="650"/>
    </row>
    <row r="24" spans="1:10" ht="12.75" customHeight="1">
      <c r="A24" s="650"/>
      <c r="B24" s="650"/>
      <c r="C24" s="650"/>
      <c r="D24" s="650"/>
      <c r="E24" s="650"/>
      <c r="F24" s="650"/>
      <c r="G24" s="650"/>
      <c r="H24" s="650"/>
      <c r="I24" s="650"/>
    </row>
    <row r="25" spans="1:10" ht="12.75" customHeight="1">
      <c r="A25" s="650"/>
      <c r="B25" s="650"/>
      <c r="C25" s="650"/>
      <c r="D25" s="650"/>
      <c r="E25" s="650"/>
      <c r="F25" s="650"/>
      <c r="G25" s="650"/>
      <c r="H25" s="650"/>
      <c r="I25" s="650"/>
    </row>
    <row r="27" spans="1:10" ht="27" customHeight="1">
      <c r="A27" s="246" t="str">
        <f>'3 - PLAN. ORÇAMENTÁRIA'!A174</f>
        <v>4.1.2.1.1</v>
      </c>
      <c r="B27" s="178" t="str">
        <f>'3 - PLAN. ORÇAMENTÁRIA'!B174</f>
        <v>CCU 001</v>
      </c>
      <c r="C27" s="631" t="str">
        <f>'3 - PLAN. ORÇAMENTÁRIA'!C174</f>
        <v>KIT DE PORTA PRONTA DE MADEIRA RU, ACABAMENTO LAMINADO NATURAL COM VERNIZ, FOLHA PESADA, 80x210, EXCLUSIVE FECHADURA, FIXAÇÃO COM PREENCHIMENTO TOTAL DE ESPUMA EXPANSIVA - FORNECIMENTO E INSTALAÇÃO. REF. 100675/SINAPI</v>
      </c>
      <c r="D27" s="632"/>
      <c r="E27" s="632"/>
      <c r="F27" s="632"/>
      <c r="G27" s="633"/>
      <c r="H27" s="131" t="s">
        <v>144</v>
      </c>
      <c r="J27" s="220" t="str">
        <f>B38</f>
        <v>Obs: Foi adotado o item 100675 do SINAPI como base e por questão de similaridade com o que se pede em projeto, foram adicionados os materiais de Maçaneta e Porta, feitos por Cotação Externa</v>
      </c>
    </row>
    <row r="28" spans="1:10" ht="27" customHeight="1">
      <c r="A28" s="163"/>
      <c r="B28" s="658" t="s">
        <v>593</v>
      </c>
      <c r="C28" s="659"/>
      <c r="D28" s="103" t="s">
        <v>579</v>
      </c>
      <c r="E28" s="103" t="s">
        <v>580</v>
      </c>
      <c r="F28" s="103" t="s">
        <v>581</v>
      </c>
      <c r="G28" s="103" t="s">
        <v>582</v>
      </c>
      <c r="H28" s="103" t="s">
        <v>583</v>
      </c>
    </row>
    <row r="29" spans="1:10">
      <c r="A29" s="163"/>
      <c r="B29" s="173" t="s">
        <v>2725</v>
      </c>
      <c r="C29" s="221" t="s">
        <v>2726</v>
      </c>
      <c r="D29" s="130" t="s">
        <v>119</v>
      </c>
      <c r="E29" s="159" t="s">
        <v>144</v>
      </c>
      <c r="F29" s="230">
        <v>1.1619999999999999</v>
      </c>
      <c r="G29" s="227">
        <v>26.91</v>
      </c>
      <c r="H29" s="160">
        <f>ROUND(ROUND(F29,8)*G29,2)</f>
        <v>31.27</v>
      </c>
    </row>
    <row r="30" spans="1:10" ht="38.25">
      <c r="A30" s="163"/>
      <c r="B30" s="173" t="s">
        <v>2792</v>
      </c>
      <c r="C30" s="221" t="s">
        <v>4011</v>
      </c>
      <c r="D30" s="159" t="s">
        <v>119</v>
      </c>
      <c r="E30" s="159" t="s">
        <v>144</v>
      </c>
      <c r="F30" s="174">
        <v>1</v>
      </c>
      <c r="G30" s="160">
        <v>1340.35</v>
      </c>
      <c r="H30" s="160">
        <f>ROUND(ROUND(F30,8)*G30,2)</f>
        <v>1340.35</v>
      </c>
    </row>
    <row r="31" spans="1:10">
      <c r="A31" s="163"/>
      <c r="F31" s="643" t="s">
        <v>604</v>
      </c>
      <c r="G31" s="644"/>
      <c r="H31" s="102">
        <f>SUM(H29:H30)</f>
        <v>1371.62</v>
      </c>
    </row>
    <row r="32" spans="1:10" ht="27" customHeight="1">
      <c r="A32" s="163"/>
      <c r="B32" s="641" t="s">
        <v>607</v>
      </c>
      <c r="C32" s="642"/>
      <c r="D32" s="103" t="s">
        <v>579</v>
      </c>
      <c r="E32" s="103" t="s">
        <v>580</v>
      </c>
      <c r="F32" s="103" t="s">
        <v>581</v>
      </c>
      <c r="G32" s="103" t="s">
        <v>582</v>
      </c>
      <c r="H32" s="103" t="s">
        <v>583</v>
      </c>
    </row>
    <row r="33" spans="1:10">
      <c r="A33" s="163"/>
      <c r="B33" s="130">
        <v>88261</v>
      </c>
      <c r="C33" s="229" t="s">
        <v>1504</v>
      </c>
      <c r="D33" s="130" t="s">
        <v>119</v>
      </c>
      <c r="E33" s="130" t="s">
        <v>121</v>
      </c>
      <c r="F33" s="230">
        <v>0.68700000000000006</v>
      </c>
      <c r="G33" s="227">
        <v>29.67</v>
      </c>
      <c r="H33" s="160">
        <f>ROUND(ROUND(F33,8)*G33,2)</f>
        <v>20.38</v>
      </c>
    </row>
    <row r="34" spans="1:10">
      <c r="A34" s="163"/>
      <c r="B34" s="130" t="s">
        <v>625</v>
      </c>
      <c r="C34" s="229" t="s">
        <v>626</v>
      </c>
      <c r="D34" s="130" t="s">
        <v>119</v>
      </c>
      <c r="E34" s="130" t="s">
        <v>121</v>
      </c>
      <c r="F34" s="230">
        <v>0.33400000000000002</v>
      </c>
      <c r="G34" s="227">
        <v>23.75</v>
      </c>
      <c r="H34" s="160">
        <f>ROUND(ROUND(F34,8)*G34,2)</f>
        <v>7.93</v>
      </c>
    </row>
    <row r="35" spans="1:10">
      <c r="A35" s="163"/>
      <c r="B35" s="222"/>
      <c r="C35" s="222"/>
      <c r="D35" s="222"/>
      <c r="E35" s="222"/>
      <c r="F35" s="643" t="s">
        <v>610</v>
      </c>
      <c r="G35" s="644"/>
      <c r="H35" s="102">
        <f>H33+H34</f>
        <v>28.31</v>
      </c>
    </row>
    <row r="36" spans="1:10">
      <c r="B36" s="222"/>
      <c r="C36" s="222"/>
      <c r="D36" s="222"/>
      <c r="E36" s="222"/>
      <c r="F36" s="630" t="s">
        <v>464</v>
      </c>
      <c r="G36" s="630"/>
      <c r="H36" s="102">
        <f>H31+H35</f>
        <v>1399.9299999999998</v>
      </c>
    </row>
    <row r="38" spans="1:10">
      <c r="B38" s="245" t="s">
        <v>2760</v>
      </c>
    </row>
    <row r="40" spans="1:10" ht="37.5" customHeight="1">
      <c r="A40" s="246" t="str">
        <f>'3 - PLAN. ORÇAMENTÁRIA'!A176</f>
        <v>4.1.2.1.3</v>
      </c>
      <c r="B40" s="178" t="str">
        <f>'3 - PLAN. ORÇAMENTÁRIA'!B176</f>
        <v>CCU 002</v>
      </c>
      <c r="C40" s="631" t="str">
        <f>'3 - PLAN. ORÇAMENTÁRIA'!C176</f>
        <v>KIT DE PORTA PRONTA DE MADEIRA RU, ACABAMENTO LAMINADO NATURAL COM VERNIZ, FOLHA PESADA, 90x210, EXCLUSIVE FECHADURA, FIXAÇÃO COM PREENCHIMENTO TOTAL DE ESPUMA EXPANSIVA - FORNECIMENTO E INSTALAÇÃO. REF. 100675/SINAPI</v>
      </c>
      <c r="D40" s="632"/>
      <c r="E40" s="632"/>
      <c r="F40" s="632"/>
      <c r="G40" s="633"/>
      <c r="H40" s="131" t="s">
        <v>144</v>
      </c>
      <c r="J40" s="220" t="str">
        <f>B51</f>
        <v>Obs: Foi adotado o item 100675 do SINAPI como base e por questão de similaridade com o que se pede em projeto, foram adicionados os materiais de Maçaneta e Porta, feitos por Cotação Externa</v>
      </c>
    </row>
    <row r="41" spans="1:10" ht="37.5" customHeight="1">
      <c r="A41" s="163"/>
      <c r="B41" s="658" t="s">
        <v>593</v>
      </c>
      <c r="C41" s="659"/>
      <c r="D41" s="103" t="s">
        <v>579</v>
      </c>
      <c r="E41" s="103" t="s">
        <v>580</v>
      </c>
      <c r="F41" s="103" t="s">
        <v>581</v>
      </c>
      <c r="G41" s="103" t="s">
        <v>582</v>
      </c>
      <c r="H41" s="103" t="s">
        <v>583</v>
      </c>
    </row>
    <row r="42" spans="1:10">
      <c r="A42" s="163"/>
      <c r="B42" s="173" t="s">
        <v>2725</v>
      </c>
      <c r="C42" s="221" t="s">
        <v>2726</v>
      </c>
      <c r="D42" s="130" t="s">
        <v>119</v>
      </c>
      <c r="E42" s="159" t="s">
        <v>144</v>
      </c>
      <c r="F42" s="230">
        <v>1.1619999999999999</v>
      </c>
      <c r="G42" s="227">
        <v>26.91</v>
      </c>
      <c r="H42" s="160">
        <f>ROUND(ROUND(F42,8)*G42,2)</f>
        <v>31.27</v>
      </c>
    </row>
    <row r="43" spans="1:10" ht="38.25">
      <c r="A43" s="163"/>
      <c r="B43" s="173" t="s">
        <v>2793</v>
      </c>
      <c r="C43" s="221" t="s">
        <v>4010</v>
      </c>
      <c r="D43" s="159" t="s">
        <v>119</v>
      </c>
      <c r="E43" s="159" t="s">
        <v>144</v>
      </c>
      <c r="F43" s="174">
        <v>1</v>
      </c>
      <c r="G43" s="160">
        <v>1359.38</v>
      </c>
      <c r="H43" s="160">
        <f>ROUND(ROUND(F43,8)*G43,2)</f>
        <v>1359.38</v>
      </c>
    </row>
    <row r="44" spans="1:10">
      <c r="A44" s="163"/>
      <c r="F44" s="643" t="s">
        <v>604</v>
      </c>
      <c r="G44" s="644"/>
      <c r="H44" s="102">
        <f>SUM(H42:H43)</f>
        <v>1390.65</v>
      </c>
    </row>
    <row r="45" spans="1:10" ht="37.5" customHeight="1">
      <c r="A45" s="163"/>
      <c r="B45" s="641" t="s">
        <v>607</v>
      </c>
      <c r="C45" s="642"/>
      <c r="D45" s="103" t="s">
        <v>579</v>
      </c>
      <c r="E45" s="103" t="s">
        <v>580</v>
      </c>
      <c r="F45" s="103" t="s">
        <v>581</v>
      </c>
      <c r="G45" s="103" t="s">
        <v>582</v>
      </c>
      <c r="H45" s="103" t="s">
        <v>583</v>
      </c>
    </row>
    <row r="46" spans="1:10">
      <c r="A46" s="163"/>
      <c r="B46" s="130">
        <v>88261</v>
      </c>
      <c r="C46" s="229" t="s">
        <v>1504</v>
      </c>
      <c r="D46" s="130" t="s">
        <v>119</v>
      </c>
      <c r="E46" s="130" t="s">
        <v>121</v>
      </c>
      <c r="F46" s="230">
        <v>0.68700000000000006</v>
      </c>
      <c r="G46" s="227">
        <v>29.67</v>
      </c>
      <c r="H46" s="160">
        <f>ROUND(ROUND(F46,8)*G46,2)</f>
        <v>20.38</v>
      </c>
    </row>
    <row r="47" spans="1:10">
      <c r="A47" s="163"/>
      <c r="B47" s="130" t="s">
        <v>625</v>
      </c>
      <c r="C47" s="229" t="s">
        <v>626</v>
      </c>
      <c r="D47" s="130" t="s">
        <v>119</v>
      </c>
      <c r="E47" s="130" t="s">
        <v>121</v>
      </c>
      <c r="F47" s="230">
        <v>0.33400000000000002</v>
      </c>
      <c r="G47" s="227">
        <v>23.75</v>
      </c>
      <c r="H47" s="160">
        <f>ROUND(ROUND(F47,8)*G47,2)</f>
        <v>7.93</v>
      </c>
    </row>
    <row r="48" spans="1:10">
      <c r="A48" s="163"/>
      <c r="B48" s="222"/>
      <c r="C48" s="222"/>
      <c r="D48" s="222"/>
      <c r="E48" s="222"/>
      <c r="F48" s="643" t="s">
        <v>610</v>
      </c>
      <c r="G48" s="644"/>
      <c r="H48" s="102">
        <f>H46+H47</f>
        <v>28.31</v>
      </c>
    </row>
    <row r="49" spans="1:10">
      <c r="B49" s="222"/>
      <c r="C49" s="222"/>
      <c r="D49" s="222"/>
      <c r="E49" s="222"/>
      <c r="F49" s="630" t="s">
        <v>464</v>
      </c>
      <c r="G49" s="630"/>
      <c r="H49" s="102">
        <f>H44+H48</f>
        <v>1418.96</v>
      </c>
    </row>
    <row r="51" spans="1:10">
      <c r="B51" s="245" t="s">
        <v>2760</v>
      </c>
    </row>
    <row r="53" spans="1:10" ht="27" customHeight="1">
      <c r="A53" s="246" t="str">
        <f>'3 - PLAN. ORÇAMENTÁRIA'!A269</f>
        <v>4.1.6.1.16</v>
      </c>
      <c r="B53" s="178" t="str">
        <f>'3 - PLAN. ORÇAMENTÁRIA'!B269</f>
        <v>CCU 003</v>
      </c>
      <c r="C53" s="631" t="str">
        <f>'3 - PLAN. ORÇAMENTÁRIA'!C269</f>
        <v>CHUVEIRO C/DESVIADOR E DUCHA MANUAL EM LATÃO CROMADO DN 15MM REF. 100860/SINAPI</v>
      </c>
      <c r="D53" s="632"/>
      <c r="E53" s="632"/>
      <c r="F53" s="632"/>
      <c r="G53" s="633"/>
      <c r="H53" s="131" t="s">
        <v>144</v>
      </c>
      <c r="J53" s="220" t="str">
        <f>B64</f>
        <v>Obs: Foi adotado o item 100860 do SINAPI como base e por questão de similaridade com o que se pede em projeto, foi alterado o material para o material 00038190 do SINAPI</v>
      </c>
    </row>
    <row r="54" spans="1:10">
      <c r="B54" s="658" t="s">
        <v>593</v>
      </c>
      <c r="C54" s="659"/>
      <c r="D54" s="103" t="s">
        <v>579</v>
      </c>
      <c r="E54" s="103" t="s">
        <v>580</v>
      </c>
      <c r="F54" s="103" t="s">
        <v>581</v>
      </c>
      <c r="G54" s="103" t="s">
        <v>582</v>
      </c>
      <c r="H54" s="103" t="s">
        <v>583</v>
      </c>
    </row>
    <row r="55" spans="1:10">
      <c r="B55" s="239" t="s">
        <v>2779</v>
      </c>
      <c r="C55" s="221" t="s">
        <v>2780</v>
      </c>
      <c r="D55" s="130" t="s">
        <v>119</v>
      </c>
      <c r="E55" s="130" t="s">
        <v>144</v>
      </c>
      <c r="F55" s="230">
        <v>1</v>
      </c>
      <c r="G55" s="227">
        <v>355.6</v>
      </c>
      <c r="H55" s="160">
        <f>ROUND(ROUND(F55,8)*G55,2)</f>
        <v>355.6</v>
      </c>
    </row>
    <row r="56" spans="1:10">
      <c r="B56" s="130" t="s">
        <v>1544</v>
      </c>
      <c r="C56" s="229" t="s">
        <v>1017</v>
      </c>
      <c r="D56" s="130" t="s">
        <v>119</v>
      </c>
      <c r="E56" s="130" t="s">
        <v>144</v>
      </c>
      <c r="F56" s="230">
        <v>2.1000000000000001E-2</v>
      </c>
      <c r="G56" s="227">
        <v>3.9</v>
      </c>
      <c r="H56" s="160">
        <f>ROUND(ROUND(F56,8)*G56,2)</f>
        <v>0.08</v>
      </c>
    </row>
    <row r="57" spans="1:10">
      <c r="F57" s="643" t="s">
        <v>604</v>
      </c>
      <c r="G57" s="644"/>
      <c r="H57" s="102">
        <f>H55+H56</f>
        <v>355.68</v>
      </c>
    </row>
    <row r="58" spans="1:10" ht="12.75" customHeight="1">
      <c r="B58" s="641" t="s">
        <v>607</v>
      </c>
      <c r="C58" s="642"/>
      <c r="D58" s="103" t="s">
        <v>579</v>
      </c>
      <c r="E58" s="103" t="s">
        <v>580</v>
      </c>
      <c r="F58" s="103" t="s">
        <v>581</v>
      </c>
      <c r="G58" s="103" t="s">
        <v>582</v>
      </c>
      <c r="H58" s="103" t="s">
        <v>583</v>
      </c>
    </row>
    <row r="59" spans="1:10">
      <c r="B59" s="130" t="s">
        <v>1297</v>
      </c>
      <c r="C59" s="229" t="s">
        <v>612</v>
      </c>
      <c r="D59" s="130" t="s">
        <v>119</v>
      </c>
      <c r="E59" s="130" t="s">
        <v>121</v>
      </c>
      <c r="F59" s="230">
        <v>0.44669999999999999</v>
      </c>
      <c r="G59" s="227">
        <v>30.62</v>
      </c>
      <c r="H59" s="160">
        <f>ROUND(ROUND(F59,8)*G59,2)</f>
        <v>13.68</v>
      </c>
    </row>
    <row r="60" spans="1:10">
      <c r="B60" s="130" t="s">
        <v>625</v>
      </c>
      <c r="C60" s="229" t="s">
        <v>626</v>
      </c>
      <c r="D60" s="130" t="s">
        <v>119</v>
      </c>
      <c r="E60" s="130" t="s">
        <v>121</v>
      </c>
      <c r="F60" s="230">
        <v>0.14069999999999999</v>
      </c>
      <c r="G60" s="227">
        <v>23.75</v>
      </c>
      <c r="H60" s="160">
        <f>ROUND(ROUND(F60,8)*G60,2)</f>
        <v>3.34</v>
      </c>
    </row>
    <row r="61" spans="1:10" ht="12.75" customHeight="1">
      <c r="B61" s="222"/>
      <c r="C61" s="222"/>
      <c r="D61" s="222"/>
      <c r="E61" s="222"/>
      <c r="F61" s="643" t="s">
        <v>610</v>
      </c>
      <c r="G61" s="644"/>
      <c r="H61" s="102">
        <f>H59+H60</f>
        <v>17.02</v>
      </c>
    </row>
    <row r="62" spans="1:10" ht="12.75" customHeight="1">
      <c r="B62" s="222"/>
      <c r="C62" s="222"/>
      <c r="D62" s="222"/>
      <c r="E62" s="222"/>
      <c r="F62" s="643" t="s">
        <v>464</v>
      </c>
      <c r="G62" s="644"/>
      <c r="H62" s="102">
        <f>H57+H61</f>
        <v>372.7</v>
      </c>
    </row>
    <row r="63" spans="1:10">
      <c r="B63" s="222"/>
      <c r="C63" s="222"/>
      <c r="D63" s="222"/>
      <c r="E63" s="222"/>
      <c r="F63" s="111"/>
      <c r="G63" s="111"/>
      <c r="H63" s="228"/>
    </row>
    <row r="64" spans="1:10">
      <c r="B64" s="245" t="s">
        <v>2787</v>
      </c>
    </row>
    <row r="65" spans="1:10">
      <c r="B65" s="222"/>
      <c r="C65" s="222"/>
      <c r="D65" s="222"/>
      <c r="E65" s="222"/>
      <c r="F65" s="111"/>
      <c r="G65" s="111"/>
      <c r="H65" s="228"/>
    </row>
    <row r="66" spans="1:10" ht="24.75" customHeight="1">
      <c r="A66" s="246" t="str">
        <f>'3 - PLAN. ORÇAMENTÁRIA'!A215</f>
        <v>4.1.5.1.2.2</v>
      </c>
      <c r="B66" s="178" t="str">
        <f>'3 - PLAN. ORÇAMENTÁRIA'!B215</f>
        <v>CCU 006</v>
      </c>
      <c r="C66" s="631" t="str">
        <f>'3 - PLAN. ORÇAMENTÁRIA'!C215</f>
        <v>REVESTIMENTO EM PORCELANATO TÉCNICO NATURAL/ACETINADO PARA ÁREA INTERNA E AMBIENTE DE MÉDIO TRÁFEGO MAIOR QUE 10 M², GRUPO DE ABSORÇÃO BIA, COEFICIENTE DE ATRITO I, ASSENTADO COM ARGAMASSA COLANTE INDUSTRIALIZADA, REJUNTADO REF. 87263/SINAPI</v>
      </c>
      <c r="D66" s="632"/>
      <c r="E66" s="632"/>
      <c r="F66" s="632"/>
      <c r="G66" s="633"/>
      <c r="H66" s="131" t="str">
        <f>'3 - PLAN. ORÇAMENTÁRIA'!E215</f>
        <v>M2</v>
      </c>
      <c r="J66" s="220" t="str">
        <f>B78</f>
        <v>Obs: Foi adotado o item 87263 do SINAPI como base por similaridade ao que pede em projeto e alterado apenas o material pelo do item 18.08.170 do SP Obras</v>
      </c>
    </row>
    <row r="67" spans="1:10">
      <c r="B67" s="628" t="s">
        <v>593</v>
      </c>
      <c r="C67" s="628"/>
      <c r="D67" s="103" t="s">
        <v>579</v>
      </c>
      <c r="E67" s="103" t="s">
        <v>580</v>
      </c>
      <c r="F67" s="103" t="s">
        <v>581</v>
      </c>
      <c r="G67" s="103" t="s">
        <v>582</v>
      </c>
      <c r="H67" s="103" t="s">
        <v>583</v>
      </c>
    </row>
    <row r="68" spans="1:10">
      <c r="B68" s="239" t="s">
        <v>1527</v>
      </c>
      <c r="C68" s="229" t="s">
        <v>1528</v>
      </c>
      <c r="D68" s="130" t="s">
        <v>119</v>
      </c>
      <c r="E68" s="130" t="s">
        <v>200</v>
      </c>
      <c r="F68" s="230">
        <v>9.1300000000000008</v>
      </c>
      <c r="G68" s="227">
        <v>2.09</v>
      </c>
      <c r="H68" s="160">
        <f>ROUND(ROUND(F68,8)*G68,2)</f>
        <v>19.079999999999998</v>
      </c>
    </row>
    <row r="69" spans="1:10" ht="25.5">
      <c r="B69" s="239" t="s">
        <v>3710</v>
      </c>
      <c r="C69" s="229" t="s">
        <v>3711</v>
      </c>
      <c r="D69" s="130" t="s">
        <v>592</v>
      </c>
      <c r="E69" s="130" t="s">
        <v>139</v>
      </c>
      <c r="F69" s="230">
        <v>1.069</v>
      </c>
      <c r="G69" s="227">
        <v>124.05</v>
      </c>
      <c r="H69" s="160">
        <f>ROUND(ROUND(F69,8)*G69,2)</f>
        <v>132.61000000000001</v>
      </c>
    </row>
    <row r="70" spans="1:10">
      <c r="B70" s="239" t="s">
        <v>1593</v>
      </c>
      <c r="C70" s="229" t="s">
        <v>1594</v>
      </c>
      <c r="D70" s="130" t="s">
        <v>119</v>
      </c>
      <c r="E70" s="130" t="s">
        <v>200</v>
      </c>
      <c r="F70" s="230">
        <v>0.14099999999999999</v>
      </c>
      <c r="G70" s="227">
        <v>3.99</v>
      </c>
      <c r="H70" s="160">
        <f>ROUND(ROUND(F70,8)*G70,2)</f>
        <v>0.56000000000000005</v>
      </c>
    </row>
    <row r="71" spans="1:10">
      <c r="B71" s="222"/>
      <c r="C71" s="222"/>
      <c r="D71" s="222"/>
      <c r="E71" s="222"/>
      <c r="F71" s="630" t="s">
        <v>604</v>
      </c>
      <c r="G71" s="630"/>
      <c r="H71" s="102">
        <f>SUM(H68:H70)</f>
        <v>152.25</v>
      </c>
    </row>
    <row r="72" spans="1:10">
      <c r="B72" s="628" t="s">
        <v>607</v>
      </c>
      <c r="C72" s="628"/>
      <c r="D72" s="103" t="s">
        <v>579</v>
      </c>
      <c r="E72" s="103" t="s">
        <v>580</v>
      </c>
      <c r="F72" s="103" t="s">
        <v>581</v>
      </c>
      <c r="G72" s="103" t="s">
        <v>582</v>
      </c>
      <c r="H72" s="103" t="s">
        <v>583</v>
      </c>
    </row>
    <row r="73" spans="1:10">
      <c r="B73" s="159">
        <v>88256</v>
      </c>
      <c r="C73" s="221" t="s">
        <v>2511</v>
      </c>
      <c r="D73" s="159" t="s">
        <v>119</v>
      </c>
      <c r="E73" s="159" t="s">
        <v>121</v>
      </c>
      <c r="F73" s="174">
        <v>0.52029999999999998</v>
      </c>
      <c r="G73" s="160">
        <v>31.2</v>
      </c>
      <c r="H73" s="160">
        <f>ROUND(ROUND(F73,8)*G73,2)</f>
        <v>16.23</v>
      </c>
    </row>
    <row r="74" spans="1:10">
      <c r="B74" s="159" t="s">
        <v>625</v>
      </c>
      <c r="C74" s="221" t="s">
        <v>626</v>
      </c>
      <c r="D74" s="159" t="s">
        <v>119</v>
      </c>
      <c r="E74" s="159" t="s">
        <v>121</v>
      </c>
      <c r="F74" s="174">
        <v>0.16739999999999999</v>
      </c>
      <c r="G74" s="160">
        <v>23.75</v>
      </c>
      <c r="H74" s="160">
        <f>ROUND(ROUND(F74,8)*G74,2)</f>
        <v>3.98</v>
      </c>
    </row>
    <row r="75" spans="1:10">
      <c r="B75" s="222"/>
      <c r="C75" s="222"/>
      <c r="D75" s="222"/>
      <c r="E75" s="222"/>
      <c r="F75" s="630" t="s">
        <v>585</v>
      </c>
      <c r="G75" s="630"/>
      <c r="H75" s="224">
        <f>H73+H74</f>
        <v>20.21</v>
      </c>
    </row>
    <row r="76" spans="1:10">
      <c r="B76" s="222"/>
      <c r="C76" s="222"/>
      <c r="D76" s="222"/>
      <c r="E76" s="222"/>
      <c r="F76" s="645" t="s">
        <v>464</v>
      </c>
      <c r="G76" s="645"/>
      <c r="H76" s="158">
        <f>H75+H71</f>
        <v>172.46</v>
      </c>
    </row>
    <row r="77" spans="1:10">
      <c r="B77" s="222"/>
      <c r="C77" s="222"/>
      <c r="D77" s="222"/>
      <c r="E77" s="222"/>
      <c r="F77" s="111"/>
      <c r="G77" s="111"/>
      <c r="H77" s="228"/>
    </row>
    <row r="78" spans="1:10">
      <c r="B78" s="245" t="s">
        <v>2765</v>
      </c>
    </row>
    <row r="79" spans="1:10">
      <c r="B79" s="222"/>
      <c r="C79" s="222"/>
      <c r="D79" s="222"/>
      <c r="E79" s="222"/>
      <c r="F79" s="111"/>
      <c r="G79" s="111"/>
      <c r="H79" s="228"/>
    </row>
    <row r="80" spans="1:10">
      <c r="A80" s="246" t="str">
        <f>'3 - PLAN. ORÇAMENTÁRIA'!A216</f>
        <v>4.1.5.1.2.3</v>
      </c>
      <c r="B80" s="178" t="str">
        <f>'3 - PLAN. ORÇAMENTÁRIA'!B216</f>
        <v>CCU 007</v>
      </c>
      <c r="C80" s="631" t="str">
        <f>'3 - PLAN. ORÇAMENTÁRIA'!C216</f>
        <v>REVESTIMENTO EM PORCELANATO TÉCNICO NATURAL/ACETINADO PARA ÁREA INTERNA E AMBIENTE DE MÉDIO TRÁFEGO MENOR QUE 5 M², GRUPO DE ABSORÇÃO BIA, COEFICIENTE DE ATRITO I, ASSENTADO COM ARGAMASSA COLANTE INDUSTRIALIZADA, REJUNTADO REF. 87261/SINAPI</v>
      </c>
      <c r="D80" s="632"/>
      <c r="E80" s="632"/>
      <c r="F80" s="632"/>
      <c r="G80" s="633"/>
      <c r="H80" s="131" t="str">
        <f>'3 - PLAN. ORÇAMENTÁRIA'!E216</f>
        <v>M2</v>
      </c>
      <c r="J80" s="220" t="str">
        <f>B92</f>
        <v>Obs: Foi adotado o item 87261 do SINAPI como base por similaridade ao que pede em projeto e alterado apenas o material pelo do item 18.08.170 do SP Obras</v>
      </c>
    </row>
    <row r="81" spans="1:10">
      <c r="B81" s="628" t="s">
        <v>593</v>
      </c>
      <c r="C81" s="628"/>
      <c r="D81" s="103" t="s">
        <v>579</v>
      </c>
      <c r="E81" s="103" t="s">
        <v>580</v>
      </c>
      <c r="F81" s="103" t="s">
        <v>581</v>
      </c>
      <c r="G81" s="103" t="s">
        <v>582</v>
      </c>
      <c r="H81" s="103" t="s">
        <v>583</v>
      </c>
    </row>
    <row r="82" spans="1:10">
      <c r="B82" s="239" t="s">
        <v>1527</v>
      </c>
      <c r="C82" s="229" t="s">
        <v>1528</v>
      </c>
      <c r="D82" s="130" t="s">
        <v>119</v>
      </c>
      <c r="E82" s="130" t="s">
        <v>200</v>
      </c>
      <c r="F82" s="230">
        <v>9.1300000000000008</v>
      </c>
      <c r="G82" s="227">
        <v>2.09</v>
      </c>
      <c r="H82" s="160">
        <f>ROUND(ROUND(F82,8)*G82,2)</f>
        <v>19.079999999999998</v>
      </c>
    </row>
    <row r="83" spans="1:10" ht="25.5">
      <c r="B83" s="239" t="s">
        <v>3710</v>
      </c>
      <c r="C83" s="229" t="s">
        <v>3711</v>
      </c>
      <c r="D83" s="130" t="s">
        <v>592</v>
      </c>
      <c r="E83" s="130" t="s">
        <v>139</v>
      </c>
      <c r="F83" s="230">
        <v>1.1326400000000001</v>
      </c>
      <c r="G83" s="227">
        <v>124.05</v>
      </c>
      <c r="H83" s="160">
        <f>ROUND(ROUND(F83,8)*G83,2)</f>
        <v>140.5</v>
      </c>
    </row>
    <row r="84" spans="1:10">
      <c r="B84" s="239" t="s">
        <v>1593</v>
      </c>
      <c r="C84" s="229" t="s">
        <v>1594</v>
      </c>
      <c r="D84" s="130" t="s">
        <v>119</v>
      </c>
      <c r="E84" s="130" t="s">
        <v>200</v>
      </c>
      <c r="F84" s="230">
        <v>0.14099999999999999</v>
      </c>
      <c r="G84" s="227">
        <v>3.99</v>
      </c>
      <c r="H84" s="160">
        <f>ROUND(ROUND(F84,8)*G84,2)</f>
        <v>0.56000000000000005</v>
      </c>
    </row>
    <row r="85" spans="1:10">
      <c r="B85" s="222"/>
      <c r="C85" s="222"/>
      <c r="D85" s="222"/>
      <c r="E85" s="222"/>
      <c r="F85" s="630" t="s">
        <v>604</v>
      </c>
      <c r="G85" s="630"/>
      <c r="H85" s="102">
        <f>SUM(H82:H84)</f>
        <v>160.13999999999999</v>
      </c>
    </row>
    <row r="86" spans="1:10">
      <c r="B86" s="628" t="s">
        <v>607</v>
      </c>
      <c r="C86" s="628"/>
      <c r="D86" s="103" t="s">
        <v>579</v>
      </c>
      <c r="E86" s="103" t="s">
        <v>580</v>
      </c>
      <c r="F86" s="103" t="s">
        <v>581</v>
      </c>
      <c r="G86" s="103" t="s">
        <v>582</v>
      </c>
      <c r="H86" s="103" t="s">
        <v>583</v>
      </c>
    </row>
    <row r="87" spans="1:10">
      <c r="B87" s="159">
        <v>88256</v>
      </c>
      <c r="C87" s="221" t="s">
        <v>2511</v>
      </c>
      <c r="D87" s="159" t="s">
        <v>119</v>
      </c>
      <c r="E87" s="159" t="s">
        <v>121</v>
      </c>
      <c r="F87" s="174">
        <v>1.1135999999999999</v>
      </c>
      <c r="G87" s="160">
        <v>31.2</v>
      </c>
      <c r="H87" s="160">
        <f>ROUND(ROUND(F87,8)*G87,2)</f>
        <v>34.74</v>
      </c>
    </row>
    <row r="88" spans="1:10">
      <c r="B88" s="159" t="s">
        <v>625</v>
      </c>
      <c r="C88" s="221" t="s">
        <v>626</v>
      </c>
      <c r="D88" s="159" t="s">
        <v>119</v>
      </c>
      <c r="E88" s="159" t="s">
        <v>121</v>
      </c>
      <c r="F88" s="174">
        <v>0.249</v>
      </c>
      <c r="G88" s="160">
        <v>23.75</v>
      </c>
      <c r="H88" s="160">
        <f>ROUND(ROUND(F88,8)*G88,2)</f>
        <v>5.91</v>
      </c>
    </row>
    <row r="89" spans="1:10">
      <c r="B89" s="222"/>
      <c r="C89" s="222"/>
      <c r="D89" s="222"/>
      <c r="E89" s="222"/>
      <c r="F89" s="630" t="s">
        <v>585</v>
      </c>
      <c r="G89" s="630"/>
      <c r="H89" s="224">
        <f>H87+H88</f>
        <v>40.650000000000006</v>
      </c>
    </row>
    <row r="90" spans="1:10">
      <c r="B90" s="222"/>
      <c r="C90" s="222"/>
      <c r="D90" s="222"/>
      <c r="E90" s="222"/>
      <c r="F90" s="645" t="s">
        <v>464</v>
      </c>
      <c r="G90" s="645"/>
      <c r="H90" s="158">
        <f>H89+H85</f>
        <v>200.79</v>
      </c>
    </row>
    <row r="91" spans="1:10">
      <c r="B91" s="222"/>
      <c r="C91" s="222"/>
      <c r="D91" s="222"/>
      <c r="E91" s="222"/>
      <c r="F91" s="111"/>
      <c r="G91" s="111"/>
      <c r="H91" s="228"/>
    </row>
    <row r="92" spans="1:10">
      <c r="B92" s="245" t="s">
        <v>2766</v>
      </c>
    </row>
    <row r="93" spans="1:10">
      <c r="B93" s="222"/>
      <c r="C93" s="222"/>
      <c r="D93" s="222"/>
      <c r="E93" s="222"/>
      <c r="F93" s="111"/>
      <c r="G93" s="111"/>
      <c r="H93" s="228"/>
    </row>
    <row r="94" spans="1:10" ht="12.75" customHeight="1">
      <c r="A94" s="246" t="str">
        <f>'3 - PLAN. ORÇAMENTÁRIA'!A616</f>
        <v>6.3.2.4</v>
      </c>
      <c r="B94" s="178" t="str">
        <f>'3 - PLAN. ORÇAMENTÁRIA'!B616</f>
        <v>CCU 182</v>
      </c>
      <c r="C94" s="631" t="str">
        <f>'3 - PLAN. ORÇAMENTÁRIA'!C616</f>
        <v>PATCH PANEL 24 PORTAS CAT.6A - FORNECIMENTO E INSTALAÇÃO REF. 98302/SINAPI</v>
      </c>
      <c r="D94" s="632"/>
      <c r="E94" s="632"/>
      <c r="F94" s="632"/>
      <c r="G94" s="633"/>
      <c r="H94" s="131" t="str">
        <f>'3 - PLAN. ORÇAMENTÁRIA'!E616</f>
        <v>UN</v>
      </c>
      <c r="J94" s="220" t="str">
        <f>B104</f>
        <v>Obs: Foi adotado o item 98302 do SINAPI como base e por questão de similaridade com o que se pede em projeto, foi alterado o material para um de Cotação Externa</v>
      </c>
    </row>
    <row r="95" spans="1:10">
      <c r="B95" s="628" t="s">
        <v>593</v>
      </c>
      <c r="C95" s="628"/>
      <c r="D95" s="103" t="s">
        <v>579</v>
      </c>
      <c r="E95" s="103" t="s">
        <v>580</v>
      </c>
      <c r="F95" s="103" t="s">
        <v>581</v>
      </c>
      <c r="G95" s="103" t="s">
        <v>582</v>
      </c>
      <c r="H95" s="103" t="s">
        <v>583</v>
      </c>
    </row>
    <row r="96" spans="1:10">
      <c r="B96" s="159" t="str">
        <f>'6 - COTAÇÃO MERCADO'!B52</f>
        <v>COT 01.006</v>
      </c>
      <c r="C96" s="221" t="str">
        <f>'6 - COTAÇÃO MERCADO'!C52</f>
        <v>PATCH PANEL 24 PORTAS CAT.6A - FORNECIMENTO E INSTALAÇÃO</v>
      </c>
      <c r="D96" s="159" t="s">
        <v>3280</v>
      </c>
      <c r="E96" s="159" t="s">
        <v>144</v>
      </c>
      <c r="F96" s="174">
        <v>1</v>
      </c>
      <c r="G96" s="160">
        <v>1085.8</v>
      </c>
      <c r="H96" s="160">
        <f>ROUND(ROUND(F96,8)*G96,2)</f>
        <v>1085.8</v>
      </c>
    </row>
    <row r="97" spans="1:10">
      <c r="B97" s="222"/>
      <c r="C97" s="222"/>
      <c r="D97" s="222"/>
      <c r="E97" s="222"/>
      <c r="F97" s="630" t="s">
        <v>604</v>
      </c>
      <c r="G97" s="630"/>
      <c r="H97" s="102">
        <f>H96</f>
        <v>1085.8</v>
      </c>
    </row>
    <row r="98" spans="1:10">
      <c r="B98" s="628" t="s">
        <v>607</v>
      </c>
      <c r="C98" s="628"/>
      <c r="D98" s="103" t="s">
        <v>579</v>
      </c>
      <c r="E98" s="103" t="s">
        <v>580</v>
      </c>
      <c r="F98" s="103" t="s">
        <v>581</v>
      </c>
      <c r="G98" s="103" t="s">
        <v>582</v>
      </c>
      <c r="H98" s="103" t="s">
        <v>583</v>
      </c>
    </row>
    <row r="99" spans="1:10">
      <c r="B99" s="130" t="s">
        <v>1256</v>
      </c>
      <c r="C99" s="229" t="s">
        <v>608</v>
      </c>
      <c r="D99" s="130" t="s">
        <v>119</v>
      </c>
      <c r="E99" s="130" t="s">
        <v>121</v>
      </c>
      <c r="F99" s="230">
        <v>6.2007000000000003</v>
      </c>
      <c r="G99" s="227">
        <v>25</v>
      </c>
      <c r="H99" s="160">
        <f>ROUND(ROUND(F99,8)*G99,2)</f>
        <v>155.02000000000001</v>
      </c>
    </row>
    <row r="100" spans="1:10">
      <c r="B100" s="130" t="s">
        <v>1257</v>
      </c>
      <c r="C100" s="229" t="s">
        <v>609</v>
      </c>
      <c r="D100" s="130" t="s">
        <v>119</v>
      </c>
      <c r="E100" s="130" t="s">
        <v>121</v>
      </c>
      <c r="F100" s="230">
        <v>6.2007000000000003</v>
      </c>
      <c r="G100" s="227">
        <v>31.72</v>
      </c>
      <c r="H100" s="160">
        <f>ROUND(ROUND(F100,8)*G100,2)</f>
        <v>196.69</v>
      </c>
    </row>
    <row r="101" spans="1:10">
      <c r="B101" s="222"/>
      <c r="C101" s="222"/>
      <c r="D101" s="222"/>
      <c r="E101" s="222"/>
      <c r="F101" s="630" t="s">
        <v>610</v>
      </c>
      <c r="G101" s="630"/>
      <c r="H101" s="102">
        <f>SUM(H99:H100)</f>
        <v>351.71000000000004</v>
      </c>
    </row>
    <row r="102" spans="1:10">
      <c r="B102" s="222"/>
      <c r="C102" s="222"/>
      <c r="D102" s="222"/>
      <c r="E102" s="222"/>
      <c r="F102" s="630" t="s">
        <v>464</v>
      </c>
      <c r="G102" s="630"/>
      <c r="H102" s="102">
        <f>H101+H97</f>
        <v>1437.51</v>
      </c>
    </row>
    <row r="103" spans="1:10">
      <c r="B103" s="222"/>
      <c r="C103" s="222"/>
      <c r="D103" s="222"/>
      <c r="E103" s="222"/>
      <c r="F103" s="111"/>
      <c r="G103" s="111"/>
      <c r="H103" s="228"/>
    </row>
    <row r="104" spans="1:10">
      <c r="B104" s="245" t="s">
        <v>2638</v>
      </c>
    </row>
    <row r="105" spans="1:10">
      <c r="B105" s="222"/>
      <c r="C105" s="222"/>
      <c r="D105" s="222"/>
      <c r="E105" s="222"/>
      <c r="F105" s="111"/>
      <c r="G105" s="111"/>
      <c r="H105" s="228"/>
    </row>
    <row r="106" spans="1:10" ht="27" customHeight="1">
      <c r="A106" s="246" t="str">
        <f>'3 - PLAN. ORÇAMENTÁRIA'!A107</f>
        <v>3.4.1.1.2</v>
      </c>
      <c r="B106" s="178" t="str">
        <f>'3 - PLAN. ORÇAMENTÁRIA'!B107</f>
        <v>CCU 184</v>
      </c>
      <c r="C106" s="631" t="str">
        <f>'3 - PLAN. ORÇAMENTÁRIA'!C107</f>
        <v>ESTACA BROCA DE CONCRETO, DIÂMETRO DE 20CM, ESCAVAÇÃO MANUAL COM TRADO CONCHA, SEM ARMAÇÃO. AF_05/2020 REF. 101173/SINAPI</v>
      </c>
      <c r="D106" s="632"/>
      <c r="E106" s="632"/>
      <c r="F106" s="632"/>
      <c r="G106" s="633"/>
      <c r="H106" s="131" t="str">
        <f>'3 - PLAN. ORÇAMENTÁRIA'!E107</f>
        <v>M</v>
      </c>
      <c r="J106" s="220" t="str">
        <f>B116</f>
        <v>Obs: Foi retirado apenas as armaduras do item, por já estar contemplado separadamente</v>
      </c>
    </row>
    <row r="107" spans="1:10">
      <c r="B107" s="628" t="s">
        <v>607</v>
      </c>
      <c r="C107" s="628"/>
      <c r="D107" s="103" t="s">
        <v>579</v>
      </c>
      <c r="E107" s="103" t="s">
        <v>580</v>
      </c>
      <c r="F107" s="103" t="s">
        <v>581</v>
      </c>
      <c r="G107" s="103" t="s">
        <v>582</v>
      </c>
      <c r="H107" s="103" t="s">
        <v>583</v>
      </c>
    </row>
    <row r="108" spans="1:10">
      <c r="B108" s="130" t="s">
        <v>639</v>
      </c>
      <c r="C108" s="229" t="s">
        <v>640</v>
      </c>
      <c r="D108" s="130" t="s">
        <v>119</v>
      </c>
      <c r="E108" s="130" t="s">
        <v>121</v>
      </c>
      <c r="F108" s="230">
        <v>0.48599999999999999</v>
      </c>
      <c r="G108" s="227">
        <v>31.34</v>
      </c>
      <c r="H108" s="160">
        <f>ROUND(ROUND(F108,8)*G108,2)</f>
        <v>15.23</v>
      </c>
    </row>
    <row r="109" spans="1:10">
      <c r="B109" s="130" t="s">
        <v>625</v>
      </c>
      <c r="C109" s="229" t="s">
        <v>626</v>
      </c>
      <c r="D109" s="130" t="s">
        <v>119</v>
      </c>
      <c r="E109" s="130" t="s">
        <v>121</v>
      </c>
      <c r="F109" s="230">
        <v>0.66500000000000004</v>
      </c>
      <c r="G109" s="227">
        <v>23.75</v>
      </c>
      <c r="H109" s="160">
        <f>ROUND(ROUND(F109,8)*G109,2)</f>
        <v>15.79</v>
      </c>
    </row>
    <row r="110" spans="1:10">
      <c r="B110" s="222"/>
      <c r="C110" s="222"/>
      <c r="D110" s="222"/>
      <c r="E110" s="222"/>
      <c r="F110" s="630" t="s">
        <v>610</v>
      </c>
      <c r="G110" s="630"/>
      <c r="H110" s="102">
        <f>H108+H109</f>
        <v>31.02</v>
      </c>
    </row>
    <row r="111" spans="1:10">
      <c r="B111" s="628" t="s">
        <v>586</v>
      </c>
      <c r="C111" s="628"/>
      <c r="D111" s="103" t="s">
        <v>579</v>
      </c>
      <c r="E111" s="103" t="s">
        <v>580</v>
      </c>
      <c r="F111" s="103" t="s">
        <v>581</v>
      </c>
      <c r="G111" s="103" t="s">
        <v>582</v>
      </c>
      <c r="H111" s="103" t="s">
        <v>583</v>
      </c>
    </row>
    <row r="112" spans="1:10" ht="25.5">
      <c r="B112" s="159" t="s">
        <v>1451</v>
      </c>
      <c r="C112" s="221" t="s">
        <v>1452</v>
      </c>
      <c r="D112" s="159" t="s">
        <v>119</v>
      </c>
      <c r="E112" s="159" t="s">
        <v>167</v>
      </c>
      <c r="F112" s="174">
        <v>4.2999999999999997E-2</v>
      </c>
      <c r="G112" s="160">
        <v>491.53</v>
      </c>
      <c r="H112" s="160">
        <f>ROUND(ROUND(F112,8)*G112,2)</f>
        <v>21.14</v>
      </c>
    </row>
    <row r="113" spans="1:10">
      <c r="B113" s="222"/>
      <c r="C113" s="222"/>
      <c r="D113" s="222"/>
      <c r="E113" s="222"/>
      <c r="F113" s="630" t="s">
        <v>587</v>
      </c>
      <c r="G113" s="630"/>
      <c r="H113" s="102">
        <f>H112</f>
        <v>21.14</v>
      </c>
    </row>
    <row r="114" spans="1:10">
      <c r="B114" s="222"/>
      <c r="C114" s="222"/>
      <c r="D114" s="222"/>
      <c r="E114" s="222"/>
      <c r="F114" s="630" t="s">
        <v>464</v>
      </c>
      <c r="G114" s="630"/>
      <c r="H114" s="102">
        <f>H113+H110</f>
        <v>52.16</v>
      </c>
    </row>
    <row r="115" spans="1:10">
      <c r="B115" s="222"/>
      <c r="C115" s="222"/>
      <c r="D115" s="222"/>
      <c r="E115" s="222"/>
      <c r="F115" s="111"/>
      <c r="G115" s="111"/>
      <c r="H115" s="228"/>
    </row>
    <row r="116" spans="1:10">
      <c r="B116" s="245" t="s">
        <v>2637</v>
      </c>
    </row>
    <row r="117" spans="1:10">
      <c r="B117" s="222"/>
      <c r="C117" s="222"/>
      <c r="D117" s="222"/>
      <c r="E117" s="222"/>
      <c r="F117" s="111"/>
      <c r="G117" s="111"/>
      <c r="H117" s="228"/>
    </row>
    <row r="118" spans="1:10" ht="27" customHeight="1">
      <c r="A118" s="246" t="str">
        <f>'3 - PLAN. ORÇAMENTÁRIA'!A378</f>
        <v>4.4.3.2</v>
      </c>
      <c r="B118" s="178" t="str">
        <f>'3 - PLAN. ORÇAMENTÁRIA'!B378</f>
        <v>CCU 191</v>
      </c>
      <c r="C118" s="631" t="str">
        <f>'3 - PLAN. ORÇAMENTÁRIA'!C378</f>
        <v>GUARDA-CORPO PANORÂMICO CHUMBADO COM PERFIS DE AÇO INOX E VIDRO LAMINADO 8 MM (CLASSE SEGURANÇA 1), ALTURA 1,10 M, FIXADORES EM AÇO INOX REF. 99841/SINAPI</v>
      </c>
      <c r="D118" s="632"/>
      <c r="E118" s="632"/>
      <c r="F118" s="632"/>
      <c r="G118" s="633"/>
      <c r="H118" s="131" t="str">
        <f>'3 - PLAN. ORÇAMENTÁRIA'!E378</f>
        <v>M</v>
      </c>
      <c r="J118" s="220" t="str">
        <f>B140</f>
        <v>Obs: Foi adotado o item 99841 do SINAPI como base e por questão de similaridade com o que se pede em projeto, foram substituídos os materias de para materiais das fontes ORSE e SBC, além do adicionamento do chumbador e adesivo estrutural.</v>
      </c>
    </row>
    <row r="119" spans="1:10" ht="12.75" customHeight="1">
      <c r="B119" s="628" t="s">
        <v>4183</v>
      </c>
      <c r="C119" s="628"/>
      <c r="D119" s="103" t="s">
        <v>579</v>
      </c>
      <c r="E119" s="103" t="s">
        <v>580</v>
      </c>
      <c r="F119" s="103" t="s">
        <v>581</v>
      </c>
      <c r="G119" s="103" t="s">
        <v>582</v>
      </c>
      <c r="H119" s="103" t="s">
        <v>583</v>
      </c>
    </row>
    <row r="120" spans="1:10" ht="25.5">
      <c r="B120" s="403" t="s">
        <v>4184</v>
      </c>
      <c r="C120" s="153" t="s">
        <v>4185</v>
      </c>
      <c r="D120" s="152" t="s">
        <v>119</v>
      </c>
      <c r="E120" s="152" t="s">
        <v>144</v>
      </c>
      <c r="F120" s="154">
        <v>0.83299999999999996</v>
      </c>
      <c r="G120" s="155">
        <v>98.25</v>
      </c>
      <c r="H120" s="160">
        <f t="shared" ref="H120" si="1">ROUND(ROUND(F120,8)*G120,2)</f>
        <v>81.84</v>
      </c>
    </row>
    <row r="121" spans="1:10" ht="12.75" customHeight="1">
      <c r="B121" s="222"/>
      <c r="C121" s="222"/>
      <c r="D121" s="222"/>
      <c r="E121" s="222"/>
      <c r="F121" s="630" t="s">
        <v>4186</v>
      </c>
      <c r="G121" s="630"/>
      <c r="H121" s="102">
        <f>H120</f>
        <v>81.84</v>
      </c>
    </row>
    <row r="122" spans="1:10" ht="12.75" customHeight="1">
      <c r="B122" s="628" t="s">
        <v>593</v>
      </c>
      <c r="C122" s="628"/>
      <c r="D122" s="103" t="s">
        <v>579</v>
      </c>
      <c r="E122" s="103" t="s">
        <v>580</v>
      </c>
      <c r="F122" s="103" t="s">
        <v>581</v>
      </c>
      <c r="G122" s="103" t="s">
        <v>582</v>
      </c>
      <c r="H122" s="103" t="s">
        <v>583</v>
      </c>
    </row>
    <row r="123" spans="1:10">
      <c r="B123" s="403" t="s">
        <v>4187</v>
      </c>
      <c r="C123" s="153" t="s">
        <v>4188</v>
      </c>
      <c r="D123" s="152" t="s">
        <v>119</v>
      </c>
      <c r="E123" s="152" t="s">
        <v>200</v>
      </c>
      <c r="F123" s="154">
        <v>1.4999999999999999E-2</v>
      </c>
      <c r="G123" s="155">
        <v>55.21</v>
      </c>
      <c r="H123" s="160">
        <f t="shared" ref="H123:H132" si="2">ROUND(ROUND(F123,8)*G123,2)</f>
        <v>0.83</v>
      </c>
    </row>
    <row r="124" spans="1:10">
      <c r="B124" s="152" t="s">
        <v>1547</v>
      </c>
      <c r="C124" s="153" t="s">
        <v>1548</v>
      </c>
      <c r="D124" s="152" t="s">
        <v>119</v>
      </c>
      <c r="E124" s="152" t="s">
        <v>200</v>
      </c>
      <c r="F124" s="154">
        <v>1.4</v>
      </c>
      <c r="G124" s="155">
        <v>8.09</v>
      </c>
      <c r="H124" s="160">
        <f t="shared" si="2"/>
        <v>11.33</v>
      </c>
      <c r="J124" s="220" t="str">
        <f>B142</f>
        <v>Foi adotado o material de perfil em U da fonte SBC, que foi solicitado e aprovado pela Defensoria Pública, com base no Acórdão 2595/2021-Plenário, onde em último caso na falta de item por fontes pesquisadas pode-se utilizar a fonte SBC, para atender aos perfis de fixação para os vidros</v>
      </c>
    </row>
    <row r="125" spans="1:10">
      <c r="B125" s="152" t="s">
        <v>1549</v>
      </c>
      <c r="C125" s="153" t="s">
        <v>1550</v>
      </c>
      <c r="D125" s="152" t="s">
        <v>119</v>
      </c>
      <c r="E125" s="152" t="s">
        <v>200</v>
      </c>
      <c r="F125" s="154">
        <v>3.0000000000000001E-3</v>
      </c>
      <c r="G125" s="155">
        <v>42.25</v>
      </c>
      <c r="H125" s="160">
        <f t="shared" si="2"/>
        <v>0.13</v>
      </c>
    </row>
    <row r="126" spans="1:10" ht="25.5">
      <c r="B126" s="152" t="s">
        <v>1551</v>
      </c>
      <c r="C126" s="153" t="s">
        <v>1552</v>
      </c>
      <c r="D126" s="152" t="s">
        <v>119</v>
      </c>
      <c r="E126" s="152" t="s">
        <v>144</v>
      </c>
      <c r="F126" s="154">
        <v>5</v>
      </c>
      <c r="G126" s="155">
        <v>0.52</v>
      </c>
      <c r="H126" s="160">
        <f t="shared" si="2"/>
        <v>2.6</v>
      </c>
    </row>
    <row r="127" spans="1:10">
      <c r="B127" s="152" t="s">
        <v>1553</v>
      </c>
      <c r="C127" s="153" t="s">
        <v>1554</v>
      </c>
      <c r="D127" s="152" t="s">
        <v>119</v>
      </c>
      <c r="E127" s="152" t="s">
        <v>144</v>
      </c>
      <c r="F127" s="154">
        <v>3.3330000000000002</v>
      </c>
      <c r="G127" s="155">
        <v>2.76</v>
      </c>
      <c r="H127" s="160">
        <f t="shared" si="2"/>
        <v>9.1999999999999993</v>
      </c>
    </row>
    <row r="128" spans="1:10">
      <c r="B128" s="152" t="s">
        <v>2301</v>
      </c>
      <c r="C128" s="153" t="s">
        <v>2407</v>
      </c>
      <c r="D128" s="152" t="s">
        <v>158</v>
      </c>
      <c r="E128" s="152" t="s">
        <v>173</v>
      </c>
      <c r="F128" s="154">
        <v>3</v>
      </c>
      <c r="G128" s="155">
        <v>78.83</v>
      </c>
      <c r="H128" s="160">
        <f t="shared" si="2"/>
        <v>236.49</v>
      </c>
    </row>
    <row r="129" spans="1:10">
      <c r="B129" s="152" t="s">
        <v>1556</v>
      </c>
      <c r="C129" s="153" t="s">
        <v>1557</v>
      </c>
      <c r="D129" s="152" t="s">
        <v>119</v>
      </c>
      <c r="E129" s="152" t="s">
        <v>173</v>
      </c>
      <c r="F129" s="154">
        <v>3.149</v>
      </c>
      <c r="G129" s="155">
        <v>13.3</v>
      </c>
      <c r="H129" s="160">
        <f t="shared" si="2"/>
        <v>41.88</v>
      </c>
    </row>
    <row r="130" spans="1:10">
      <c r="B130" s="152" t="s">
        <v>1558</v>
      </c>
      <c r="C130" s="153" t="s">
        <v>1559</v>
      </c>
      <c r="D130" s="152" t="s">
        <v>119</v>
      </c>
      <c r="E130" s="152" t="s">
        <v>144</v>
      </c>
      <c r="F130" s="154">
        <v>0.85499999999999998</v>
      </c>
      <c r="G130" s="155">
        <v>23.61</v>
      </c>
      <c r="H130" s="160">
        <f t="shared" si="2"/>
        <v>20.190000000000001</v>
      </c>
    </row>
    <row r="131" spans="1:10">
      <c r="B131" s="152" t="s">
        <v>1560</v>
      </c>
      <c r="C131" s="153" t="s">
        <v>1561</v>
      </c>
      <c r="D131" s="152" t="s">
        <v>119</v>
      </c>
      <c r="E131" s="152" t="s">
        <v>139</v>
      </c>
      <c r="F131" s="154">
        <v>0.998</v>
      </c>
      <c r="G131" s="155">
        <v>706.15</v>
      </c>
      <c r="H131" s="160">
        <f t="shared" si="2"/>
        <v>704.74</v>
      </c>
    </row>
    <row r="132" spans="1:10">
      <c r="B132" s="403" t="s">
        <v>3664</v>
      </c>
      <c r="C132" s="153" t="s">
        <v>3668</v>
      </c>
      <c r="D132" s="152" t="s">
        <v>3662</v>
      </c>
      <c r="E132" s="152" t="s">
        <v>173</v>
      </c>
      <c r="F132" s="154">
        <v>1.58</v>
      </c>
      <c r="G132" s="155">
        <v>22.87</v>
      </c>
      <c r="H132" s="160">
        <f t="shared" si="2"/>
        <v>36.130000000000003</v>
      </c>
    </row>
    <row r="133" spans="1:10" ht="12.75" customHeight="1">
      <c r="B133" s="222"/>
      <c r="C133" s="222"/>
      <c r="D133" s="222"/>
      <c r="E133" s="222"/>
      <c r="F133" s="630" t="s">
        <v>604</v>
      </c>
      <c r="G133" s="630"/>
      <c r="H133" s="102">
        <f>SUM(H123:H132)</f>
        <v>1063.52</v>
      </c>
    </row>
    <row r="134" spans="1:10">
      <c r="B134" s="628" t="s">
        <v>607</v>
      </c>
      <c r="C134" s="628"/>
      <c r="D134" s="103" t="s">
        <v>579</v>
      </c>
      <c r="E134" s="103" t="s">
        <v>580</v>
      </c>
      <c r="F134" s="103" t="s">
        <v>581</v>
      </c>
      <c r="G134" s="103" t="s">
        <v>582</v>
      </c>
      <c r="H134" s="103" t="s">
        <v>583</v>
      </c>
    </row>
    <row r="135" spans="1:10">
      <c r="B135" s="130" t="s">
        <v>1562</v>
      </c>
      <c r="C135" s="229" t="s">
        <v>667</v>
      </c>
      <c r="D135" s="130" t="s">
        <v>119</v>
      </c>
      <c r="E135" s="130" t="s">
        <v>121</v>
      </c>
      <c r="F135" s="230">
        <v>2.754</v>
      </c>
      <c r="G135" s="227">
        <v>24.57</v>
      </c>
      <c r="H135" s="160">
        <f>ROUND(ROUND(F135,8)*G135,2)</f>
        <v>67.67</v>
      </c>
    </row>
    <row r="136" spans="1:10">
      <c r="B136" s="130" t="s">
        <v>1563</v>
      </c>
      <c r="C136" s="229" t="s">
        <v>668</v>
      </c>
      <c r="D136" s="130" t="s">
        <v>119</v>
      </c>
      <c r="E136" s="130" t="s">
        <v>121</v>
      </c>
      <c r="F136" s="230">
        <v>3.3530000000000002</v>
      </c>
      <c r="G136" s="227">
        <v>31.13</v>
      </c>
      <c r="H136" s="160">
        <f>ROUND(ROUND(F136,8)*G136,2)</f>
        <v>104.38</v>
      </c>
    </row>
    <row r="137" spans="1:10">
      <c r="B137" s="222"/>
      <c r="C137" s="222"/>
      <c r="D137" s="222"/>
      <c r="E137" s="222"/>
      <c r="F137" s="630" t="s">
        <v>610</v>
      </c>
      <c r="G137" s="630"/>
      <c r="H137" s="102">
        <f>SUM(H135:H136)</f>
        <v>172.05</v>
      </c>
    </row>
    <row r="138" spans="1:10">
      <c r="B138" s="222"/>
      <c r="C138" s="222"/>
      <c r="D138" s="222"/>
      <c r="E138" s="222"/>
      <c r="F138" s="630" t="s">
        <v>464</v>
      </c>
      <c r="G138" s="630"/>
      <c r="H138" s="102">
        <f>H121+H133+H137</f>
        <v>1317.4099999999999</v>
      </c>
    </row>
    <row r="139" spans="1:10">
      <c r="B139" s="222"/>
      <c r="C139" s="222"/>
      <c r="D139" s="222"/>
      <c r="E139" s="222"/>
      <c r="F139" s="111"/>
      <c r="G139" s="111"/>
      <c r="H139" s="228"/>
    </row>
    <row r="140" spans="1:10">
      <c r="B140" s="245" t="s">
        <v>4189</v>
      </c>
    </row>
    <row r="141" spans="1:10">
      <c r="C141" s="222"/>
      <c r="D141" s="222"/>
      <c r="E141" s="222"/>
      <c r="F141" s="398"/>
      <c r="G141" s="398"/>
      <c r="H141" s="401"/>
    </row>
    <row r="142" spans="1:10">
      <c r="B142" s="660" t="s">
        <v>3619</v>
      </c>
      <c r="C142" s="660"/>
      <c r="D142" s="660"/>
      <c r="E142" s="660"/>
      <c r="F142" s="660"/>
      <c r="G142" s="660"/>
      <c r="H142" s="660"/>
    </row>
    <row r="143" spans="1:10">
      <c r="B143" s="222"/>
      <c r="C143" s="222"/>
      <c r="D143" s="222"/>
      <c r="E143" s="222"/>
      <c r="F143" s="111"/>
      <c r="G143" s="111"/>
      <c r="H143" s="228"/>
    </row>
    <row r="144" spans="1:10" ht="27" customHeight="1">
      <c r="A144" s="246" t="str">
        <f>'3 - PLAN. ORÇAMENTÁRIA'!A61</f>
        <v>3.1.1.2</v>
      </c>
      <c r="B144" s="178" t="str">
        <f>'3 - PLAN. ORÇAMENTÁRIA'!B61</f>
        <v>CCU 045</v>
      </c>
      <c r="C144" s="631" t="str">
        <f>'3 - PLAN. ORÇAMENTÁRIA'!C61</f>
        <v>ESTACA BROCA DE CONCRETO, DIÂMETRO DE 30CM, ESCAVAÇÃO MANUAL COM TRADO CONCHA, SEM ARMADURA. AF_05/2020 REF. 101175/SINAPI</v>
      </c>
      <c r="D144" s="632"/>
      <c r="E144" s="632"/>
      <c r="F144" s="632"/>
      <c r="G144" s="633"/>
      <c r="H144" s="131" t="str">
        <f>'3 - PLAN. ORÇAMENTÁRIA'!E61</f>
        <v>M</v>
      </c>
      <c r="J144" s="220" t="str">
        <f>B154</f>
        <v>Obs: Foi retirado apenas as armaduras do item, por já estar contemplado separadamente</v>
      </c>
    </row>
    <row r="145" spans="1:10">
      <c r="B145" s="628" t="s">
        <v>607</v>
      </c>
      <c r="C145" s="628"/>
      <c r="D145" s="103" t="s">
        <v>579</v>
      </c>
      <c r="E145" s="103" t="s">
        <v>580</v>
      </c>
      <c r="F145" s="103" t="s">
        <v>581</v>
      </c>
      <c r="G145" s="103" t="s">
        <v>582</v>
      </c>
      <c r="H145" s="103" t="s">
        <v>583</v>
      </c>
    </row>
    <row r="146" spans="1:10">
      <c r="B146" s="130" t="s">
        <v>639</v>
      </c>
      <c r="C146" s="229" t="s">
        <v>640</v>
      </c>
      <c r="D146" s="130" t="s">
        <v>119</v>
      </c>
      <c r="E146" s="130" t="s">
        <v>121</v>
      </c>
      <c r="F146" s="230">
        <v>1.103</v>
      </c>
      <c r="G146" s="227">
        <v>31.34</v>
      </c>
      <c r="H146" s="160">
        <f>ROUND(ROUND(F146,8)*G146,2)</f>
        <v>34.57</v>
      </c>
    </row>
    <row r="147" spans="1:10">
      <c r="B147" s="130" t="s">
        <v>625</v>
      </c>
      <c r="C147" s="229" t="s">
        <v>626</v>
      </c>
      <c r="D147" s="130" t="s">
        <v>119</v>
      </c>
      <c r="E147" s="130" t="s">
        <v>121</v>
      </c>
      <c r="F147" s="230">
        <v>1.33</v>
      </c>
      <c r="G147" s="227">
        <v>23.75</v>
      </c>
      <c r="H147" s="160">
        <f>ROUND(ROUND(F147,8)*G147,2)</f>
        <v>31.59</v>
      </c>
    </row>
    <row r="148" spans="1:10">
      <c r="B148" s="222"/>
      <c r="C148" s="222"/>
      <c r="D148" s="222"/>
      <c r="E148" s="222"/>
      <c r="F148" s="630" t="s">
        <v>610</v>
      </c>
      <c r="G148" s="630"/>
      <c r="H148" s="102">
        <f>H146+H147</f>
        <v>66.16</v>
      </c>
    </row>
    <row r="149" spans="1:10">
      <c r="B149" s="628" t="s">
        <v>586</v>
      </c>
      <c r="C149" s="628"/>
      <c r="D149" s="103" t="s">
        <v>579</v>
      </c>
      <c r="E149" s="103" t="s">
        <v>580</v>
      </c>
      <c r="F149" s="103" t="s">
        <v>581</v>
      </c>
      <c r="G149" s="103" t="s">
        <v>582</v>
      </c>
      <c r="H149" s="103" t="s">
        <v>583</v>
      </c>
    </row>
    <row r="150" spans="1:10" ht="25.5">
      <c r="B150" s="159" t="s">
        <v>1451</v>
      </c>
      <c r="C150" s="221" t="s">
        <v>1452</v>
      </c>
      <c r="D150" s="159" t="s">
        <v>119</v>
      </c>
      <c r="E150" s="159" t="s">
        <v>167</v>
      </c>
      <c r="F150" s="174">
        <v>8.5999999999999993E-2</v>
      </c>
      <c r="G150" s="160">
        <v>491.53</v>
      </c>
      <c r="H150" s="160">
        <f>ROUND(ROUND(F150,8)*G150,2)</f>
        <v>42.27</v>
      </c>
    </row>
    <row r="151" spans="1:10">
      <c r="B151" s="222"/>
      <c r="C151" s="222"/>
      <c r="D151" s="222"/>
      <c r="E151" s="222"/>
      <c r="F151" s="630" t="s">
        <v>587</v>
      </c>
      <c r="G151" s="630"/>
      <c r="H151" s="102">
        <f>H150</f>
        <v>42.27</v>
      </c>
    </row>
    <row r="152" spans="1:10">
      <c r="B152" s="222"/>
      <c r="C152" s="222"/>
      <c r="D152" s="222"/>
      <c r="E152" s="222"/>
      <c r="F152" s="630" t="s">
        <v>464</v>
      </c>
      <c r="G152" s="630"/>
      <c r="H152" s="102">
        <f>H151+H148</f>
        <v>108.43</v>
      </c>
    </row>
    <row r="153" spans="1:10">
      <c r="B153" s="222"/>
      <c r="C153" s="222"/>
      <c r="D153" s="222"/>
      <c r="E153" s="222"/>
      <c r="F153" s="111"/>
      <c r="G153" s="111"/>
      <c r="H153" s="228"/>
    </row>
    <row r="154" spans="1:10">
      <c r="B154" s="245" t="s">
        <v>2637</v>
      </c>
    </row>
    <row r="155" spans="1:10">
      <c r="B155" s="222"/>
      <c r="C155" s="222"/>
      <c r="D155" s="222"/>
      <c r="E155" s="222"/>
      <c r="F155" s="111"/>
      <c r="G155" s="111"/>
      <c r="H155" s="228"/>
    </row>
    <row r="156" spans="1:10" ht="27" customHeight="1">
      <c r="A156" s="246" t="str">
        <f>'3 - PLAN. ORÇAMENTÁRIA'!A175</f>
        <v>4.1.2.1.2</v>
      </c>
      <c r="B156" s="178" t="str">
        <f>'3 - PLAN. ORÇAMENTÁRIA'!B175</f>
        <v>CCU 046</v>
      </c>
      <c r="C156" s="631" t="str">
        <f>'3 - PLAN. ORÇAMENTÁRIA'!C175</f>
        <v>KIT DE PORTA PRONTA DE MADEIRA RU, ACABAMENTO LAMINADO NATURAL COM VERNIZ, FOLHA PESADA, 70x210, EXCLUSIVE FECHADURA, FIXAÇÃO COM PREENCHIMENTO TOTAL DE ESPUMA EXPANSIVA - FORNECIMENTO E INSTALAÇÃO. REF. 100675/SINAPI</v>
      </c>
      <c r="D156" s="632"/>
      <c r="E156" s="632"/>
      <c r="F156" s="632"/>
      <c r="G156" s="633"/>
      <c r="H156" s="131" t="str">
        <f>'3 - PLAN. ORÇAMENTÁRIA'!E175</f>
        <v>UN</v>
      </c>
      <c r="J156" s="220" t="str">
        <f>B167</f>
        <v>Obs: Foi adotado o item 100675 do SINAPI como base e por questão de similaridade com o que se pede em projeto, foram adicionados os materiais de Maçaneta e Porta, feitos por Cotação Externa</v>
      </c>
    </row>
    <row r="157" spans="1:10" ht="27" customHeight="1">
      <c r="A157" s="163"/>
      <c r="B157" s="658" t="s">
        <v>593</v>
      </c>
      <c r="C157" s="659"/>
      <c r="D157" s="103" t="s">
        <v>579</v>
      </c>
      <c r="E157" s="103" t="s">
        <v>580</v>
      </c>
      <c r="F157" s="103" t="s">
        <v>581</v>
      </c>
      <c r="G157" s="103" t="s">
        <v>582</v>
      </c>
      <c r="H157" s="103" t="s">
        <v>583</v>
      </c>
    </row>
    <row r="158" spans="1:10">
      <c r="A158" s="163"/>
      <c r="B158" s="173" t="s">
        <v>2725</v>
      </c>
      <c r="C158" s="221" t="s">
        <v>2726</v>
      </c>
      <c r="D158" s="130" t="s">
        <v>119</v>
      </c>
      <c r="E158" s="159" t="s">
        <v>144</v>
      </c>
      <c r="F158" s="230">
        <v>1.1619999999999999</v>
      </c>
      <c r="G158" s="227">
        <v>26.91</v>
      </c>
      <c r="H158" s="160">
        <f>ROUND(ROUND(F158,8)*G158,2)</f>
        <v>31.27</v>
      </c>
    </row>
    <row r="159" spans="1:10" ht="38.25">
      <c r="A159" s="163"/>
      <c r="B159" s="173" t="s">
        <v>2792</v>
      </c>
      <c r="C159" s="221" t="s">
        <v>4013</v>
      </c>
      <c r="D159" s="159" t="s">
        <v>119</v>
      </c>
      <c r="E159" s="159" t="s">
        <v>144</v>
      </c>
      <c r="F159" s="174">
        <v>1</v>
      </c>
      <c r="G159" s="160">
        <v>1340.35</v>
      </c>
      <c r="H159" s="160">
        <f>ROUND(ROUND(F159,8)*G159,2)</f>
        <v>1340.35</v>
      </c>
    </row>
    <row r="160" spans="1:10">
      <c r="A160" s="163"/>
      <c r="F160" s="643" t="s">
        <v>604</v>
      </c>
      <c r="G160" s="644"/>
      <c r="H160" s="102">
        <f>SUM(H158:H159)</f>
        <v>1371.62</v>
      </c>
    </row>
    <row r="161" spans="1:10" ht="27" customHeight="1">
      <c r="A161" s="163"/>
      <c r="B161" s="641" t="s">
        <v>607</v>
      </c>
      <c r="C161" s="642"/>
      <c r="D161" s="103" t="s">
        <v>579</v>
      </c>
      <c r="E161" s="103" t="s">
        <v>580</v>
      </c>
      <c r="F161" s="103" t="s">
        <v>581</v>
      </c>
      <c r="G161" s="103" t="s">
        <v>582</v>
      </c>
      <c r="H161" s="103" t="s">
        <v>583</v>
      </c>
    </row>
    <row r="162" spans="1:10">
      <c r="A162" s="163"/>
      <c r="B162" s="130">
        <v>88261</v>
      </c>
      <c r="C162" s="229" t="s">
        <v>1504</v>
      </c>
      <c r="D162" s="130" t="s">
        <v>119</v>
      </c>
      <c r="E162" s="130" t="s">
        <v>121</v>
      </c>
      <c r="F162" s="230">
        <v>0.68700000000000006</v>
      </c>
      <c r="G162" s="227">
        <v>29.67</v>
      </c>
      <c r="H162" s="160">
        <f>ROUND(ROUND(F162,8)*G162,2)</f>
        <v>20.38</v>
      </c>
    </row>
    <row r="163" spans="1:10">
      <c r="A163" s="163"/>
      <c r="B163" s="130" t="s">
        <v>625</v>
      </c>
      <c r="C163" s="229" t="s">
        <v>626</v>
      </c>
      <c r="D163" s="130" t="s">
        <v>119</v>
      </c>
      <c r="E163" s="130" t="s">
        <v>121</v>
      </c>
      <c r="F163" s="230">
        <v>0.33400000000000002</v>
      </c>
      <c r="G163" s="227">
        <v>23.75</v>
      </c>
      <c r="H163" s="160">
        <f>ROUND(ROUND(F163,8)*G163,2)</f>
        <v>7.93</v>
      </c>
    </row>
    <row r="164" spans="1:10">
      <c r="A164" s="163"/>
      <c r="B164" s="222"/>
      <c r="C164" s="222"/>
      <c r="D164" s="222"/>
      <c r="E164" s="222"/>
      <c r="F164" s="643" t="s">
        <v>610</v>
      </c>
      <c r="G164" s="644"/>
      <c r="H164" s="102">
        <f>H162+H163</f>
        <v>28.31</v>
      </c>
    </row>
    <row r="165" spans="1:10">
      <c r="B165" s="222"/>
      <c r="C165" s="222"/>
      <c r="D165" s="222"/>
      <c r="E165" s="222"/>
      <c r="F165" s="630" t="s">
        <v>464</v>
      </c>
      <c r="G165" s="630"/>
      <c r="H165" s="102">
        <f>H160+H164</f>
        <v>1399.9299999999998</v>
      </c>
    </row>
    <row r="166" spans="1:10">
      <c r="B166" s="222"/>
      <c r="C166" s="222"/>
      <c r="D166" s="222"/>
      <c r="E166" s="222"/>
      <c r="F166" s="111"/>
      <c r="G166" s="111"/>
      <c r="H166" s="228"/>
    </row>
    <row r="167" spans="1:10">
      <c r="B167" s="245" t="s">
        <v>2760</v>
      </c>
    </row>
    <row r="168" spans="1:10">
      <c r="B168" s="222"/>
      <c r="C168" s="222"/>
      <c r="D168" s="222"/>
      <c r="E168" s="222"/>
      <c r="F168" s="111"/>
      <c r="G168" s="111"/>
      <c r="H168" s="228"/>
    </row>
    <row r="169" spans="1:10">
      <c r="A169" s="246" t="str">
        <f>'3 - PLAN. ORÇAMENTÁRIA'!A106</f>
        <v>3.4.1.1.1</v>
      </c>
      <c r="B169" s="178" t="str">
        <f>'3 - PLAN. ORÇAMENTÁRIA'!B106</f>
        <v>CCU 015</v>
      </c>
      <c r="C169" s="631" t="str">
        <f>'3 - PLAN. ORÇAMENTÁRIA'!C106</f>
        <v>ESTACA HÉLICE CONTÍNUA, DIÂMETRO DE 30 CM, INCLUSO CONCRETO FCK=30MPA, SEM ARMAÇÃO REF. 100651/SINAPI</v>
      </c>
      <c r="D169" s="632"/>
      <c r="E169" s="632"/>
      <c r="F169" s="632"/>
      <c r="G169" s="633"/>
      <c r="H169" s="131" t="s">
        <v>173</v>
      </c>
      <c r="J169" s="220" t="str">
        <f>B188</f>
        <v>Obs: Foi adotado o item 100897 do SINAPI como base por similaridade ao que pede o projeto e retirado apenas o serviço das armaduras, por já estar contemplado na etapa das Armaduras Totais</v>
      </c>
    </row>
    <row r="170" spans="1:10" ht="12.75" customHeight="1">
      <c r="A170" s="163"/>
      <c r="B170" s="628" t="s">
        <v>1301</v>
      </c>
      <c r="C170" s="628"/>
      <c r="D170" s="103" t="s">
        <v>579</v>
      </c>
      <c r="E170" s="103" t="s">
        <v>580</v>
      </c>
      <c r="F170" s="103" t="s">
        <v>581</v>
      </c>
      <c r="G170" s="103" t="s">
        <v>582</v>
      </c>
      <c r="H170" s="103" t="s">
        <v>583</v>
      </c>
    </row>
    <row r="171" spans="1:10" ht="38.25">
      <c r="B171" s="159">
        <v>90675</v>
      </c>
      <c r="C171" s="229" t="s">
        <v>1366</v>
      </c>
      <c r="D171" s="159" t="s">
        <v>119</v>
      </c>
      <c r="E171" s="159" t="s">
        <v>1304</v>
      </c>
      <c r="F171" s="174">
        <v>5.9400000000000001E-2</v>
      </c>
      <c r="G171" s="160">
        <v>336.65</v>
      </c>
      <c r="H171" s="160">
        <f>ROUND(ROUND(F171,8)*G171,2)</f>
        <v>20</v>
      </c>
    </row>
    <row r="172" spans="1:10" ht="38.25">
      <c r="B172" s="159">
        <v>90674</v>
      </c>
      <c r="C172" s="229" t="s">
        <v>1367</v>
      </c>
      <c r="D172" s="159" t="s">
        <v>119</v>
      </c>
      <c r="E172" s="159" t="s">
        <v>2510</v>
      </c>
      <c r="F172" s="174">
        <v>2.4199999999999999E-2</v>
      </c>
      <c r="G172" s="160">
        <v>761.64</v>
      </c>
      <c r="H172" s="160">
        <f>ROUND(ROUND(F172,8)*G172,2)</f>
        <v>18.43</v>
      </c>
    </row>
    <row r="173" spans="1:10" ht="12.75" customHeight="1">
      <c r="B173" s="222"/>
      <c r="C173" s="222"/>
      <c r="D173" s="222"/>
      <c r="E173" s="222"/>
      <c r="F173" s="630" t="s">
        <v>1308</v>
      </c>
      <c r="G173" s="630"/>
      <c r="H173" s="102">
        <f>H171+H172</f>
        <v>38.43</v>
      </c>
    </row>
    <row r="174" spans="1:10">
      <c r="B174" s="628" t="s">
        <v>593</v>
      </c>
      <c r="C174" s="628"/>
      <c r="D174" s="103" t="s">
        <v>579</v>
      </c>
      <c r="E174" s="103" t="s">
        <v>580</v>
      </c>
      <c r="F174" s="103" t="s">
        <v>581</v>
      </c>
      <c r="G174" s="103" t="s">
        <v>582</v>
      </c>
      <c r="H174" s="103" t="s">
        <v>583</v>
      </c>
    </row>
    <row r="175" spans="1:10" ht="25.5">
      <c r="B175" s="173" t="s">
        <v>2563</v>
      </c>
      <c r="C175" s="229" t="s">
        <v>1368</v>
      </c>
      <c r="D175" s="130" t="s">
        <v>119</v>
      </c>
      <c r="E175" s="130" t="s">
        <v>167</v>
      </c>
      <c r="F175" s="230">
        <v>0.1133</v>
      </c>
      <c r="G175" s="394">
        <v>583.16</v>
      </c>
      <c r="H175" s="160">
        <f>ROUND(ROUND(F175,8)*G175,2)</f>
        <v>66.069999999999993</v>
      </c>
    </row>
    <row r="176" spans="1:10">
      <c r="B176" s="222"/>
      <c r="C176" s="222"/>
      <c r="D176" s="222"/>
      <c r="E176" s="222"/>
      <c r="F176" s="630" t="s">
        <v>604</v>
      </c>
      <c r="G176" s="630"/>
      <c r="H176" s="102">
        <f>H175</f>
        <v>66.069999999999993</v>
      </c>
    </row>
    <row r="177" spans="2:8" ht="12.75" customHeight="1">
      <c r="B177" s="628" t="s">
        <v>607</v>
      </c>
      <c r="C177" s="628"/>
      <c r="D177" s="103" t="s">
        <v>579</v>
      </c>
      <c r="E177" s="103" t="s">
        <v>580</v>
      </c>
      <c r="F177" s="103" t="s">
        <v>581</v>
      </c>
      <c r="G177" s="103" t="s">
        <v>582</v>
      </c>
      <c r="H177" s="103" t="s">
        <v>583</v>
      </c>
    </row>
    <row r="178" spans="2:8">
      <c r="B178" s="159">
        <v>90776</v>
      </c>
      <c r="C178" s="221" t="s">
        <v>1369</v>
      </c>
      <c r="D178" s="159" t="s">
        <v>119</v>
      </c>
      <c r="E178" s="159" t="s">
        <v>121</v>
      </c>
      <c r="F178" s="174">
        <v>8.3599999999999994E-2</v>
      </c>
      <c r="G178" s="160">
        <v>25.16</v>
      </c>
      <c r="H178" s="160">
        <f>ROUND(ROUND(F178,8)*G178,2)</f>
        <v>2.1</v>
      </c>
    </row>
    <row r="179" spans="2:8">
      <c r="B179" s="159">
        <v>90778</v>
      </c>
      <c r="C179" s="221" t="s">
        <v>1370</v>
      </c>
      <c r="D179" s="159" t="s">
        <v>119</v>
      </c>
      <c r="E179" s="159" t="s">
        <v>121</v>
      </c>
      <c r="F179" s="174">
        <v>1.5699999999999999E-2</v>
      </c>
      <c r="G179" s="160">
        <v>150.27000000000001</v>
      </c>
      <c r="H179" s="160">
        <f>ROUND(ROUND(F179,8)*G179,2)</f>
        <v>2.36</v>
      </c>
    </row>
    <row r="180" spans="2:8">
      <c r="B180" s="159">
        <v>88316</v>
      </c>
      <c r="C180" s="221" t="s">
        <v>626</v>
      </c>
      <c r="D180" s="159" t="s">
        <v>119</v>
      </c>
      <c r="E180" s="159" t="s">
        <v>121</v>
      </c>
      <c r="F180" s="174">
        <v>0.25090000000000001</v>
      </c>
      <c r="G180" s="160">
        <v>23.75</v>
      </c>
      <c r="H180" s="160">
        <f>ROUND(ROUND(F180,8)*G180,2)</f>
        <v>5.96</v>
      </c>
    </row>
    <row r="181" spans="2:8" ht="12.75" customHeight="1">
      <c r="B181" s="222"/>
      <c r="C181" s="222"/>
      <c r="D181" s="222"/>
      <c r="E181" s="222"/>
      <c r="F181" s="630" t="s">
        <v>610</v>
      </c>
      <c r="G181" s="630"/>
      <c r="H181" s="102">
        <f>SUM(H178:H180)</f>
        <v>10.42</v>
      </c>
    </row>
    <row r="182" spans="2:8" ht="12.75" customHeight="1">
      <c r="B182" s="628" t="s">
        <v>586</v>
      </c>
      <c r="C182" s="628"/>
      <c r="D182" s="103" t="s">
        <v>579</v>
      </c>
      <c r="E182" s="103" t="s">
        <v>580</v>
      </c>
      <c r="F182" s="103" t="s">
        <v>581</v>
      </c>
      <c r="G182" s="103" t="s">
        <v>582</v>
      </c>
      <c r="H182" s="103" t="s">
        <v>583</v>
      </c>
    </row>
    <row r="183" spans="2:8" ht="12.75" customHeight="1">
      <c r="B183" s="130">
        <v>100973</v>
      </c>
      <c r="C183" s="229" t="s">
        <v>1371</v>
      </c>
      <c r="D183" s="130" t="s">
        <v>119</v>
      </c>
      <c r="E183" s="130" t="s">
        <v>167</v>
      </c>
      <c r="F183" s="230">
        <v>9.6600000000000005E-2</v>
      </c>
      <c r="G183" s="394">
        <v>8.84</v>
      </c>
      <c r="H183" s="160">
        <f>ROUND(ROUND(F183,8)*G183,2)</f>
        <v>0.85</v>
      </c>
    </row>
    <row r="184" spans="2:8" ht="12.75" customHeight="1">
      <c r="B184" s="130">
        <v>97913</v>
      </c>
      <c r="C184" s="229" t="s">
        <v>1372</v>
      </c>
      <c r="D184" s="130" t="s">
        <v>119</v>
      </c>
      <c r="E184" s="130" t="s">
        <v>185</v>
      </c>
      <c r="F184" s="230">
        <v>2.9000000000000001E-2</v>
      </c>
      <c r="G184" s="394">
        <v>3.3</v>
      </c>
      <c r="H184" s="160">
        <f>ROUND(ROUND(F184,8)*G184,2)</f>
        <v>0.1</v>
      </c>
    </row>
    <row r="185" spans="2:8" ht="12.75" customHeight="1">
      <c r="B185" s="222"/>
      <c r="C185" s="222"/>
      <c r="D185" s="222"/>
      <c r="E185" s="222"/>
      <c r="F185" s="630" t="s">
        <v>587</v>
      </c>
      <c r="G185" s="630"/>
      <c r="H185" s="102">
        <f>H183+H184</f>
        <v>0.95</v>
      </c>
    </row>
    <row r="186" spans="2:8" ht="12.75" customHeight="1">
      <c r="B186" s="222"/>
      <c r="C186" s="222"/>
      <c r="D186" s="222"/>
      <c r="E186" s="222"/>
      <c r="F186" s="630" t="s">
        <v>464</v>
      </c>
      <c r="G186" s="630"/>
      <c r="H186" s="102">
        <f>H173+H176+H181+H185</f>
        <v>115.87</v>
      </c>
    </row>
    <row r="187" spans="2:8">
      <c r="B187" s="222"/>
      <c r="C187" s="222"/>
      <c r="D187" s="222"/>
      <c r="E187" s="222"/>
      <c r="F187" s="111"/>
      <c r="G187" s="111"/>
      <c r="H187" s="228"/>
    </row>
    <row r="188" spans="2:8">
      <c r="B188" s="245" t="s">
        <v>2545</v>
      </c>
    </row>
    <row r="189" spans="2:8">
      <c r="B189" s="245" t="s">
        <v>2887</v>
      </c>
      <c r="C189" s="222"/>
      <c r="D189" s="222"/>
      <c r="E189" s="222"/>
      <c r="F189" s="300"/>
      <c r="G189" s="300"/>
      <c r="H189" s="302"/>
    </row>
    <row r="190" spans="2:8">
      <c r="B190" s="245" t="s">
        <v>2888</v>
      </c>
      <c r="C190" s="222"/>
      <c r="D190" s="222"/>
      <c r="E190" s="222"/>
      <c r="F190" s="300"/>
      <c r="G190" s="300"/>
      <c r="H190" s="302"/>
    </row>
    <row r="191" spans="2:8">
      <c r="C191" s="222"/>
      <c r="D191" s="222"/>
      <c r="E191" s="222"/>
      <c r="F191" s="300"/>
      <c r="G191" s="300"/>
      <c r="H191" s="302"/>
    </row>
    <row r="192" spans="2:8" ht="15">
      <c r="B192" s="304"/>
      <c r="C192" s="222"/>
      <c r="D192" s="222"/>
      <c r="E192" s="222"/>
      <c r="F192" s="300"/>
      <c r="G192" s="300"/>
      <c r="H192" s="302"/>
    </row>
    <row r="193" spans="2:8">
      <c r="B193" s="222"/>
      <c r="C193" s="222"/>
      <c r="D193" s="222"/>
      <c r="E193" s="222"/>
      <c r="F193" s="300"/>
      <c r="G193" s="300"/>
      <c r="H193" s="302"/>
    </row>
    <row r="194" spans="2:8">
      <c r="B194" s="222"/>
      <c r="C194" s="222"/>
      <c r="D194" s="222"/>
      <c r="E194" s="222"/>
      <c r="F194" s="300"/>
      <c r="G194" s="300"/>
      <c r="H194" s="302"/>
    </row>
    <row r="195" spans="2:8">
      <c r="B195" s="222"/>
      <c r="C195" s="222"/>
      <c r="D195" s="222"/>
      <c r="E195" s="222"/>
      <c r="F195" s="300"/>
      <c r="G195" s="300"/>
      <c r="H195" s="302"/>
    </row>
    <row r="196" spans="2:8">
      <c r="B196" s="222"/>
      <c r="C196" s="222"/>
      <c r="D196" s="222"/>
      <c r="E196" s="222"/>
      <c r="F196" s="300"/>
      <c r="G196" s="300"/>
      <c r="H196" s="302"/>
    </row>
    <row r="197" spans="2:8">
      <c r="B197" s="222"/>
      <c r="C197" s="222"/>
      <c r="D197" s="222"/>
      <c r="E197" s="222"/>
      <c r="F197" s="300"/>
      <c r="G197" s="300"/>
      <c r="H197" s="302"/>
    </row>
    <row r="198" spans="2:8">
      <c r="B198" s="222"/>
      <c r="C198" s="222"/>
      <c r="D198" s="222"/>
      <c r="E198" s="222"/>
      <c r="F198" s="300"/>
      <c r="G198" s="300"/>
      <c r="H198" s="302"/>
    </row>
    <row r="199" spans="2:8">
      <c r="B199" s="222"/>
      <c r="C199" s="222"/>
      <c r="D199" s="222"/>
      <c r="E199" s="222"/>
      <c r="F199" s="300"/>
      <c r="G199" s="300"/>
      <c r="H199" s="302"/>
    </row>
    <row r="200" spans="2:8">
      <c r="B200" s="222"/>
      <c r="C200" s="222"/>
      <c r="D200" s="222"/>
      <c r="E200" s="222"/>
      <c r="F200" s="300"/>
      <c r="G200" s="300"/>
      <c r="H200" s="302"/>
    </row>
    <row r="201" spans="2:8">
      <c r="B201" s="222"/>
      <c r="C201" s="222"/>
      <c r="D201" s="222"/>
      <c r="E201" s="222"/>
      <c r="F201" s="300"/>
      <c r="G201" s="300"/>
      <c r="H201" s="302"/>
    </row>
    <row r="202" spans="2:8">
      <c r="B202" s="222"/>
      <c r="C202" s="222"/>
      <c r="D202" s="222"/>
      <c r="E202" s="222"/>
      <c r="F202" s="300"/>
      <c r="G202" s="300"/>
      <c r="H202" s="302"/>
    </row>
    <row r="203" spans="2:8">
      <c r="B203" s="222"/>
      <c r="C203" s="222"/>
      <c r="D203" s="222"/>
      <c r="E203" s="222"/>
      <c r="F203" s="300"/>
      <c r="G203" s="300"/>
      <c r="H203" s="302"/>
    </row>
    <row r="204" spans="2:8">
      <c r="B204" s="222"/>
      <c r="C204" s="222"/>
      <c r="D204" s="222"/>
      <c r="E204" s="222"/>
      <c r="F204" s="300"/>
      <c r="G204" s="300"/>
      <c r="H204" s="302"/>
    </row>
    <row r="205" spans="2:8">
      <c r="B205" s="222"/>
      <c r="C205" s="222"/>
      <c r="D205" s="222"/>
      <c r="E205" s="222"/>
      <c r="F205" s="300"/>
      <c r="G205" s="300"/>
      <c r="H205" s="302"/>
    </row>
    <row r="206" spans="2:8">
      <c r="B206" s="222"/>
      <c r="C206" s="222"/>
      <c r="D206" s="222"/>
      <c r="E206" s="222"/>
      <c r="F206" s="300"/>
      <c r="G206" s="300"/>
      <c r="H206" s="302"/>
    </row>
    <row r="207" spans="2:8">
      <c r="B207" s="222"/>
      <c r="C207" s="222"/>
      <c r="D207" s="222"/>
      <c r="E207" s="222"/>
      <c r="F207" s="300"/>
      <c r="G207" s="300"/>
      <c r="H207" s="302"/>
    </row>
    <row r="208" spans="2:8">
      <c r="B208" s="222"/>
      <c r="C208" s="222"/>
      <c r="D208" s="222"/>
      <c r="E208" s="222"/>
      <c r="F208" s="300"/>
      <c r="G208" s="300"/>
      <c r="H208" s="302"/>
    </row>
    <row r="209" spans="1:10">
      <c r="B209" s="222"/>
      <c r="C209" s="222"/>
      <c r="D209" s="222"/>
      <c r="E209" s="222"/>
      <c r="F209" s="300"/>
      <c r="G209" s="300"/>
      <c r="H209" s="302"/>
    </row>
    <row r="210" spans="1:10">
      <c r="B210" s="222"/>
      <c r="C210" s="222"/>
      <c r="D210" s="222"/>
      <c r="E210" s="222"/>
      <c r="F210" s="300"/>
      <c r="G210" s="300"/>
      <c r="H210" s="302"/>
    </row>
    <row r="211" spans="1:10" ht="27" customHeight="1">
      <c r="A211" s="246" t="str">
        <f>'3 - PLAN. ORÇAMENTÁRIA'!A214</f>
        <v>4.1.5.1.2.1</v>
      </c>
      <c r="B211" s="178" t="str">
        <f>'3 - PLAN. ORÇAMENTÁRIA'!B214</f>
        <v>CCU 023</v>
      </c>
      <c r="C211" s="631" t="str">
        <f>'3 - PLAN. ORÇAMENTÁRIA'!C214</f>
        <v>REVESTIMENTO EM PORCELANATO TÉCNICO NATURAL/ACETINADO PARA ÁREA INTERNA E AMBIENTE DE MÉDIO TRÁFEGO ENTRE 5 M² E 10 M², GRUPO DE ABSORÇÃO BIA, COEFICIENTE DE ATRITO I, ASSENTADO COM ARGAMASSA COLANTE INDUSTRIALIZADA, REJUNTADO REF. 87262/SINAPI</v>
      </c>
      <c r="D211" s="632"/>
      <c r="E211" s="632"/>
      <c r="F211" s="632"/>
      <c r="G211" s="633"/>
      <c r="H211" s="131" t="s">
        <v>139</v>
      </c>
      <c r="J211" s="220" t="str">
        <f>B223</f>
        <v>Obs: Foi adotado o item 87262 do SINAPI como base por similaridade ao que pede em projeto e alterado apenas o material pelo do item 18.08.170 do SP Obras</v>
      </c>
    </row>
    <row r="212" spans="1:10">
      <c r="B212" s="628" t="s">
        <v>593</v>
      </c>
      <c r="C212" s="628"/>
      <c r="D212" s="103" t="s">
        <v>579</v>
      </c>
      <c r="E212" s="103" t="s">
        <v>580</v>
      </c>
      <c r="F212" s="103" t="s">
        <v>581</v>
      </c>
      <c r="G212" s="103" t="s">
        <v>582</v>
      </c>
      <c r="H212" s="103" t="s">
        <v>583</v>
      </c>
    </row>
    <row r="213" spans="1:10">
      <c r="B213" s="239" t="s">
        <v>1527</v>
      </c>
      <c r="C213" s="229" t="s">
        <v>1528</v>
      </c>
      <c r="D213" s="130" t="s">
        <v>119</v>
      </c>
      <c r="E213" s="130" t="s">
        <v>200</v>
      </c>
      <c r="F213" s="230">
        <v>9.1300000000000008</v>
      </c>
      <c r="G213" s="227">
        <v>2.09</v>
      </c>
      <c r="H213" s="160">
        <f>ROUND(ROUND(F213,8)*G213,2)</f>
        <v>19.079999999999998</v>
      </c>
    </row>
    <row r="214" spans="1:10" ht="25.5">
      <c r="B214" s="239" t="s">
        <v>3710</v>
      </c>
      <c r="C214" s="229" t="s">
        <v>3711</v>
      </c>
      <c r="D214" s="130" t="s">
        <v>592</v>
      </c>
      <c r="E214" s="130" t="s">
        <v>139</v>
      </c>
      <c r="F214" s="230">
        <v>1.0864</v>
      </c>
      <c r="G214" s="227">
        <v>124.05</v>
      </c>
      <c r="H214" s="160">
        <f>ROUND(ROUND(F214,8)*G214,2)</f>
        <v>134.77000000000001</v>
      </c>
    </row>
    <row r="215" spans="1:10">
      <c r="B215" s="239" t="s">
        <v>1593</v>
      </c>
      <c r="C215" s="229" t="s">
        <v>1594</v>
      </c>
      <c r="D215" s="130" t="s">
        <v>119</v>
      </c>
      <c r="E215" s="130" t="s">
        <v>200</v>
      </c>
      <c r="F215" s="230">
        <v>0.14099999999999999</v>
      </c>
      <c r="G215" s="227">
        <v>3.99</v>
      </c>
      <c r="H215" s="160">
        <f>ROUND(ROUND(F215,8)*G215,2)</f>
        <v>0.56000000000000005</v>
      </c>
    </row>
    <row r="216" spans="1:10">
      <c r="B216" s="222"/>
      <c r="C216" s="222"/>
      <c r="D216" s="222"/>
      <c r="E216" s="222"/>
      <c r="F216" s="630" t="s">
        <v>604</v>
      </c>
      <c r="G216" s="630"/>
      <c r="H216" s="102">
        <f>SUM(H213:H215)</f>
        <v>154.41000000000003</v>
      </c>
    </row>
    <row r="217" spans="1:10">
      <c r="B217" s="628" t="s">
        <v>607</v>
      </c>
      <c r="C217" s="628"/>
      <c r="D217" s="103" t="s">
        <v>579</v>
      </c>
      <c r="E217" s="103" t="s">
        <v>580</v>
      </c>
      <c r="F217" s="103" t="s">
        <v>581</v>
      </c>
      <c r="G217" s="103" t="s">
        <v>582</v>
      </c>
      <c r="H217" s="103" t="s">
        <v>583</v>
      </c>
    </row>
    <row r="218" spans="1:10">
      <c r="B218" s="159">
        <v>88256</v>
      </c>
      <c r="C218" s="221" t="s">
        <v>2511</v>
      </c>
      <c r="D218" s="159" t="s">
        <v>119</v>
      </c>
      <c r="E218" s="159" t="s">
        <v>121</v>
      </c>
      <c r="F218" s="174">
        <v>0.80379999999999996</v>
      </c>
      <c r="G218" s="160">
        <v>31.2</v>
      </c>
      <c r="H218" s="160">
        <f>ROUND(ROUND(F218,8)*G218,2)</f>
        <v>25.08</v>
      </c>
    </row>
    <row r="219" spans="1:10">
      <c r="B219" s="159" t="s">
        <v>625</v>
      </c>
      <c r="C219" s="221" t="s">
        <v>626</v>
      </c>
      <c r="D219" s="159" t="s">
        <v>119</v>
      </c>
      <c r="E219" s="159" t="s">
        <v>121</v>
      </c>
      <c r="F219" s="174">
        <v>0.2064</v>
      </c>
      <c r="G219" s="160">
        <v>23.75</v>
      </c>
      <c r="H219" s="160">
        <f>ROUND(ROUND(F219,8)*G219,2)</f>
        <v>4.9000000000000004</v>
      </c>
    </row>
    <row r="220" spans="1:10">
      <c r="B220" s="222"/>
      <c r="C220" s="222"/>
      <c r="D220" s="222"/>
      <c r="E220" s="222"/>
      <c r="F220" s="630" t="s">
        <v>585</v>
      </c>
      <c r="G220" s="630"/>
      <c r="H220" s="224">
        <f>H218+H219</f>
        <v>29.979999999999997</v>
      </c>
    </row>
    <row r="221" spans="1:10">
      <c r="B221" s="222"/>
      <c r="C221" s="222"/>
      <c r="D221" s="222"/>
      <c r="E221" s="222"/>
      <c r="F221" s="645" t="s">
        <v>464</v>
      </c>
      <c r="G221" s="645"/>
      <c r="H221" s="158">
        <f>H220+H216</f>
        <v>184.39000000000001</v>
      </c>
    </row>
    <row r="222" spans="1:10">
      <c r="B222" s="222"/>
      <c r="C222" s="222"/>
      <c r="D222" s="222"/>
      <c r="E222" s="222"/>
      <c r="F222" s="111"/>
      <c r="G222" s="111"/>
      <c r="H222" s="228"/>
    </row>
    <row r="223" spans="1:10">
      <c r="B223" s="245" t="s">
        <v>2546</v>
      </c>
    </row>
    <row r="224" spans="1:10">
      <c r="B224" s="222"/>
      <c r="C224" s="222"/>
      <c r="D224" s="222"/>
      <c r="E224" s="222"/>
      <c r="F224" s="111"/>
      <c r="G224" s="111"/>
      <c r="H224" s="228"/>
    </row>
    <row r="225" spans="1:10">
      <c r="A225" s="246" t="str">
        <f>'3 - PLAN. ORÇAMENTÁRIA'!A247</f>
        <v>4.1.5.3.1</v>
      </c>
      <c r="B225" s="178" t="str">
        <f>'3 - PLAN. ORÇAMENTÁRIA'!B247</f>
        <v>CCU 025</v>
      </c>
      <c r="C225" s="631" t="str">
        <f>'3 - PLAN. ORÇAMENTÁRIA'!C247</f>
        <v>FORRO EM FIBRA MINERAL NRC 0.65, EM PLACAS ACÚSTICAS REMOVÍVEIS DE 625MM X 625MM REF. 104757/SINAPI</v>
      </c>
      <c r="D225" s="632"/>
      <c r="E225" s="632"/>
      <c r="F225" s="632"/>
      <c r="G225" s="633"/>
      <c r="H225" s="131" t="s">
        <v>139</v>
      </c>
      <c r="J225" s="220" t="str">
        <f>B234</f>
        <v>Obs: Foi adotado o item 104757 do SINAPI e retirado os materiais por haver alguns materiais com valor zerado e substituídos por um único material do item 00039511 do SINAPI que já contempla o Forro por completo, incluso tudo!</v>
      </c>
    </row>
    <row r="226" spans="1:10">
      <c r="B226" s="628" t="s">
        <v>593</v>
      </c>
      <c r="C226" s="628"/>
      <c r="D226" s="103" t="s">
        <v>579</v>
      </c>
      <c r="E226" s="103" t="s">
        <v>580</v>
      </c>
      <c r="F226" s="103" t="s">
        <v>581</v>
      </c>
      <c r="G226" s="103" t="s">
        <v>582</v>
      </c>
      <c r="H226" s="103" t="s">
        <v>583</v>
      </c>
    </row>
    <row r="227" spans="1:10" ht="25.5">
      <c r="B227" s="173" t="s">
        <v>2317</v>
      </c>
      <c r="C227" s="221" t="s">
        <v>2318</v>
      </c>
      <c r="D227" s="159" t="s">
        <v>119</v>
      </c>
      <c r="E227" s="159" t="s">
        <v>139</v>
      </c>
      <c r="F227" s="174">
        <v>1</v>
      </c>
      <c r="G227" s="160">
        <v>130.63</v>
      </c>
      <c r="H227" s="160">
        <f>ROUND(ROUND(F227,8)*G227,2)</f>
        <v>130.63</v>
      </c>
    </row>
    <row r="228" spans="1:10">
      <c r="B228" s="222"/>
      <c r="C228" s="222"/>
      <c r="D228" s="222"/>
      <c r="E228" s="222"/>
      <c r="F228" s="630" t="s">
        <v>604</v>
      </c>
      <c r="G228" s="630"/>
      <c r="H228" s="102">
        <f>H227</f>
        <v>130.63</v>
      </c>
    </row>
    <row r="229" spans="1:10">
      <c r="B229" s="628" t="s">
        <v>607</v>
      </c>
      <c r="C229" s="628"/>
      <c r="D229" s="103" t="s">
        <v>579</v>
      </c>
      <c r="E229" s="103" t="s">
        <v>580</v>
      </c>
      <c r="F229" s="103" t="s">
        <v>581</v>
      </c>
      <c r="G229" s="103" t="s">
        <v>582</v>
      </c>
      <c r="H229" s="103" t="s">
        <v>583</v>
      </c>
    </row>
    <row r="230" spans="1:10">
      <c r="B230" s="159">
        <v>88278</v>
      </c>
      <c r="C230" s="221" t="s">
        <v>1330</v>
      </c>
      <c r="D230" s="159" t="s">
        <v>119</v>
      </c>
      <c r="E230" s="159" t="s">
        <v>121</v>
      </c>
      <c r="F230" s="174">
        <v>0.71750000000000003</v>
      </c>
      <c r="G230" s="160">
        <v>25.64</v>
      </c>
      <c r="H230" s="160">
        <f>ROUND(ROUND(F230,8)*G230,2)</f>
        <v>18.399999999999999</v>
      </c>
    </row>
    <row r="231" spans="1:10">
      <c r="B231" s="222"/>
      <c r="C231" s="222"/>
      <c r="D231" s="222"/>
      <c r="E231" s="222"/>
      <c r="F231" s="630" t="s">
        <v>585</v>
      </c>
      <c r="G231" s="630"/>
      <c r="H231" s="224">
        <f>H230</f>
        <v>18.399999999999999</v>
      </c>
    </row>
    <row r="232" spans="1:10">
      <c r="B232" s="222"/>
      <c r="C232" s="222"/>
      <c r="D232" s="222"/>
      <c r="E232" s="222"/>
      <c r="F232" s="630" t="s">
        <v>464</v>
      </c>
      <c r="G232" s="630"/>
      <c r="H232" s="102">
        <f>H228+H231</f>
        <v>149.03</v>
      </c>
    </row>
    <row r="233" spans="1:10">
      <c r="B233" s="222"/>
      <c r="C233" s="222"/>
      <c r="D233" s="222"/>
      <c r="E233" s="222"/>
      <c r="F233" s="111"/>
      <c r="G233" s="111"/>
      <c r="H233" s="228"/>
    </row>
    <row r="234" spans="1:10">
      <c r="B234" s="245" t="s">
        <v>4038</v>
      </c>
    </row>
    <row r="235" spans="1:10">
      <c r="B235" s="222"/>
      <c r="C235" s="222"/>
      <c r="D235" s="222"/>
      <c r="E235" s="222"/>
      <c r="F235" s="111"/>
      <c r="G235" s="111"/>
      <c r="H235" s="228"/>
    </row>
    <row r="236" spans="1:10" ht="12.75" customHeight="1">
      <c r="A236" s="246" t="str">
        <f>'3 - PLAN. ORÇAMENTÁRIA'!A277</f>
        <v>4.1.6.1.24</v>
      </c>
      <c r="B236" s="178" t="str">
        <f>'3 - PLAN. ORÇAMENTÁRIA'!B277</f>
        <v>CCU 029</v>
      </c>
      <c r="C236" s="631" t="str">
        <f>'3 - PLAN. ORÇAMENTÁRIA'!C277</f>
        <v>DISPENSER PAPEL HIGIÊNICO EM ABS PARA ROLÃO 300 / 600 M, COM VISOR REF. 95544/SINAPI</v>
      </c>
      <c r="D236" s="632"/>
      <c r="E236" s="632"/>
      <c r="F236" s="632"/>
      <c r="G236" s="633"/>
      <c r="H236" s="131" t="s">
        <v>144</v>
      </c>
      <c r="J236" s="220" t="str">
        <f>B246</f>
        <v>Obs: Foi adotado o item 95544 do SINAPI como base por similaridade ao que pede em projeto e alterado apenas o material pelo do item 44.03.050 do SP Obras</v>
      </c>
    </row>
    <row r="237" spans="1:10">
      <c r="B237" s="628" t="s">
        <v>593</v>
      </c>
      <c r="C237" s="628"/>
      <c r="D237" s="103" t="s">
        <v>579</v>
      </c>
      <c r="E237" s="103" t="s">
        <v>580</v>
      </c>
      <c r="F237" s="103" t="s">
        <v>581</v>
      </c>
      <c r="G237" s="103" t="s">
        <v>582</v>
      </c>
      <c r="H237" s="103" t="s">
        <v>583</v>
      </c>
    </row>
    <row r="238" spans="1:10">
      <c r="B238" s="130" t="s">
        <v>2217</v>
      </c>
      <c r="C238" s="229" t="s">
        <v>1156</v>
      </c>
      <c r="D238" s="130" t="s">
        <v>592</v>
      </c>
      <c r="E238" s="130" t="s">
        <v>144</v>
      </c>
      <c r="F238" s="230">
        <v>1</v>
      </c>
      <c r="G238" s="227">
        <v>71.03</v>
      </c>
      <c r="H238" s="160">
        <f>ROUND(ROUND(F238,8)*G238,2)</f>
        <v>71.03</v>
      </c>
    </row>
    <row r="239" spans="1:10">
      <c r="B239" s="222"/>
      <c r="C239" s="222"/>
      <c r="D239" s="222"/>
      <c r="E239" s="222"/>
      <c r="F239" s="630" t="s">
        <v>604</v>
      </c>
      <c r="G239" s="630"/>
      <c r="H239" s="102">
        <f>H238</f>
        <v>71.03</v>
      </c>
    </row>
    <row r="240" spans="1:10">
      <c r="B240" s="628" t="s">
        <v>607</v>
      </c>
      <c r="C240" s="628"/>
      <c r="D240" s="103" t="s">
        <v>579</v>
      </c>
      <c r="E240" s="103" t="s">
        <v>580</v>
      </c>
      <c r="F240" s="103" t="s">
        <v>581</v>
      </c>
      <c r="G240" s="103" t="s">
        <v>582</v>
      </c>
      <c r="H240" s="103" t="s">
        <v>583</v>
      </c>
    </row>
    <row r="241" spans="1:10">
      <c r="B241" s="159">
        <v>88267</v>
      </c>
      <c r="C241" s="221" t="s">
        <v>2514</v>
      </c>
      <c r="D241" s="159" t="s">
        <v>119</v>
      </c>
      <c r="E241" s="159" t="s">
        <v>121</v>
      </c>
      <c r="F241" s="174">
        <v>0.31619999999999998</v>
      </c>
      <c r="G241" s="160">
        <v>30.62</v>
      </c>
      <c r="H241" s="160">
        <f>ROUND(ROUND(F241,8)*G241,2)</f>
        <v>9.68</v>
      </c>
    </row>
    <row r="242" spans="1:10">
      <c r="B242" s="159" t="s">
        <v>625</v>
      </c>
      <c r="C242" s="221" t="s">
        <v>626</v>
      </c>
      <c r="D242" s="159" t="s">
        <v>119</v>
      </c>
      <c r="E242" s="159" t="s">
        <v>121</v>
      </c>
      <c r="F242" s="174">
        <v>9.9599999999999994E-2</v>
      </c>
      <c r="G242" s="160">
        <v>23.75</v>
      </c>
      <c r="H242" s="160">
        <f>ROUND(ROUND(F242,8)*G242,2)</f>
        <v>2.37</v>
      </c>
    </row>
    <row r="243" spans="1:10">
      <c r="B243" s="222"/>
      <c r="C243" s="222"/>
      <c r="D243" s="222"/>
      <c r="E243" s="222"/>
      <c r="F243" s="630" t="s">
        <v>585</v>
      </c>
      <c r="G243" s="630"/>
      <c r="H243" s="102">
        <f>H241+H242</f>
        <v>12.05</v>
      </c>
    </row>
    <row r="244" spans="1:10">
      <c r="B244" s="222"/>
      <c r="C244" s="222"/>
      <c r="D244" s="222"/>
      <c r="E244" s="222"/>
      <c r="F244" s="630" t="s">
        <v>464</v>
      </c>
      <c r="G244" s="630"/>
      <c r="H244" s="102">
        <f>H239+H243</f>
        <v>83.08</v>
      </c>
    </row>
    <row r="246" spans="1:10">
      <c r="B246" s="245" t="s">
        <v>2547</v>
      </c>
    </row>
    <row r="247" spans="1:10">
      <c r="B247" s="222"/>
      <c r="C247" s="222"/>
      <c r="D247" s="222"/>
      <c r="E247" s="222"/>
      <c r="F247" s="111"/>
      <c r="G247" s="111"/>
      <c r="H247" s="228"/>
    </row>
    <row r="248" spans="1:10">
      <c r="A248" s="246" t="str">
        <f>'3 - PLAN. ORÇAMENTÁRIA'!A278</f>
        <v>4.1.6.1.25</v>
      </c>
      <c r="B248" s="178" t="str">
        <f>'3 - PLAN. ORÇAMENTÁRIA'!B278</f>
        <v>CCU 030</v>
      </c>
      <c r="C248" s="631" t="str">
        <f>'3 - PLAN. ORÇAMENTÁRIA'!C278</f>
        <v>SABONETEIRA TIPO DISPENSER, PARA REFIL DE 800 ML REF. 95545/SINAPI</v>
      </c>
      <c r="D248" s="632"/>
      <c r="E248" s="632"/>
      <c r="F248" s="632"/>
      <c r="G248" s="633"/>
      <c r="H248" s="131" t="s">
        <v>144</v>
      </c>
      <c r="J248" s="220" t="str">
        <f>B258</f>
        <v>Obs: Foi adotado o item 95545 do SINAPI como base por similaridade ao que pede em projeto e alterado apenas o material pelo do item 44.03.130 do SP Obras</v>
      </c>
    </row>
    <row r="249" spans="1:10">
      <c r="B249" s="628" t="s">
        <v>593</v>
      </c>
      <c r="C249" s="628"/>
      <c r="D249" s="103" t="s">
        <v>579</v>
      </c>
      <c r="E249" s="103" t="s">
        <v>580</v>
      </c>
      <c r="F249" s="103" t="s">
        <v>581</v>
      </c>
      <c r="G249" s="103" t="s">
        <v>582</v>
      </c>
      <c r="H249" s="103" t="s">
        <v>583</v>
      </c>
    </row>
    <row r="250" spans="1:10">
      <c r="B250" s="130" t="s">
        <v>1153</v>
      </c>
      <c r="C250" s="229" t="s">
        <v>1152</v>
      </c>
      <c r="D250" s="130" t="s">
        <v>592</v>
      </c>
      <c r="E250" s="130" t="s">
        <v>144</v>
      </c>
      <c r="F250" s="230">
        <v>1</v>
      </c>
      <c r="G250" s="227">
        <v>59.45</v>
      </c>
      <c r="H250" s="160">
        <f>ROUND(ROUND(F250,8)*G250,2)</f>
        <v>59.45</v>
      </c>
    </row>
    <row r="251" spans="1:10">
      <c r="B251" s="222"/>
      <c r="C251" s="222"/>
      <c r="D251" s="222"/>
      <c r="E251" s="222"/>
      <c r="F251" s="630" t="s">
        <v>604</v>
      </c>
      <c r="G251" s="630"/>
      <c r="H251" s="102">
        <f>H250</f>
        <v>59.45</v>
      </c>
    </row>
    <row r="252" spans="1:10">
      <c r="B252" s="628" t="s">
        <v>607</v>
      </c>
      <c r="C252" s="628"/>
      <c r="D252" s="103" t="s">
        <v>579</v>
      </c>
      <c r="E252" s="103" t="s">
        <v>580</v>
      </c>
      <c r="F252" s="103" t="s">
        <v>581</v>
      </c>
      <c r="G252" s="103" t="s">
        <v>582</v>
      </c>
      <c r="H252" s="103" t="s">
        <v>583</v>
      </c>
    </row>
    <row r="253" spans="1:10">
      <c r="B253" s="159">
        <v>88267</v>
      </c>
      <c r="C253" s="221" t="s">
        <v>2514</v>
      </c>
      <c r="D253" s="159" t="s">
        <v>119</v>
      </c>
      <c r="E253" s="159" t="s">
        <v>121</v>
      </c>
      <c r="F253" s="174">
        <v>0.31619999999999998</v>
      </c>
      <c r="G253" s="160">
        <v>30.62</v>
      </c>
      <c r="H253" s="160">
        <f>ROUND(ROUND(F253,8)*G253,2)</f>
        <v>9.68</v>
      </c>
    </row>
    <row r="254" spans="1:10">
      <c r="B254" s="159" t="s">
        <v>625</v>
      </c>
      <c r="C254" s="221" t="s">
        <v>626</v>
      </c>
      <c r="D254" s="159" t="s">
        <v>119</v>
      </c>
      <c r="E254" s="159" t="s">
        <v>121</v>
      </c>
      <c r="F254" s="174">
        <v>9.9599999999999994E-2</v>
      </c>
      <c r="G254" s="160">
        <v>23.75</v>
      </c>
      <c r="H254" s="160">
        <f>ROUND(ROUND(F254,8)*G254,2)</f>
        <v>2.37</v>
      </c>
    </row>
    <row r="255" spans="1:10">
      <c r="B255" s="222"/>
      <c r="C255" s="222"/>
      <c r="D255" s="222"/>
      <c r="E255" s="222"/>
      <c r="F255" s="630" t="s">
        <v>585</v>
      </c>
      <c r="G255" s="630"/>
      <c r="H255" s="102">
        <f>H253+H254</f>
        <v>12.05</v>
      </c>
    </row>
    <row r="256" spans="1:10">
      <c r="B256" s="222"/>
      <c r="C256" s="222"/>
      <c r="D256" s="222"/>
      <c r="E256" s="222"/>
      <c r="F256" s="630" t="s">
        <v>464</v>
      </c>
      <c r="G256" s="630"/>
      <c r="H256" s="102">
        <f>H251+H255</f>
        <v>71.5</v>
      </c>
    </row>
    <row r="257" spans="1:10">
      <c r="B257" s="222"/>
      <c r="C257" s="222"/>
      <c r="D257" s="222"/>
      <c r="E257" s="222"/>
      <c r="F257" s="111"/>
      <c r="G257" s="111"/>
      <c r="H257" s="228"/>
    </row>
    <row r="258" spans="1:10">
      <c r="B258" s="245" t="s">
        <v>2548</v>
      </c>
    </row>
    <row r="259" spans="1:10">
      <c r="B259" s="222"/>
      <c r="C259" s="222"/>
      <c r="D259" s="222"/>
      <c r="E259" s="222"/>
      <c r="F259" s="111"/>
      <c r="G259" s="111"/>
      <c r="H259" s="228"/>
    </row>
    <row r="260" spans="1:10">
      <c r="A260" s="246" t="str">
        <f>'3 - PLAN. ORÇAMENTÁRIA'!A279</f>
        <v>4.1.6.1.26</v>
      </c>
      <c r="B260" s="178" t="str">
        <f>'3 - PLAN. ORÇAMENTÁRIA'!B279</f>
        <v>CCU 031</v>
      </c>
      <c r="C260" s="631" t="str">
        <f>'3 - PLAN. ORÇAMENTÁRIA'!C279</f>
        <v>DISPENSER TOALHEIRO EM ABS, PARA FOLHAS REF. 95544/SINAPI</v>
      </c>
      <c r="D260" s="632"/>
      <c r="E260" s="632"/>
      <c r="F260" s="632"/>
      <c r="G260" s="633"/>
      <c r="H260" s="131" t="s">
        <v>144</v>
      </c>
      <c r="J260" s="220" t="str">
        <f>B270</f>
        <v>Obs: Foi adotado o item 95544 do SINAPI como base por similaridade ao que pede em projeto e alterado apenas o material pelo do item 44.03.180 do SP Obras</v>
      </c>
    </row>
    <row r="261" spans="1:10">
      <c r="B261" s="628" t="s">
        <v>593</v>
      </c>
      <c r="C261" s="628"/>
      <c r="D261" s="103" t="s">
        <v>579</v>
      </c>
      <c r="E261" s="103" t="s">
        <v>580</v>
      </c>
      <c r="F261" s="103" t="s">
        <v>581</v>
      </c>
      <c r="G261" s="103" t="s">
        <v>582</v>
      </c>
      <c r="H261" s="103" t="s">
        <v>583</v>
      </c>
    </row>
    <row r="262" spans="1:10">
      <c r="B262" s="130" t="s">
        <v>1154</v>
      </c>
      <c r="C262" s="229" t="s">
        <v>1155</v>
      </c>
      <c r="D262" s="130" t="s">
        <v>592</v>
      </c>
      <c r="E262" s="130" t="s">
        <v>144</v>
      </c>
      <c r="F262" s="230">
        <v>1</v>
      </c>
      <c r="G262" s="227">
        <v>66.02</v>
      </c>
      <c r="H262" s="160">
        <f>ROUND(ROUND(F262,8)*G262,2)</f>
        <v>66.02</v>
      </c>
    </row>
    <row r="263" spans="1:10">
      <c r="B263" s="222"/>
      <c r="C263" s="222"/>
      <c r="D263" s="222"/>
      <c r="E263" s="222"/>
      <c r="F263" s="630" t="s">
        <v>604</v>
      </c>
      <c r="G263" s="630"/>
      <c r="H263" s="102">
        <f>H262</f>
        <v>66.02</v>
      </c>
    </row>
    <row r="264" spans="1:10">
      <c r="B264" s="628" t="s">
        <v>607</v>
      </c>
      <c r="C264" s="628"/>
      <c r="D264" s="103" t="s">
        <v>579</v>
      </c>
      <c r="E264" s="103" t="s">
        <v>580</v>
      </c>
      <c r="F264" s="103" t="s">
        <v>581</v>
      </c>
      <c r="G264" s="103" t="s">
        <v>582</v>
      </c>
      <c r="H264" s="103" t="s">
        <v>583</v>
      </c>
    </row>
    <row r="265" spans="1:10">
      <c r="B265" s="159">
        <v>88267</v>
      </c>
      <c r="C265" s="221" t="s">
        <v>2514</v>
      </c>
      <c r="D265" s="159" t="s">
        <v>119</v>
      </c>
      <c r="E265" s="159" t="s">
        <v>121</v>
      </c>
      <c r="F265" s="174">
        <v>0.31619999999999998</v>
      </c>
      <c r="G265" s="160">
        <v>30.62</v>
      </c>
      <c r="H265" s="160">
        <f>ROUND(ROUND(F265,8)*G265,2)</f>
        <v>9.68</v>
      </c>
    </row>
    <row r="266" spans="1:10">
      <c r="B266" s="159" t="s">
        <v>625</v>
      </c>
      <c r="C266" s="221" t="s">
        <v>626</v>
      </c>
      <c r="D266" s="159" t="s">
        <v>119</v>
      </c>
      <c r="E266" s="159" t="s">
        <v>121</v>
      </c>
      <c r="F266" s="174">
        <v>9.9599999999999994E-2</v>
      </c>
      <c r="G266" s="160">
        <v>23.75</v>
      </c>
      <c r="H266" s="160">
        <f>ROUND(ROUND(F266,8)*G266,2)</f>
        <v>2.37</v>
      </c>
    </row>
    <row r="267" spans="1:10">
      <c r="B267" s="222"/>
      <c r="C267" s="222"/>
      <c r="D267" s="222"/>
      <c r="E267" s="222"/>
      <c r="F267" s="630" t="s">
        <v>585</v>
      </c>
      <c r="G267" s="630"/>
      <c r="H267" s="102">
        <f>H265+H266</f>
        <v>12.05</v>
      </c>
    </row>
    <row r="268" spans="1:10">
      <c r="B268" s="222"/>
      <c r="C268" s="222"/>
      <c r="D268" s="222"/>
      <c r="E268" s="222"/>
      <c r="F268" s="630" t="s">
        <v>464</v>
      </c>
      <c r="G268" s="630"/>
      <c r="H268" s="102">
        <f>H263+H267</f>
        <v>78.069999999999993</v>
      </c>
    </row>
    <row r="269" spans="1:10">
      <c r="B269" s="222"/>
      <c r="C269" s="222"/>
      <c r="D269" s="222"/>
      <c r="E269" s="222"/>
      <c r="F269" s="111"/>
      <c r="G269" s="111"/>
      <c r="H269" s="228"/>
    </row>
    <row r="270" spans="1:10">
      <c r="B270" s="245" t="s">
        <v>2549</v>
      </c>
    </row>
    <row r="271" spans="1:10">
      <c r="B271" s="222"/>
      <c r="C271" s="222"/>
      <c r="D271" s="222"/>
      <c r="E271" s="222"/>
      <c r="F271" s="111"/>
      <c r="G271" s="111"/>
      <c r="H271" s="228"/>
    </row>
    <row r="272" spans="1:10">
      <c r="A272" s="246" t="str">
        <f>'3 - PLAN. ORÇAMENTÁRIA'!A281</f>
        <v>4.1.6.1.28</v>
      </c>
      <c r="B272" s="178" t="str">
        <f>'3 - PLAN. ORÇAMENTÁRIA'!B281</f>
        <v>CCU 032</v>
      </c>
      <c r="C272" s="631" t="str">
        <f>'3 - PLAN. ORÇAMENTÁRIA'!C281</f>
        <v>ESPELHO COMUM DE 3 MM COM MOLDURA EM ALUMÍNIO REF. 102148/SINAPI</v>
      </c>
      <c r="D272" s="632"/>
      <c r="E272" s="632"/>
      <c r="F272" s="632"/>
      <c r="G272" s="633"/>
      <c r="H272" s="131" t="s">
        <v>139</v>
      </c>
      <c r="J272" s="220" t="str">
        <f>B283</f>
        <v>Obs: Foi adotado o item 102148 do SINAPI como base e trocados os materiais por existir material com o valor zerado e sem possibilidade de troca e foram substituídos pelos materiais do item 26.04.030 do SP Obras, por questões de similaridade ao projeto</v>
      </c>
    </row>
    <row r="273" spans="1:10">
      <c r="B273" s="628" t="s">
        <v>593</v>
      </c>
      <c r="C273" s="628"/>
      <c r="D273" s="103" t="s">
        <v>579</v>
      </c>
      <c r="E273" s="103" t="s">
        <v>580</v>
      </c>
      <c r="F273" s="103" t="s">
        <v>581</v>
      </c>
      <c r="G273" s="103" t="s">
        <v>582</v>
      </c>
      <c r="H273" s="103" t="s">
        <v>583</v>
      </c>
    </row>
    <row r="274" spans="1:10">
      <c r="B274" s="130" t="s">
        <v>1149</v>
      </c>
      <c r="C274" s="229" t="s">
        <v>1150</v>
      </c>
      <c r="D274" s="130" t="s">
        <v>592</v>
      </c>
      <c r="E274" s="130" t="s">
        <v>139</v>
      </c>
      <c r="F274" s="230">
        <v>1</v>
      </c>
      <c r="G274" s="227">
        <v>878.93</v>
      </c>
      <c r="H274" s="160">
        <f>ROUND(ROUND(F274,8)*G274,2)</f>
        <v>878.93</v>
      </c>
    </row>
    <row r="275" spans="1:10">
      <c r="B275" s="130" t="s">
        <v>1151</v>
      </c>
      <c r="C275" s="229" t="s">
        <v>2218</v>
      </c>
      <c r="D275" s="130" t="s">
        <v>592</v>
      </c>
      <c r="E275" s="130" t="s">
        <v>144</v>
      </c>
      <c r="F275" s="230">
        <v>2</v>
      </c>
      <c r="G275" s="227">
        <v>0.47</v>
      </c>
      <c r="H275" s="160">
        <f>ROUND(ROUND(F275,8)*G275,2)</f>
        <v>0.94</v>
      </c>
    </row>
    <row r="276" spans="1:10">
      <c r="B276" s="222"/>
      <c r="C276" s="222"/>
      <c r="D276" s="222"/>
      <c r="E276" s="222"/>
      <c r="F276" s="630" t="s">
        <v>604</v>
      </c>
      <c r="G276" s="630"/>
      <c r="H276" s="102">
        <f>H274+H275</f>
        <v>879.87</v>
      </c>
    </row>
    <row r="277" spans="1:10">
      <c r="A277" s="161"/>
      <c r="B277" s="628" t="s">
        <v>607</v>
      </c>
      <c r="C277" s="628"/>
      <c r="D277" s="103" t="s">
        <v>579</v>
      </c>
      <c r="E277" s="103" t="s">
        <v>580</v>
      </c>
      <c r="F277" s="103" t="s">
        <v>581</v>
      </c>
      <c r="G277" s="103" t="s">
        <v>582</v>
      </c>
      <c r="H277" s="103" t="s">
        <v>583</v>
      </c>
    </row>
    <row r="278" spans="1:10">
      <c r="B278" s="159">
        <v>88316</v>
      </c>
      <c r="C278" s="221" t="s">
        <v>626</v>
      </c>
      <c r="D278" s="159" t="s">
        <v>119</v>
      </c>
      <c r="E278" s="159" t="s">
        <v>121</v>
      </c>
      <c r="F278" s="174">
        <v>0.21199999999999999</v>
      </c>
      <c r="G278" s="160">
        <v>23.75</v>
      </c>
      <c r="H278" s="160">
        <f>ROUND(ROUND(F278,8)*G278,2)</f>
        <v>5.04</v>
      </c>
    </row>
    <row r="279" spans="1:10">
      <c r="B279" s="159">
        <v>88325</v>
      </c>
      <c r="C279" s="221" t="s">
        <v>656</v>
      </c>
      <c r="D279" s="159" t="s">
        <v>119</v>
      </c>
      <c r="E279" s="159" t="s">
        <v>121</v>
      </c>
      <c r="F279" s="174">
        <v>0.218</v>
      </c>
      <c r="G279" s="160">
        <v>28.95</v>
      </c>
      <c r="H279" s="160">
        <f>ROUND(ROUND(F279,8)*G279,2)</f>
        <v>6.31</v>
      </c>
    </row>
    <row r="280" spans="1:10">
      <c r="B280" s="225"/>
      <c r="C280" s="223"/>
      <c r="D280" s="225"/>
      <c r="E280" s="225"/>
      <c r="F280" s="630" t="s">
        <v>585</v>
      </c>
      <c r="G280" s="630"/>
      <c r="H280" s="102">
        <f>H279+H278</f>
        <v>11.35</v>
      </c>
    </row>
    <row r="281" spans="1:10">
      <c r="B281" s="222"/>
      <c r="C281" s="222"/>
      <c r="D281" s="222"/>
      <c r="E281" s="222"/>
      <c r="F281" s="630" t="s">
        <v>464</v>
      </c>
      <c r="G281" s="630"/>
      <c r="H281" s="102">
        <f>H276+H280</f>
        <v>891.22</v>
      </c>
    </row>
    <row r="282" spans="1:10">
      <c r="B282" s="222"/>
      <c r="C282" s="222"/>
      <c r="D282" s="222"/>
      <c r="E282" s="222"/>
      <c r="F282" s="111"/>
      <c r="G282" s="111"/>
      <c r="H282" s="228"/>
    </row>
    <row r="283" spans="1:10">
      <c r="B283" s="245" t="s">
        <v>2550</v>
      </c>
    </row>
    <row r="284" spans="1:10">
      <c r="B284" s="222"/>
      <c r="C284" s="222"/>
      <c r="D284" s="222"/>
      <c r="E284" s="222"/>
      <c r="F284" s="111"/>
      <c r="G284" s="111"/>
      <c r="H284" s="228"/>
    </row>
    <row r="285" spans="1:10" ht="27.75" customHeight="1">
      <c r="A285" s="246" t="str">
        <f>'3 - PLAN. ORÇAMENTÁRIA'!A313</f>
        <v>4.3.6</v>
      </c>
      <c r="B285" s="178" t="str">
        <f>'3 - PLAN. ORÇAMENTÁRIA'!B313</f>
        <v>CCU 040</v>
      </c>
      <c r="C285" s="631" t="str">
        <f>'3 - PLAN. ORÇAMENTÁRIA'!C313</f>
        <v>SUPORTE PARA APOIO DE BICICLETAS EM AÇO INOX, MODELO U INVERTIDO SEM EMENDAS, COM ACABAMENTO COMPLETO REF. 103308/SINAPI</v>
      </c>
      <c r="D285" s="632"/>
      <c r="E285" s="632"/>
      <c r="F285" s="632"/>
      <c r="G285" s="633"/>
      <c r="H285" s="131" t="s">
        <v>144</v>
      </c>
      <c r="J285" s="220" t="str">
        <f>B304</f>
        <v>Obs: Foi adotado o item 103308 do SINAPI e alterado o material pelo do item 34.20.382 do SP Obras por questões de similaridade para melhor atender ao projeto.</v>
      </c>
    </row>
    <row r="286" spans="1:10">
      <c r="A286" s="163"/>
      <c r="B286" s="628" t="s">
        <v>1301</v>
      </c>
      <c r="C286" s="628"/>
      <c r="D286" s="103" t="s">
        <v>579</v>
      </c>
      <c r="E286" s="103" t="s">
        <v>580</v>
      </c>
      <c r="F286" s="103" t="s">
        <v>581</v>
      </c>
      <c r="G286" s="103" t="s">
        <v>582</v>
      </c>
      <c r="H286" s="103" t="s">
        <v>583</v>
      </c>
    </row>
    <row r="287" spans="1:10">
      <c r="A287" s="163"/>
      <c r="B287" s="159">
        <v>5952</v>
      </c>
      <c r="C287" s="229" t="s">
        <v>2519</v>
      </c>
      <c r="D287" s="159" t="s">
        <v>119</v>
      </c>
      <c r="E287" s="159" t="s">
        <v>1304</v>
      </c>
      <c r="F287" s="174">
        <v>0.51700000000000002</v>
      </c>
      <c r="G287" s="160">
        <v>27.94</v>
      </c>
      <c r="H287" s="160">
        <f>ROUND(ROUND(F287,8)*G287,2)</f>
        <v>14.44</v>
      </c>
    </row>
    <row r="288" spans="1:10">
      <c r="A288" s="163"/>
      <c r="B288" s="159">
        <v>5795</v>
      </c>
      <c r="C288" s="229" t="s">
        <v>2520</v>
      </c>
      <c r="D288" s="159" t="s">
        <v>119</v>
      </c>
      <c r="E288" s="159" t="s">
        <v>1307</v>
      </c>
      <c r="F288" s="174">
        <v>0.15359999999999999</v>
      </c>
      <c r="G288" s="160">
        <v>29.92</v>
      </c>
      <c r="H288" s="160">
        <f>ROUND(ROUND(F288,8)*G288,2)</f>
        <v>4.5999999999999996</v>
      </c>
    </row>
    <row r="289" spans="1:8">
      <c r="A289" s="163"/>
      <c r="B289" s="222"/>
      <c r="C289" s="222"/>
      <c r="D289" s="222"/>
      <c r="E289" s="222"/>
      <c r="F289" s="630" t="s">
        <v>1308</v>
      </c>
      <c r="G289" s="630"/>
      <c r="H289" s="102">
        <f>H287+H288</f>
        <v>19.04</v>
      </c>
    </row>
    <row r="290" spans="1:8">
      <c r="B290" s="628" t="s">
        <v>593</v>
      </c>
      <c r="C290" s="628"/>
      <c r="D290" s="103" t="s">
        <v>579</v>
      </c>
      <c r="E290" s="103" t="s">
        <v>580</v>
      </c>
      <c r="F290" s="103" t="s">
        <v>581</v>
      </c>
      <c r="G290" s="103" t="s">
        <v>582</v>
      </c>
      <c r="H290" s="103" t="s">
        <v>583</v>
      </c>
    </row>
    <row r="291" spans="1:8">
      <c r="B291" s="159" t="str">
        <f>'6 - COTAÇÃO MERCADO'!$B$284</f>
        <v>COT 01.034</v>
      </c>
      <c r="C291" s="221" t="str">
        <f>'6 - COTAÇÃO MERCADO'!$C$284</f>
        <v xml:space="preserve"> SUPORTE PARA APOIO DE BICICLETAS EM AÇO INOX, MODELO U INVERTIDO SEM EMENDAS</v>
      </c>
      <c r="D291" s="159" t="s">
        <v>3280</v>
      </c>
      <c r="E291" s="159" t="str">
        <f>'6 - COTAÇÃO MERCADO'!$E$284</f>
        <v>UN</v>
      </c>
      <c r="F291" s="174">
        <v>1</v>
      </c>
      <c r="G291" s="160">
        <f>'6 - COTAÇÃO MERCADO'!$D$284</f>
        <v>622.94000000000005</v>
      </c>
      <c r="H291" s="160">
        <f>ROUND(ROUND(F291,8)*G291,2)</f>
        <v>622.94000000000005</v>
      </c>
    </row>
    <row r="292" spans="1:8">
      <c r="B292" s="173" t="s">
        <v>1521</v>
      </c>
      <c r="C292" s="221" t="s">
        <v>2521</v>
      </c>
      <c r="D292" s="159" t="s">
        <v>119</v>
      </c>
      <c r="E292" s="159" t="s">
        <v>167</v>
      </c>
      <c r="F292" s="174">
        <v>3.2000000000000002E-3</v>
      </c>
      <c r="G292" s="160">
        <v>197.39</v>
      </c>
      <c r="H292" s="160">
        <f>ROUND(ROUND(F292,8)*G292,2)</f>
        <v>0.63</v>
      </c>
    </row>
    <row r="293" spans="1:8">
      <c r="B293" s="222"/>
      <c r="C293" s="222"/>
      <c r="D293" s="222"/>
      <c r="E293" s="222"/>
      <c r="F293" s="630" t="s">
        <v>604</v>
      </c>
      <c r="G293" s="630"/>
      <c r="H293" s="102">
        <f>SUM(H291:H292)</f>
        <v>623.57000000000005</v>
      </c>
    </row>
    <row r="294" spans="1:8">
      <c r="B294" s="628" t="s">
        <v>607</v>
      </c>
      <c r="C294" s="628"/>
      <c r="D294" s="103" t="s">
        <v>579</v>
      </c>
      <c r="E294" s="103" t="s">
        <v>580</v>
      </c>
      <c r="F294" s="103" t="s">
        <v>581</v>
      </c>
      <c r="G294" s="103" t="s">
        <v>582</v>
      </c>
      <c r="H294" s="103" t="s">
        <v>583</v>
      </c>
    </row>
    <row r="295" spans="1:8">
      <c r="B295" s="159">
        <v>88309</v>
      </c>
      <c r="C295" s="221" t="s">
        <v>640</v>
      </c>
      <c r="D295" s="159" t="s">
        <v>119</v>
      </c>
      <c r="E295" s="159" t="s">
        <v>121</v>
      </c>
      <c r="F295" s="174">
        <v>3.6084000000000001</v>
      </c>
      <c r="G295" s="160">
        <v>31.34</v>
      </c>
      <c r="H295" s="160">
        <f>ROUND(ROUND(F295,8)*G295,2)</f>
        <v>113.09</v>
      </c>
    </row>
    <row r="296" spans="1:8">
      <c r="B296" s="159">
        <v>88316</v>
      </c>
      <c r="C296" s="221" t="s">
        <v>626</v>
      </c>
      <c r="D296" s="159" t="s">
        <v>119</v>
      </c>
      <c r="E296" s="159" t="s">
        <v>121</v>
      </c>
      <c r="F296" s="174">
        <v>2.4056000000000002</v>
      </c>
      <c r="G296" s="160">
        <v>23.75</v>
      </c>
      <c r="H296" s="160">
        <f>ROUND(ROUND(F296,8)*G296,2)</f>
        <v>57.13</v>
      </c>
    </row>
    <row r="297" spans="1:8">
      <c r="B297" s="222"/>
      <c r="C297" s="222"/>
      <c r="D297" s="222"/>
      <c r="E297" s="222"/>
      <c r="F297" s="630" t="s">
        <v>585</v>
      </c>
      <c r="G297" s="630"/>
      <c r="H297" s="102">
        <f>H295+H296</f>
        <v>170.22</v>
      </c>
    </row>
    <row r="298" spans="1:8">
      <c r="B298" s="628" t="s">
        <v>586</v>
      </c>
      <c r="C298" s="628"/>
      <c r="D298" s="103" t="s">
        <v>579</v>
      </c>
      <c r="E298" s="103" t="s">
        <v>580</v>
      </c>
      <c r="F298" s="103" t="s">
        <v>581</v>
      </c>
      <c r="G298" s="103" t="s">
        <v>582</v>
      </c>
      <c r="H298" s="103" t="s">
        <v>583</v>
      </c>
    </row>
    <row r="299" spans="1:8" ht="25.5">
      <c r="B299" s="159">
        <v>87298</v>
      </c>
      <c r="C299" s="221" t="s">
        <v>1571</v>
      </c>
      <c r="D299" s="159" t="s">
        <v>119</v>
      </c>
      <c r="E299" s="159" t="s">
        <v>167</v>
      </c>
      <c r="F299" s="174">
        <v>4.1999999999999997E-3</v>
      </c>
      <c r="G299" s="160">
        <v>620.96</v>
      </c>
      <c r="H299" s="160">
        <f>ROUND(ROUND(F299,8)*G299,2)</f>
        <v>2.61</v>
      </c>
    </row>
    <row r="300" spans="1:8" ht="25.5">
      <c r="B300" s="159">
        <v>102486</v>
      </c>
      <c r="C300" s="221" t="s">
        <v>1572</v>
      </c>
      <c r="D300" s="159" t="s">
        <v>119</v>
      </c>
      <c r="E300" s="159" t="s">
        <v>167</v>
      </c>
      <c r="F300" s="174">
        <v>4.9599999999999998E-2</v>
      </c>
      <c r="G300" s="160">
        <v>803.7</v>
      </c>
      <c r="H300" s="160">
        <f>ROUND(ROUND(F300,8)*G300,2)</f>
        <v>39.86</v>
      </c>
    </row>
    <row r="301" spans="1:8">
      <c r="B301" s="222"/>
      <c r="C301" s="222"/>
      <c r="D301" s="222"/>
      <c r="E301" s="222"/>
      <c r="F301" s="630" t="s">
        <v>587</v>
      </c>
      <c r="G301" s="630"/>
      <c r="H301" s="102">
        <f>H299+H300</f>
        <v>42.47</v>
      </c>
    </row>
    <row r="302" spans="1:8">
      <c r="B302" s="222"/>
      <c r="C302" s="222"/>
      <c r="D302" s="222"/>
      <c r="E302" s="222"/>
      <c r="F302" s="630" t="s">
        <v>464</v>
      </c>
      <c r="G302" s="630"/>
      <c r="H302" s="102">
        <f>H289+H293+H297+H301</f>
        <v>855.30000000000007</v>
      </c>
    </row>
    <row r="303" spans="1:8">
      <c r="B303" s="222"/>
      <c r="C303" s="222"/>
      <c r="D303" s="222"/>
      <c r="E303" s="222"/>
      <c r="F303" s="111"/>
      <c r="G303" s="111"/>
      <c r="H303" s="228"/>
    </row>
    <row r="304" spans="1:8">
      <c r="B304" s="245" t="s">
        <v>2551</v>
      </c>
    </row>
    <row r="305" spans="1:10">
      <c r="B305" s="222"/>
      <c r="C305" s="222"/>
      <c r="D305" s="222"/>
      <c r="E305" s="222"/>
      <c r="F305" s="111"/>
      <c r="G305" s="111"/>
      <c r="H305" s="228"/>
    </row>
    <row r="306" spans="1:10">
      <c r="A306" s="246" t="str">
        <f>'3 - PLAN. ORÇAMENTÁRIA'!A182</f>
        <v>4.1.2.1.9</v>
      </c>
      <c r="B306" s="178" t="str">
        <f>'3 - PLAN. ORÇAMENTÁRIA'!B182</f>
        <v>CCU 041</v>
      </c>
      <c r="C306" s="631" t="str">
        <f>'3 - PLAN. ORÇAMENTÁRIA'!C182</f>
        <v>FECHADURA EM INOX LIXADO PARA PORTA DE BANHEIRO REF. ARCHITECT INOX 892, LA FONTE OU EQUIVALENTE - FORNECIMENTO E INSTALAÇÃO. REF. 91306/SINAPI</v>
      </c>
      <c r="D306" s="632"/>
      <c r="E306" s="632"/>
      <c r="F306" s="632"/>
      <c r="G306" s="633"/>
      <c r="H306" s="131" t="s">
        <v>144</v>
      </c>
      <c r="J306" s="220" t="str">
        <f>B316</f>
        <v>Obs: Foi adotado o item 91306 do SINAPI e alterado o material para uma cotação externa para melhor atender ao projeto.</v>
      </c>
    </row>
    <row r="307" spans="1:10">
      <c r="B307" s="628" t="s">
        <v>593</v>
      </c>
      <c r="C307" s="628"/>
      <c r="D307" s="103" t="s">
        <v>579</v>
      </c>
      <c r="E307" s="103" t="s">
        <v>580</v>
      </c>
      <c r="F307" s="103" t="s">
        <v>581</v>
      </c>
      <c r="G307" s="103" t="s">
        <v>582</v>
      </c>
      <c r="H307" s="103" t="s">
        <v>583</v>
      </c>
    </row>
    <row r="308" spans="1:10">
      <c r="B308" s="173" t="s">
        <v>2823</v>
      </c>
      <c r="C308" s="229" t="str">
        <f>'6 - COTAÇÃO MERCADO'!C140</f>
        <v>FECHADURA EM INOX LIXADO PARA PORTA DE BANHEIRO REF. ARCHITECT INOX 892, LA FONTE OU EQUIVALENTE</v>
      </c>
      <c r="D308" s="130" t="s">
        <v>3280</v>
      </c>
      <c r="E308" s="130" t="str">
        <f>'6 - COTAÇÃO MERCADO'!E140</f>
        <v>UN</v>
      </c>
      <c r="F308" s="230">
        <v>1</v>
      </c>
      <c r="G308" s="227">
        <f>'6 - COTAÇÃO MERCADO'!D140</f>
        <v>239.9</v>
      </c>
      <c r="H308" s="160">
        <f>ROUND(ROUND(F308,8)*G308,2)</f>
        <v>239.9</v>
      </c>
    </row>
    <row r="309" spans="1:10">
      <c r="B309" s="222"/>
      <c r="C309" s="222"/>
      <c r="D309" s="222"/>
      <c r="E309" s="222"/>
      <c r="F309" s="630" t="s">
        <v>604</v>
      </c>
      <c r="G309" s="630"/>
      <c r="H309" s="102">
        <f>H308</f>
        <v>239.9</v>
      </c>
    </row>
    <row r="310" spans="1:10">
      <c r="A310" s="161"/>
      <c r="B310" s="628" t="s">
        <v>607</v>
      </c>
      <c r="C310" s="628"/>
      <c r="D310" s="103" t="s">
        <v>579</v>
      </c>
      <c r="E310" s="103" t="s">
        <v>580</v>
      </c>
      <c r="F310" s="103" t="s">
        <v>581</v>
      </c>
      <c r="G310" s="103" t="s">
        <v>582</v>
      </c>
      <c r="H310" s="103" t="s">
        <v>583</v>
      </c>
    </row>
    <row r="311" spans="1:10">
      <c r="B311" s="159">
        <v>88261</v>
      </c>
      <c r="C311" s="221" t="s">
        <v>1504</v>
      </c>
      <c r="D311" s="159" t="s">
        <v>119</v>
      </c>
      <c r="E311" s="159" t="s">
        <v>121</v>
      </c>
      <c r="F311" s="174">
        <v>0.76700000000000002</v>
      </c>
      <c r="G311" s="160">
        <v>29.67</v>
      </c>
      <c r="H311" s="160">
        <f>ROUND(ROUND(F311,8)*G311,2)</f>
        <v>22.76</v>
      </c>
    </row>
    <row r="312" spans="1:10">
      <c r="B312" s="159">
        <v>88316</v>
      </c>
      <c r="C312" s="221" t="s">
        <v>626</v>
      </c>
      <c r="D312" s="159" t="s">
        <v>119</v>
      </c>
      <c r="E312" s="159" t="s">
        <v>121</v>
      </c>
      <c r="F312" s="174">
        <v>0.38400000000000001</v>
      </c>
      <c r="G312" s="160">
        <v>23.75</v>
      </c>
      <c r="H312" s="160">
        <f>ROUND(ROUND(F312,8)*G312,2)</f>
        <v>9.1199999999999992</v>
      </c>
    </row>
    <row r="313" spans="1:10">
      <c r="B313" s="225"/>
      <c r="C313" s="223"/>
      <c r="D313" s="225"/>
      <c r="E313" s="225"/>
      <c r="F313" s="630" t="s">
        <v>585</v>
      </c>
      <c r="G313" s="630"/>
      <c r="H313" s="102">
        <f>H312+H311</f>
        <v>31.880000000000003</v>
      </c>
    </row>
    <row r="314" spans="1:10">
      <c r="B314" s="222"/>
      <c r="C314" s="222"/>
      <c r="D314" s="222"/>
      <c r="E314" s="222"/>
      <c r="F314" s="630" t="s">
        <v>464</v>
      </c>
      <c r="G314" s="630"/>
      <c r="H314" s="102">
        <f>H309+H313</f>
        <v>271.78000000000003</v>
      </c>
    </row>
    <row r="315" spans="1:10">
      <c r="B315" s="222"/>
      <c r="C315" s="222"/>
      <c r="D315" s="222"/>
      <c r="E315" s="222"/>
      <c r="F315" s="111"/>
      <c r="G315" s="111"/>
      <c r="H315" s="228"/>
    </row>
    <row r="316" spans="1:10">
      <c r="B316" s="245" t="s">
        <v>2796</v>
      </c>
      <c r="C316" s="222"/>
      <c r="D316" s="222"/>
      <c r="E316" s="222"/>
      <c r="F316" s="111"/>
      <c r="G316" s="111"/>
      <c r="H316" s="228"/>
    </row>
    <row r="317" spans="1:10">
      <c r="B317" s="222"/>
      <c r="C317" s="222"/>
      <c r="D317" s="222"/>
      <c r="E317" s="222"/>
      <c r="F317" s="111"/>
      <c r="G317" s="111"/>
      <c r="H317" s="228"/>
    </row>
    <row r="318" spans="1:10">
      <c r="A318" s="246" t="str">
        <f>'[13]3 - PLAN. ORÇAMENTÁRIA'!A190</f>
        <v>4.1.2.1.12</v>
      </c>
      <c r="B318" s="178" t="str">
        <f>'[13]3 - PLAN. ORÇAMENTÁRIA'!B190</f>
        <v>CCU 050</v>
      </c>
      <c r="C318" s="631" t="str">
        <f>'[13]3 - PLAN. ORÇAMENTÁRIA'!C190</f>
        <v>FECHADURA EM INOX LIXADO PARA PORTA INTERNA REF. ARCHITECT INOX 892, LA FONTE OU EQUIVALENTE - FORNECIMENTO E INSTALAÇÃO. REF. 91306/SINAPI</v>
      </c>
      <c r="D318" s="632"/>
      <c r="E318" s="632"/>
      <c r="F318" s="632"/>
      <c r="G318" s="633"/>
      <c r="H318" s="282" t="str">
        <f>'[13]3 - PLAN. ORÇAMENTÁRIA'!E190</f>
        <v>UN</v>
      </c>
    </row>
    <row r="319" spans="1:10">
      <c r="B319" s="628" t="s">
        <v>593</v>
      </c>
      <c r="C319" s="628"/>
      <c r="D319" s="103" t="s">
        <v>579</v>
      </c>
      <c r="E319" s="103" t="s">
        <v>580</v>
      </c>
      <c r="F319" s="103" t="s">
        <v>581</v>
      </c>
      <c r="G319" s="103" t="s">
        <v>582</v>
      </c>
      <c r="H319" s="103" t="s">
        <v>583</v>
      </c>
    </row>
    <row r="320" spans="1:10">
      <c r="B320" s="159" t="s">
        <v>2836</v>
      </c>
      <c r="C320" s="229" t="str">
        <f>'6 - COTAÇÃO MERCADO'!C148</f>
        <v>FECHADURA EM INOX LIXADO PARA PORTA INTERNA REF. ARCHITECT INOX 892, LA FONTE OU EQUIVALENTE</v>
      </c>
      <c r="D320" s="130" t="s">
        <v>3280</v>
      </c>
      <c r="E320" s="130" t="str">
        <f>'6 - COTAÇÃO MERCADO'!E148</f>
        <v>UN</v>
      </c>
      <c r="F320" s="230">
        <v>1</v>
      </c>
      <c r="G320" s="281">
        <f>'6 - COTAÇÃO MERCADO'!D148</f>
        <v>261.32</v>
      </c>
      <c r="H320" s="160">
        <f>ROUND(ROUND(F320,8)*G320,2)</f>
        <v>261.32</v>
      </c>
    </row>
    <row r="321" spans="1:10">
      <c r="B321" s="222"/>
      <c r="C321" s="222"/>
      <c r="D321" s="222"/>
      <c r="E321" s="222"/>
      <c r="F321" s="630" t="s">
        <v>604</v>
      </c>
      <c r="G321" s="630"/>
      <c r="H321" s="102">
        <f>H320</f>
        <v>261.32</v>
      </c>
    </row>
    <row r="322" spans="1:10">
      <c r="A322" s="161"/>
      <c r="B322" s="628" t="s">
        <v>607</v>
      </c>
      <c r="C322" s="628"/>
      <c r="D322" s="103" t="s">
        <v>579</v>
      </c>
      <c r="E322" s="103" t="s">
        <v>580</v>
      </c>
      <c r="F322" s="103" t="s">
        <v>581</v>
      </c>
      <c r="G322" s="103" t="s">
        <v>582</v>
      </c>
      <c r="H322" s="103" t="s">
        <v>583</v>
      </c>
    </row>
    <row r="323" spans="1:10">
      <c r="B323" s="159">
        <v>88261</v>
      </c>
      <c r="C323" s="221" t="s">
        <v>1504</v>
      </c>
      <c r="D323" s="159" t="s">
        <v>119</v>
      </c>
      <c r="E323" s="159" t="s">
        <v>121</v>
      </c>
      <c r="F323" s="174">
        <v>0.76700000000000002</v>
      </c>
      <c r="G323" s="160">
        <v>29.67</v>
      </c>
      <c r="H323" s="160">
        <f>ROUND(ROUND(F323,8)*G323,2)</f>
        <v>22.76</v>
      </c>
    </row>
    <row r="324" spans="1:10">
      <c r="B324" s="159">
        <v>88316</v>
      </c>
      <c r="C324" s="221" t="s">
        <v>626</v>
      </c>
      <c r="D324" s="159" t="s">
        <v>119</v>
      </c>
      <c r="E324" s="159" t="s">
        <v>121</v>
      </c>
      <c r="F324" s="174">
        <v>0.38400000000000001</v>
      </c>
      <c r="G324" s="160">
        <v>23.75</v>
      </c>
      <c r="H324" s="160">
        <f>ROUND(ROUND(F324,8)*G324,2)</f>
        <v>9.1199999999999992</v>
      </c>
    </row>
    <row r="325" spans="1:10">
      <c r="B325" s="279"/>
      <c r="C325" s="223"/>
      <c r="D325" s="279"/>
      <c r="E325" s="279"/>
      <c r="F325" s="630" t="s">
        <v>585</v>
      </c>
      <c r="G325" s="630"/>
      <c r="H325" s="102">
        <f>H324+H323</f>
        <v>31.880000000000003</v>
      </c>
    </row>
    <row r="326" spans="1:10">
      <c r="B326" s="222"/>
      <c r="C326" s="222"/>
      <c r="D326" s="222"/>
      <c r="E326" s="222"/>
      <c r="F326" s="630" t="s">
        <v>464</v>
      </c>
      <c r="G326" s="630"/>
      <c r="H326" s="102">
        <f>H321+H325</f>
        <v>293.2</v>
      </c>
    </row>
    <row r="327" spans="1:10">
      <c r="B327" s="222"/>
      <c r="C327" s="222"/>
      <c r="D327" s="222"/>
      <c r="E327" s="222"/>
      <c r="F327" s="280"/>
      <c r="G327" s="280"/>
      <c r="H327" s="283"/>
    </row>
    <row r="328" spans="1:10">
      <c r="B328" s="245" t="s">
        <v>2796</v>
      </c>
      <c r="C328" s="222"/>
      <c r="D328" s="222"/>
      <c r="E328" s="222"/>
      <c r="F328" s="280"/>
      <c r="G328" s="280"/>
      <c r="H328" s="283"/>
    </row>
    <row r="329" spans="1:10">
      <c r="B329" s="222"/>
      <c r="C329" s="222"/>
      <c r="D329" s="222"/>
      <c r="E329" s="222"/>
      <c r="F329" s="280"/>
      <c r="G329" s="280"/>
      <c r="H329" s="283"/>
    </row>
    <row r="330" spans="1:10">
      <c r="A330" s="246" t="str">
        <f>'3 - PLAN. ORÇAMENTÁRIA'!A524</f>
        <v>6.1.1.7</v>
      </c>
      <c r="B330" s="178" t="str">
        <f>'3 - PLAN. ORÇAMENTÁRIA'!B524</f>
        <v>CCU 055</v>
      </c>
      <c r="C330" s="631" t="str">
        <f>'3 - PLAN. ORÇAMENTÁRIA'!C524</f>
        <v>ELETROCALHA PERFURADA GALVANIZADA A FOGO, 300X100 MM, COM ACESSÓRIOS REF. 97243/SINAPI</v>
      </c>
      <c r="D330" s="632"/>
      <c r="E330" s="632"/>
      <c r="F330" s="632"/>
      <c r="G330" s="633"/>
      <c r="H330" s="131" t="s">
        <v>173</v>
      </c>
      <c r="J330" s="220" t="str">
        <f>B344</f>
        <v>Obs: Foi adotado o item 97243 do SINAPI como base por similaridade ao que pede em projeto e alterado apenas o material pelo do item 38.22.150 do SP Obras</v>
      </c>
    </row>
    <row r="331" spans="1:10">
      <c r="B331" s="628" t="s">
        <v>593</v>
      </c>
      <c r="C331" s="628"/>
      <c r="D331" s="103" t="s">
        <v>579</v>
      </c>
      <c r="E331" s="103" t="s">
        <v>580</v>
      </c>
      <c r="F331" s="103" t="s">
        <v>581</v>
      </c>
      <c r="G331" s="103" t="s">
        <v>582</v>
      </c>
      <c r="H331" s="103" t="s">
        <v>583</v>
      </c>
    </row>
    <row r="332" spans="1:10">
      <c r="B332" s="159" t="s">
        <v>678</v>
      </c>
      <c r="C332" s="221" t="s">
        <v>679</v>
      </c>
      <c r="D332" s="159" t="s">
        <v>592</v>
      </c>
      <c r="E332" s="159" t="s">
        <v>173</v>
      </c>
      <c r="F332" s="174">
        <v>0.93600000000000005</v>
      </c>
      <c r="G332" s="160">
        <v>104.99</v>
      </c>
      <c r="H332" s="160">
        <f>ROUND(ROUND(F332,8)*G332,2)</f>
        <v>98.27</v>
      </c>
    </row>
    <row r="333" spans="1:10">
      <c r="B333" s="222"/>
      <c r="C333" s="222"/>
      <c r="D333" s="222"/>
      <c r="E333" s="222"/>
      <c r="F333" s="630" t="s">
        <v>604</v>
      </c>
      <c r="G333" s="630"/>
      <c r="H333" s="102">
        <f>H332</f>
        <v>98.27</v>
      </c>
    </row>
    <row r="334" spans="1:10" ht="12.75" customHeight="1">
      <c r="B334" s="641" t="s">
        <v>607</v>
      </c>
      <c r="C334" s="642"/>
      <c r="D334" s="103" t="s">
        <v>579</v>
      </c>
      <c r="E334" s="103" t="s">
        <v>580</v>
      </c>
      <c r="F334" s="103" t="s">
        <v>581</v>
      </c>
      <c r="G334" s="103" t="s">
        <v>582</v>
      </c>
      <c r="H334" s="103" t="s">
        <v>583</v>
      </c>
    </row>
    <row r="335" spans="1:10">
      <c r="B335" s="159">
        <v>88247</v>
      </c>
      <c r="C335" s="221" t="s">
        <v>608</v>
      </c>
      <c r="D335" s="159" t="s">
        <v>119</v>
      </c>
      <c r="E335" s="159" t="s">
        <v>121</v>
      </c>
      <c r="F335" s="174">
        <v>0.17560000000000001</v>
      </c>
      <c r="G335" s="160">
        <v>25</v>
      </c>
      <c r="H335" s="160">
        <f>ROUND(ROUND(F335,8)*G335,2)</f>
        <v>4.3899999999999997</v>
      </c>
    </row>
    <row r="336" spans="1:10">
      <c r="B336" s="159">
        <v>88264</v>
      </c>
      <c r="C336" s="221" t="s">
        <v>609</v>
      </c>
      <c r="D336" s="159" t="s">
        <v>119</v>
      </c>
      <c r="E336" s="159" t="s">
        <v>121</v>
      </c>
      <c r="F336" s="174">
        <v>0.17560000000000001</v>
      </c>
      <c r="G336" s="160">
        <v>31.72</v>
      </c>
      <c r="H336" s="160">
        <f>ROUND(ROUND(F336,8)*G336,2)</f>
        <v>5.57</v>
      </c>
    </row>
    <row r="337" spans="1:10" ht="12.75" customHeight="1">
      <c r="B337" s="222"/>
      <c r="C337" s="222"/>
      <c r="D337" s="222"/>
      <c r="E337" s="222"/>
      <c r="F337" s="630" t="s">
        <v>585</v>
      </c>
      <c r="G337" s="630"/>
      <c r="H337" s="102">
        <f>H335+H336</f>
        <v>9.9600000000000009</v>
      </c>
    </row>
    <row r="338" spans="1:10" ht="12.75" customHeight="1">
      <c r="B338" s="628" t="s">
        <v>586</v>
      </c>
      <c r="C338" s="628"/>
      <c r="D338" s="103" t="s">
        <v>579</v>
      </c>
      <c r="E338" s="103" t="s">
        <v>580</v>
      </c>
      <c r="F338" s="103" t="s">
        <v>581</v>
      </c>
      <c r="G338" s="103" t="s">
        <v>582</v>
      </c>
      <c r="H338" s="103" t="s">
        <v>583</v>
      </c>
    </row>
    <row r="339" spans="1:10" ht="12.75" customHeight="1">
      <c r="B339" s="159" t="s">
        <v>2522</v>
      </c>
      <c r="C339" s="221" t="s">
        <v>2524</v>
      </c>
      <c r="D339" s="159" t="s">
        <v>158</v>
      </c>
      <c r="E339" s="159" t="s">
        <v>1048</v>
      </c>
      <c r="F339" s="174">
        <v>0.33300000000000002</v>
      </c>
      <c r="G339" s="160">
        <v>20.72</v>
      </c>
      <c r="H339" s="160">
        <f>ROUND(ROUND(F339,8)*G339,2)</f>
        <v>6.9</v>
      </c>
    </row>
    <row r="340" spans="1:10" ht="12.75" customHeight="1">
      <c r="B340" s="159">
        <v>96562</v>
      </c>
      <c r="C340" s="221" t="s">
        <v>2523</v>
      </c>
      <c r="D340" s="159" t="s">
        <v>119</v>
      </c>
      <c r="E340" s="159" t="s">
        <v>173</v>
      </c>
      <c r="F340" s="174">
        <v>1</v>
      </c>
      <c r="G340" s="160">
        <v>53.39</v>
      </c>
      <c r="H340" s="160">
        <f>ROUND(ROUND(F340,8)*G340,2)</f>
        <v>53.39</v>
      </c>
    </row>
    <row r="341" spans="1:10" ht="12.75" customHeight="1">
      <c r="B341" s="222"/>
      <c r="C341" s="222"/>
      <c r="D341" s="222"/>
      <c r="E341" s="222"/>
      <c r="F341" s="630" t="s">
        <v>587</v>
      </c>
      <c r="G341" s="630"/>
      <c r="H341" s="102">
        <f>H339+H340</f>
        <v>60.29</v>
      </c>
    </row>
    <row r="342" spans="1:10">
      <c r="B342" s="222"/>
      <c r="C342" s="222"/>
      <c r="D342" s="222"/>
      <c r="E342" s="222"/>
      <c r="F342" s="630" t="s">
        <v>464</v>
      </c>
      <c r="G342" s="630"/>
      <c r="H342" s="102">
        <f>H341+H337+H333</f>
        <v>168.51999999999998</v>
      </c>
    </row>
    <row r="343" spans="1:10">
      <c r="B343" s="222"/>
      <c r="C343" s="222"/>
      <c r="D343" s="222"/>
      <c r="E343" s="222"/>
      <c r="F343" s="111"/>
      <c r="G343" s="111"/>
      <c r="H343" s="228"/>
    </row>
    <row r="344" spans="1:10">
      <c r="B344" s="245" t="s">
        <v>2552</v>
      </c>
    </row>
    <row r="345" spans="1:10">
      <c r="B345" s="222"/>
      <c r="C345" s="222"/>
      <c r="D345" s="222"/>
      <c r="E345" s="222"/>
      <c r="F345" s="111"/>
      <c r="G345" s="111"/>
      <c r="H345" s="228"/>
    </row>
    <row r="346" spans="1:10">
      <c r="A346" s="246" t="str">
        <f>'3 - PLAN. ORÇAMENTÁRIA'!A527</f>
        <v>6.1.1.10</v>
      </c>
      <c r="B346" s="178" t="str">
        <f>'3 - PLAN. ORÇAMENTÁRIA'!B527</f>
        <v>CCU 060</v>
      </c>
      <c r="C346" s="631" t="str">
        <f>'3 - PLAN. ORÇAMENTÁRIA'!C527</f>
        <v>ELETRODUTO GALVANIZADO A QUENTE CONFORME NBR5598 - 1´ COM ACESSÓRIOS REF. 104407/SINAPI</v>
      </c>
      <c r="D346" s="632"/>
      <c r="E346" s="632"/>
      <c r="F346" s="632"/>
      <c r="G346" s="633"/>
      <c r="H346" s="131" t="s">
        <v>173</v>
      </c>
      <c r="J346" s="220" t="str">
        <f>B359</f>
        <v>Obs: Foi adotado o item 104407 do SINAPI como base por similaridade ao que pede em projeto e alterado apenas o material pelo do item 38.06.060 do SP Obras</v>
      </c>
    </row>
    <row r="347" spans="1:10">
      <c r="B347" s="628" t="s">
        <v>593</v>
      </c>
      <c r="C347" s="628"/>
      <c r="D347" s="103" t="s">
        <v>579</v>
      </c>
      <c r="E347" s="103" t="s">
        <v>580</v>
      </c>
      <c r="F347" s="103" t="s">
        <v>581</v>
      </c>
      <c r="G347" s="103" t="s">
        <v>582</v>
      </c>
      <c r="H347" s="103" t="s">
        <v>583</v>
      </c>
    </row>
    <row r="348" spans="1:10">
      <c r="B348" s="159" t="s">
        <v>684</v>
      </c>
      <c r="C348" s="221" t="s">
        <v>685</v>
      </c>
      <c r="D348" s="159" t="s">
        <v>592</v>
      </c>
      <c r="E348" s="159" t="s">
        <v>173</v>
      </c>
      <c r="F348" s="174">
        <v>1.05</v>
      </c>
      <c r="G348" s="160">
        <v>28.64</v>
      </c>
      <c r="H348" s="160">
        <f>ROUND(ROUND(F348,8)*G348,2)</f>
        <v>30.07</v>
      </c>
    </row>
    <row r="349" spans="1:10">
      <c r="B349" s="222"/>
      <c r="C349" s="222"/>
      <c r="D349" s="222"/>
      <c r="E349" s="222"/>
      <c r="F349" s="630" t="s">
        <v>604</v>
      </c>
      <c r="G349" s="630"/>
      <c r="H349" s="102">
        <f>H348</f>
        <v>30.07</v>
      </c>
    </row>
    <row r="350" spans="1:10">
      <c r="B350" s="641" t="s">
        <v>607</v>
      </c>
      <c r="C350" s="642"/>
      <c r="D350" s="103" t="s">
        <v>579</v>
      </c>
      <c r="E350" s="103" t="s">
        <v>580</v>
      </c>
      <c r="F350" s="103" t="s">
        <v>581</v>
      </c>
      <c r="G350" s="103" t="s">
        <v>582</v>
      </c>
      <c r="H350" s="103" t="s">
        <v>583</v>
      </c>
    </row>
    <row r="351" spans="1:10">
      <c r="B351" s="159">
        <v>88247</v>
      </c>
      <c r="C351" s="221" t="s">
        <v>608</v>
      </c>
      <c r="D351" s="159" t="s">
        <v>119</v>
      </c>
      <c r="E351" s="159" t="s">
        <v>121</v>
      </c>
      <c r="F351" s="174">
        <v>0.15720000000000001</v>
      </c>
      <c r="G351" s="160">
        <v>25</v>
      </c>
      <c r="H351" s="160">
        <f>ROUND(ROUND(F351,8)*G351,2)</f>
        <v>3.93</v>
      </c>
    </row>
    <row r="352" spans="1:10">
      <c r="B352" s="159">
        <v>88264</v>
      </c>
      <c r="C352" s="221" t="s">
        <v>609</v>
      </c>
      <c r="D352" s="159" t="s">
        <v>119</v>
      </c>
      <c r="E352" s="159" t="s">
        <v>121</v>
      </c>
      <c r="F352" s="174">
        <v>0.15720000000000001</v>
      </c>
      <c r="G352" s="160">
        <v>31.72</v>
      </c>
      <c r="H352" s="160">
        <f>ROUND(ROUND(F352,8)*G352,2)</f>
        <v>4.99</v>
      </c>
    </row>
    <row r="353" spans="1:10">
      <c r="B353" s="222"/>
      <c r="C353" s="222"/>
      <c r="D353" s="222"/>
      <c r="E353" s="222"/>
      <c r="F353" s="630" t="s">
        <v>585</v>
      </c>
      <c r="G353" s="630"/>
      <c r="H353" s="102">
        <f>H351+H352</f>
        <v>8.92</v>
      </c>
    </row>
    <row r="354" spans="1:10">
      <c r="B354" s="628" t="s">
        <v>586</v>
      </c>
      <c r="C354" s="628"/>
      <c r="D354" s="103" t="s">
        <v>579</v>
      </c>
      <c r="E354" s="103" t="s">
        <v>580</v>
      </c>
      <c r="F354" s="103" t="s">
        <v>581</v>
      </c>
      <c r="G354" s="103" t="s">
        <v>582</v>
      </c>
      <c r="H354" s="103" t="s">
        <v>583</v>
      </c>
    </row>
    <row r="355" spans="1:10" ht="38.25">
      <c r="B355" s="159">
        <v>91170</v>
      </c>
      <c r="C355" s="221" t="s">
        <v>2526</v>
      </c>
      <c r="D355" s="159" t="s">
        <v>119</v>
      </c>
      <c r="E355" s="159" t="s">
        <v>173</v>
      </c>
      <c r="F355" s="174">
        <v>1</v>
      </c>
      <c r="G355" s="160">
        <v>10.81</v>
      </c>
      <c r="H355" s="160">
        <f>ROUND(ROUND(F355,8)*G355,2)</f>
        <v>10.81</v>
      </c>
    </row>
    <row r="356" spans="1:10">
      <c r="B356" s="222"/>
      <c r="C356" s="222"/>
      <c r="D356" s="222"/>
      <c r="E356" s="222"/>
      <c r="F356" s="630" t="s">
        <v>587</v>
      </c>
      <c r="G356" s="630"/>
      <c r="H356" s="102">
        <f>H355</f>
        <v>10.81</v>
      </c>
    </row>
    <row r="357" spans="1:10">
      <c r="B357" s="222"/>
      <c r="C357" s="222"/>
      <c r="D357" s="222"/>
      <c r="E357" s="222"/>
      <c r="F357" s="630" t="s">
        <v>464</v>
      </c>
      <c r="G357" s="630"/>
      <c r="H357" s="102">
        <f>H356+H353+H349</f>
        <v>49.8</v>
      </c>
    </row>
    <row r="358" spans="1:10">
      <c r="B358" s="222"/>
      <c r="C358" s="222"/>
      <c r="D358" s="222"/>
      <c r="E358" s="222"/>
      <c r="F358" s="111"/>
      <c r="G358" s="111"/>
      <c r="H358" s="228"/>
    </row>
    <row r="359" spans="1:10">
      <c r="B359" s="245" t="s">
        <v>2553</v>
      </c>
    </row>
    <row r="360" spans="1:10">
      <c r="B360" s="222"/>
      <c r="C360" s="222"/>
      <c r="D360" s="222"/>
      <c r="E360" s="222"/>
      <c r="F360" s="111"/>
      <c r="G360" s="111"/>
      <c r="H360" s="228"/>
    </row>
    <row r="361" spans="1:10">
      <c r="A361" s="246" t="str">
        <f>'3 - PLAN. ORÇAMENTÁRIA'!A634</f>
        <v>6.4.1.12</v>
      </c>
      <c r="B361" s="178" t="str">
        <f>'3 - PLAN. ORÇAMENTÁRIA'!B634</f>
        <v>CCU 086</v>
      </c>
      <c r="C361" s="631" t="str">
        <f>'3 - PLAN. ORÇAMENTÁRIA'!C634</f>
        <v>ELETROCALHA LISA OU PERFURADA EM AÇO GALVANIZADO, LARGURA 200MM E ALTURA 50MM, INCLUSIVE EMENDA E FIXAÇÃO - FORNECIMENTO E INSTALAÇÃO. AF_04/2023 REF. 97243/SINAPI</v>
      </c>
      <c r="D361" s="632"/>
      <c r="E361" s="632"/>
      <c r="F361" s="632"/>
      <c r="G361" s="633"/>
      <c r="H361" s="131" t="s">
        <v>173</v>
      </c>
      <c r="J361" s="220" t="str">
        <f>B375</f>
        <v>Obs: Foi adotado o item 97238 do SINAPI como base por similaridade ao que pede em projeto e alterado apenas o material pelo do item 38.21.920 do SP Obras</v>
      </c>
    </row>
    <row r="362" spans="1:10">
      <c r="B362" s="628" t="s">
        <v>593</v>
      </c>
      <c r="C362" s="628"/>
      <c r="D362" s="103" t="s">
        <v>579</v>
      </c>
      <c r="E362" s="103" t="s">
        <v>580</v>
      </c>
      <c r="F362" s="103" t="s">
        <v>581</v>
      </c>
      <c r="G362" s="103" t="s">
        <v>582</v>
      </c>
      <c r="H362" s="103" t="s">
        <v>583</v>
      </c>
    </row>
    <row r="363" spans="1:10">
      <c r="B363" s="130" t="s">
        <v>2983</v>
      </c>
      <c r="C363" s="229" t="s">
        <v>2984</v>
      </c>
      <c r="D363" s="130" t="s">
        <v>592</v>
      </c>
      <c r="E363" s="130" t="s">
        <v>173</v>
      </c>
      <c r="F363" s="230">
        <v>0.93600000000000005</v>
      </c>
      <c r="G363" s="311">
        <v>88</v>
      </c>
      <c r="H363" s="160">
        <f>ROUND(ROUND(F363,8)*G363,2)</f>
        <v>82.37</v>
      </c>
    </row>
    <row r="364" spans="1:10">
      <c r="B364" s="222"/>
      <c r="C364" s="222"/>
      <c r="D364" s="222"/>
      <c r="E364" s="222"/>
      <c r="F364" s="630" t="s">
        <v>604</v>
      </c>
      <c r="G364" s="630"/>
      <c r="H364" s="102">
        <f>H363</f>
        <v>82.37</v>
      </c>
    </row>
    <row r="365" spans="1:10">
      <c r="B365" s="641" t="s">
        <v>607</v>
      </c>
      <c r="C365" s="642"/>
      <c r="D365" s="103" t="s">
        <v>579</v>
      </c>
      <c r="E365" s="103" t="s">
        <v>580</v>
      </c>
      <c r="F365" s="103" t="s">
        <v>581</v>
      </c>
      <c r="G365" s="103" t="s">
        <v>582</v>
      </c>
      <c r="H365" s="103" t="s">
        <v>583</v>
      </c>
    </row>
    <row r="366" spans="1:10">
      <c r="B366" s="159">
        <v>88247</v>
      </c>
      <c r="C366" s="221" t="s">
        <v>608</v>
      </c>
      <c r="D366" s="159" t="s">
        <v>119</v>
      </c>
      <c r="E366" s="159" t="s">
        <v>121</v>
      </c>
      <c r="F366" s="174">
        <v>0.17560000000000001</v>
      </c>
      <c r="G366" s="160">
        <v>25</v>
      </c>
      <c r="H366" s="160">
        <f>ROUND(ROUND(F366,8)*G366,2)</f>
        <v>4.3899999999999997</v>
      </c>
    </row>
    <row r="367" spans="1:10">
      <c r="B367" s="159">
        <v>88264</v>
      </c>
      <c r="C367" s="221" t="s">
        <v>609</v>
      </c>
      <c r="D367" s="159" t="s">
        <v>119</v>
      </c>
      <c r="E367" s="159" t="s">
        <v>121</v>
      </c>
      <c r="F367" s="174">
        <v>0.17560000000000001</v>
      </c>
      <c r="G367" s="160">
        <v>31.72</v>
      </c>
      <c r="H367" s="160">
        <f>ROUND(ROUND(F367,8)*G367,2)</f>
        <v>5.57</v>
      </c>
    </row>
    <row r="368" spans="1:10">
      <c r="B368" s="222"/>
      <c r="C368" s="222"/>
      <c r="D368" s="222"/>
      <c r="E368" s="222"/>
      <c r="F368" s="630" t="s">
        <v>585</v>
      </c>
      <c r="G368" s="630"/>
      <c r="H368" s="102">
        <f>H366+H367</f>
        <v>9.9600000000000009</v>
      </c>
    </row>
    <row r="369" spans="1:10">
      <c r="B369" s="628" t="s">
        <v>586</v>
      </c>
      <c r="C369" s="628"/>
      <c r="D369" s="103" t="s">
        <v>579</v>
      </c>
      <c r="E369" s="103" t="s">
        <v>580</v>
      </c>
      <c r="F369" s="103" t="s">
        <v>581</v>
      </c>
      <c r="G369" s="103" t="s">
        <v>582</v>
      </c>
      <c r="H369" s="103" t="s">
        <v>583</v>
      </c>
    </row>
    <row r="370" spans="1:10">
      <c r="B370" s="159" t="s">
        <v>2985</v>
      </c>
      <c r="C370" s="221" t="s">
        <v>2986</v>
      </c>
      <c r="D370" s="159" t="s">
        <v>158</v>
      </c>
      <c r="E370" s="159" t="s">
        <v>1048</v>
      </c>
      <c r="F370" s="174">
        <v>0.33300000000000002</v>
      </c>
      <c r="G370" s="160">
        <v>18.22</v>
      </c>
      <c r="H370" s="160">
        <f>ROUND(ROUND(F370,8)*G370,2)</f>
        <v>6.07</v>
      </c>
    </row>
    <row r="371" spans="1:10" ht="25.5">
      <c r="B371" s="159">
        <v>96562</v>
      </c>
      <c r="C371" s="221" t="s">
        <v>2523</v>
      </c>
      <c r="D371" s="159" t="s">
        <v>119</v>
      </c>
      <c r="E371" s="159" t="s">
        <v>173</v>
      </c>
      <c r="F371" s="174">
        <v>1</v>
      </c>
      <c r="G371" s="160">
        <v>53.39</v>
      </c>
      <c r="H371" s="160">
        <f>ROUND(ROUND(F371,8)*G371,2)</f>
        <v>53.39</v>
      </c>
    </row>
    <row r="372" spans="1:10">
      <c r="B372" s="222"/>
      <c r="C372" s="222"/>
      <c r="D372" s="222"/>
      <c r="E372" s="222"/>
      <c r="F372" s="630" t="s">
        <v>587</v>
      </c>
      <c r="G372" s="630"/>
      <c r="H372" s="102">
        <f>H370+H371</f>
        <v>59.46</v>
      </c>
    </row>
    <row r="373" spans="1:10">
      <c r="B373" s="222"/>
      <c r="C373" s="222"/>
      <c r="D373" s="222"/>
      <c r="E373" s="222"/>
      <c r="F373" s="630" t="s">
        <v>464</v>
      </c>
      <c r="G373" s="630"/>
      <c r="H373" s="102">
        <f>H372+H368+H364</f>
        <v>151.79000000000002</v>
      </c>
    </row>
    <row r="375" spans="1:10">
      <c r="B375" s="245" t="s">
        <v>2554</v>
      </c>
    </row>
    <row r="376" spans="1:10">
      <c r="B376" s="222"/>
      <c r="C376" s="222"/>
      <c r="D376" s="222"/>
      <c r="E376" s="222"/>
      <c r="F376" s="111"/>
      <c r="G376" s="111"/>
      <c r="H376" s="228"/>
    </row>
    <row r="377" spans="1:10">
      <c r="A377" s="246" t="str">
        <f>'3 - PLAN. ORÇAMENTÁRIA'!A638</f>
        <v>6.4.2.1</v>
      </c>
      <c r="B377" s="178" t="str">
        <f>'3 - PLAN. ORÇAMENTÁRIA'!B638</f>
        <v>CCU 180</v>
      </c>
      <c r="C377" s="631" t="str">
        <f>'3 - PLAN. ORÇAMENTÁRIA'!C638</f>
        <v>TOMADA RJ-45 - CATEGORIA 6A (PLACA, MÓDULO E CONECTOR) REF. 98307/SINAPI</v>
      </c>
      <c r="D377" s="632"/>
      <c r="E377" s="632"/>
      <c r="F377" s="632"/>
      <c r="G377" s="633"/>
      <c r="H377" s="131" t="s">
        <v>144</v>
      </c>
      <c r="J377" s="220" t="str">
        <f>B391</f>
        <v>Obs: Foi adotado o item 98307 do SINAPI como base e para atender o que está em projeto, foi substituído o material pelo do item 69.03.360 do SP Obras e acrescentados os Serviços S12802 da fonte ORSE e 38.10.090 do SP Obras.</v>
      </c>
    </row>
    <row r="378" spans="1:10">
      <c r="B378" s="628" t="s">
        <v>586</v>
      </c>
      <c r="C378" s="628"/>
      <c r="D378" s="103" t="s">
        <v>579</v>
      </c>
      <c r="E378" s="103" t="s">
        <v>580</v>
      </c>
      <c r="F378" s="103" t="s">
        <v>581</v>
      </c>
      <c r="G378" s="103" t="s">
        <v>582</v>
      </c>
      <c r="H378" s="103" t="s">
        <v>583</v>
      </c>
    </row>
    <row r="379" spans="1:10">
      <c r="B379" s="159" t="s">
        <v>2091</v>
      </c>
      <c r="C379" s="221" t="s">
        <v>2092</v>
      </c>
      <c r="D379" s="159" t="s">
        <v>158</v>
      </c>
      <c r="E379" s="159" t="s">
        <v>144</v>
      </c>
      <c r="F379" s="174">
        <v>1</v>
      </c>
      <c r="G379" s="160">
        <v>13.68</v>
      </c>
      <c r="H379" s="160">
        <f>ROUND(ROUND(F379,8)*G379,2)</f>
        <v>13.68</v>
      </c>
    </row>
    <row r="380" spans="1:10">
      <c r="B380" s="159" t="s">
        <v>2093</v>
      </c>
      <c r="C380" s="221" t="s">
        <v>2094</v>
      </c>
      <c r="D380" s="159" t="s">
        <v>592</v>
      </c>
      <c r="E380" s="159" t="s">
        <v>144</v>
      </c>
      <c r="F380" s="174">
        <v>1</v>
      </c>
      <c r="G380" s="160">
        <v>9.65</v>
      </c>
      <c r="H380" s="160">
        <f>ROUND(ROUND(F380,8)*G380,2)</f>
        <v>9.65</v>
      </c>
    </row>
    <row r="381" spans="1:10">
      <c r="B381" s="222"/>
      <c r="C381" s="222"/>
      <c r="D381" s="222"/>
      <c r="E381" s="222"/>
      <c r="F381" s="630" t="s">
        <v>589</v>
      </c>
      <c r="G381" s="630"/>
      <c r="H381" s="102">
        <f>SUM(H379:H380)</f>
        <v>23.33</v>
      </c>
    </row>
    <row r="382" spans="1:10">
      <c r="B382" s="628" t="s">
        <v>593</v>
      </c>
      <c r="C382" s="628"/>
      <c r="D382" s="103" t="s">
        <v>579</v>
      </c>
      <c r="E382" s="103" t="s">
        <v>580</v>
      </c>
      <c r="F382" s="103" t="s">
        <v>581</v>
      </c>
      <c r="G382" s="103" t="s">
        <v>582</v>
      </c>
      <c r="H382" s="103" t="s">
        <v>583</v>
      </c>
    </row>
    <row r="383" spans="1:10">
      <c r="B383" s="159" t="s">
        <v>2095</v>
      </c>
      <c r="C383" s="221" t="s">
        <v>2096</v>
      </c>
      <c r="D383" s="159" t="s">
        <v>592</v>
      </c>
      <c r="E383" s="159" t="s">
        <v>144</v>
      </c>
      <c r="F383" s="174">
        <v>1</v>
      </c>
      <c r="G383" s="160">
        <v>158.49</v>
      </c>
      <c r="H383" s="160">
        <f>ROUND(ROUND(F383,8)*G383,2)</f>
        <v>158.49</v>
      </c>
    </row>
    <row r="384" spans="1:10">
      <c r="B384" s="222"/>
      <c r="C384" s="222"/>
      <c r="D384" s="222"/>
      <c r="E384" s="222"/>
      <c r="F384" s="630" t="s">
        <v>604</v>
      </c>
      <c r="G384" s="630"/>
      <c r="H384" s="102">
        <f>H383</f>
        <v>158.49</v>
      </c>
    </row>
    <row r="385" spans="1:10">
      <c r="B385" s="641" t="s">
        <v>607</v>
      </c>
      <c r="C385" s="642"/>
      <c r="D385" s="103" t="s">
        <v>579</v>
      </c>
      <c r="E385" s="103" t="s">
        <v>580</v>
      </c>
      <c r="F385" s="103" t="s">
        <v>581</v>
      </c>
      <c r="G385" s="103" t="s">
        <v>582</v>
      </c>
      <c r="H385" s="103" t="s">
        <v>583</v>
      </c>
    </row>
    <row r="386" spans="1:10">
      <c r="B386" s="159">
        <v>88247</v>
      </c>
      <c r="C386" s="221" t="s">
        <v>608</v>
      </c>
      <c r="D386" s="159" t="s">
        <v>119</v>
      </c>
      <c r="E386" s="159" t="s">
        <v>121</v>
      </c>
      <c r="F386" s="174">
        <v>0.20619999999999999</v>
      </c>
      <c r="G386" s="160">
        <v>25</v>
      </c>
      <c r="H386" s="160">
        <f>ROUND(ROUND(F386,8)*G386,2)</f>
        <v>5.16</v>
      </c>
    </row>
    <row r="387" spans="1:10">
      <c r="B387" s="159">
        <v>88264</v>
      </c>
      <c r="C387" s="221" t="s">
        <v>609</v>
      </c>
      <c r="D387" s="159" t="s">
        <v>119</v>
      </c>
      <c r="E387" s="159" t="s">
        <v>121</v>
      </c>
      <c r="F387" s="174">
        <v>0.20619999999999999</v>
      </c>
      <c r="G387" s="160">
        <v>31.72</v>
      </c>
      <c r="H387" s="160">
        <f>ROUND(ROUND(F387,8)*G387,2)</f>
        <v>6.54</v>
      </c>
    </row>
    <row r="388" spans="1:10">
      <c r="B388" s="222"/>
      <c r="C388" s="222"/>
      <c r="D388" s="222"/>
      <c r="E388" s="222"/>
      <c r="F388" s="630" t="s">
        <v>585</v>
      </c>
      <c r="G388" s="630"/>
      <c r="H388" s="102">
        <f>SUM(H386:H387)</f>
        <v>11.7</v>
      </c>
    </row>
    <row r="389" spans="1:10">
      <c r="B389" s="222"/>
      <c r="C389" s="222"/>
      <c r="D389" s="222"/>
      <c r="E389" s="222"/>
      <c r="F389" s="630" t="s">
        <v>464</v>
      </c>
      <c r="G389" s="630"/>
      <c r="H389" s="102">
        <f>H388+H384+H381</f>
        <v>193.51999999999998</v>
      </c>
    </row>
    <row r="390" spans="1:10">
      <c r="B390" s="222"/>
      <c r="C390" s="222"/>
      <c r="D390" s="222"/>
      <c r="E390" s="222"/>
      <c r="F390" s="111"/>
      <c r="G390" s="111"/>
      <c r="H390" s="228"/>
    </row>
    <row r="391" spans="1:10">
      <c r="B391" s="245" t="s">
        <v>2555</v>
      </c>
    </row>
    <row r="392" spans="1:10">
      <c r="B392" s="222"/>
      <c r="C392" s="222"/>
      <c r="D392" s="222"/>
      <c r="E392" s="222"/>
      <c r="F392" s="111"/>
      <c r="G392" s="111"/>
      <c r="H392" s="228"/>
    </row>
    <row r="393" spans="1:10" ht="27" customHeight="1">
      <c r="A393" s="246" t="str">
        <f>'3 - PLAN. ORÇAMENTÁRIA'!A574</f>
        <v>6.1.4.12</v>
      </c>
      <c r="B393" s="178" t="str">
        <f>'3 - PLAN. ORÇAMENTÁRIA'!B574</f>
        <v>CCU 189</v>
      </c>
      <c r="C393" s="631" t="str">
        <f>'3 - PLAN. ORÇAMENTÁRIA'!C574</f>
        <v>LUMINÁRIA PÚBLICA LED RETANGULAR PARA POSTE, FLUXO LUMINOSO DE 14200 A 18000 LM, EFICIÊNCIA MÍNIMA DE 120 LM/W - POTÊNCIA DE 100 W/120 W (UN) REF. 101657/SINAPI</v>
      </c>
      <c r="D393" s="632"/>
      <c r="E393" s="632"/>
      <c r="F393" s="632"/>
      <c r="G393" s="633"/>
      <c r="H393" s="131" t="s">
        <v>1048</v>
      </c>
      <c r="J393" s="220" t="str">
        <f>B407</f>
        <v>Obs: Foi adotado o item 101657 do SINAPI como base por similaridade ao que pede em projeto e alterado apenas o material pelo do item 41.11.703 do SP Obras</v>
      </c>
    </row>
    <row r="394" spans="1:10">
      <c r="A394" s="163"/>
      <c r="B394" s="628" t="s">
        <v>1301</v>
      </c>
      <c r="C394" s="628"/>
      <c r="D394" s="103" t="s">
        <v>579</v>
      </c>
      <c r="E394" s="103" t="s">
        <v>580</v>
      </c>
      <c r="F394" s="103" t="s">
        <v>581</v>
      </c>
      <c r="G394" s="103" t="s">
        <v>582</v>
      </c>
      <c r="H394" s="103" t="s">
        <v>583</v>
      </c>
    </row>
    <row r="395" spans="1:10" ht="27" customHeight="1">
      <c r="A395" s="163"/>
      <c r="B395" s="159">
        <v>5928</v>
      </c>
      <c r="C395" s="229" t="s">
        <v>2532</v>
      </c>
      <c r="D395" s="159" t="s">
        <v>119</v>
      </c>
      <c r="E395" s="159" t="s">
        <v>1307</v>
      </c>
      <c r="F395" s="174">
        <v>0.23880000000000001</v>
      </c>
      <c r="G395" s="160">
        <v>276.11</v>
      </c>
      <c r="H395" s="160">
        <f>ROUND(ROUND(F395,8)*G395,2)</f>
        <v>65.94</v>
      </c>
    </row>
    <row r="396" spans="1:10">
      <c r="A396" s="163"/>
      <c r="B396" s="163"/>
      <c r="C396" s="243"/>
      <c r="D396" s="244"/>
      <c r="E396" s="244"/>
      <c r="F396" s="630" t="s">
        <v>1308</v>
      </c>
      <c r="G396" s="630"/>
      <c r="H396" s="102">
        <f>H395</f>
        <v>65.94</v>
      </c>
    </row>
    <row r="397" spans="1:10">
      <c r="B397" s="648" t="s">
        <v>593</v>
      </c>
      <c r="C397" s="648"/>
      <c r="D397" s="231" t="s">
        <v>579</v>
      </c>
      <c r="E397" s="231" t="s">
        <v>580</v>
      </c>
      <c r="F397" s="231" t="s">
        <v>581</v>
      </c>
      <c r="G397" s="231" t="s">
        <v>582</v>
      </c>
      <c r="H397" s="231" t="s">
        <v>583</v>
      </c>
    </row>
    <row r="398" spans="1:10">
      <c r="B398" s="234" t="s">
        <v>1737</v>
      </c>
      <c r="C398" s="235" t="s">
        <v>2324</v>
      </c>
      <c r="D398" s="236" t="s">
        <v>119</v>
      </c>
      <c r="E398" s="236" t="s">
        <v>580</v>
      </c>
      <c r="F398" s="237">
        <v>1.4E-2</v>
      </c>
      <c r="G398" s="238">
        <v>4.38</v>
      </c>
      <c r="H398" s="160">
        <f>ROUND(ROUND(F398,8)*G398,2)</f>
        <v>0.06</v>
      </c>
    </row>
    <row r="399" spans="1:10" ht="25.5">
      <c r="B399" s="159" t="s">
        <v>2190</v>
      </c>
      <c r="C399" s="221" t="s">
        <v>2191</v>
      </c>
      <c r="D399" s="159" t="s">
        <v>138</v>
      </c>
      <c r="E399" s="159" t="s">
        <v>580</v>
      </c>
      <c r="F399" s="174">
        <v>1</v>
      </c>
      <c r="G399" s="160">
        <v>581.01</v>
      </c>
      <c r="H399" s="160">
        <f>ROUND(ROUND(F399,8)*G399,2)</f>
        <v>581.01</v>
      </c>
    </row>
    <row r="400" spans="1:10">
      <c r="B400" s="225"/>
      <c r="C400" s="223"/>
      <c r="D400" s="225"/>
      <c r="E400" s="225"/>
      <c r="F400" s="630" t="s">
        <v>604</v>
      </c>
      <c r="G400" s="630"/>
      <c r="H400" s="102">
        <f>SUM(H398:H399)</f>
        <v>581.06999999999994</v>
      </c>
    </row>
    <row r="401" spans="1:10">
      <c r="B401" s="641" t="s">
        <v>607</v>
      </c>
      <c r="C401" s="642"/>
      <c r="D401" s="103" t="s">
        <v>579</v>
      </c>
      <c r="E401" s="103" t="s">
        <v>580</v>
      </c>
      <c r="F401" s="103" t="s">
        <v>581</v>
      </c>
      <c r="G401" s="103" t="s">
        <v>582</v>
      </c>
      <c r="H401" s="103" t="s">
        <v>583</v>
      </c>
    </row>
    <row r="402" spans="1:10">
      <c r="B402" s="159">
        <v>88247</v>
      </c>
      <c r="C402" s="221" t="s">
        <v>608</v>
      </c>
      <c r="D402" s="159" t="s">
        <v>119</v>
      </c>
      <c r="E402" s="159" t="s">
        <v>121</v>
      </c>
      <c r="F402" s="174">
        <v>0.23810000000000001</v>
      </c>
      <c r="G402" s="160">
        <v>25</v>
      </c>
      <c r="H402" s="160">
        <f>ROUND(ROUND(F402,8)*G402,2)</f>
        <v>5.95</v>
      </c>
    </row>
    <row r="403" spans="1:10">
      <c r="B403" s="159">
        <v>88264</v>
      </c>
      <c r="C403" s="221" t="s">
        <v>609</v>
      </c>
      <c r="D403" s="159" t="s">
        <v>119</v>
      </c>
      <c r="E403" s="159" t="s">
        <v>121</v>
      </c>
      <c r="F403" s="174">
        <v>0.23810000000000001</v>
      </c>
      <c r="G403" s="160">
        <v>31.72</v>
      </c>
      <c r="H403" s="160">
        <f>ROUND(ROUND(F403,8)*G403,2)</f>
        <v>7.55</v>
      </c>
    </row>
    <row r="404" spans="1:10">
      <c r="B404" s="222"/>
      <c r="C404" s="222"/>
      <c r="D404" s="222"/>
      <c r="E404" s="222"/>
      <c r="F404" s="630" t="s">
        <v>585</v>
      </c>
      <c r="G404" s="630"/>
      <c r="H404" s="158">
        <f>H402+H403</f>
        <v>13.5</v>
      </c>
    </row>
    <row r="405" spans="1:10">
      <c r="B405" s="222"/>
      <c r="C405" s="222"/>
      <c r="D405" s="222"/>
      <c r="E405" s="222"/>
      <c r="F405" s="645" t="s">
        <v>464</v>
      </c>
      <c r="G405" s="645"/>
      <c r="H405" s="158">
        <f>H404+H400+H396</f>
        <v>660.51</v>
      </c>
    </row>
    <row r="406" spans="1:10">
      <c r="B406" s="222"/>
      <c r="C406" s="222"/>
      <c r="D406" s="222"/>
      <c r="E406" s="222"/>
      <c r="F406" s="111"/>
      <c r="G406" s="111"/>
      <c r="H406" s="228"/>
    </row>
    <row r="407" spans="1:10">
      <c r="B407" s="245" t="s">
        <v>2556</v>
      </c>
    </row>
    <row r="408" spans="1:10">
      <c r="B408" s="222"/>
      <c r="C408" s="222"/>
      <c r="D408" s="222"/>
      <c r="E408" s="222"/>
      <c r="F408" s="111"/>
      <c r="G408" s="111"/>
      <c r="H408" s="228"/>
    </row>
    <row r="409" spans="1:10">
      <c r="A409" s="246" t="str">
        <f>'3 - PLAN. ORÇAMENTÁRIA'!A192</f>
        <v>4.1.2.2.1</v>
      </c>
      <c r="B409" s="178" t="str">
        <f>'3 - PLAN. ORÇAMENTÁRIA'!B192</f>
        <v>CCU 111</v>
      </c>
      <c r="C409" s="631" t="str">
        <f>'3 - PLAN. ORÇAMENTÁRIA'!C192</f>
        <v>SOLEIRA EM GRANITO BRANCO SIENA, POLIDO, L = 15 CM, E = 2 CM REF. 98689/SINAPI</v>
      </c>
      <c r="D409" s="632"/>
      <c r="E409" s="632"/>
      <c r="F409" s="632"/>
      <c r="G409" s="633"/>
      <c r="H409" s="131" t="s">
        <v>173</v>
      </c>
      <c r="J409" s="220" t="str">
        <f>B420</f>
        <v>Obs: Foi adotado o item 98689 do SINAPI como base por similaridade ao que pede em projeto e alterado apenas o material pelo do item S12445 do ORSE</v>
      </c>
    </row>
    <row r="410" spans="1:10">
      <c r="B410" s="628" t="s">
        <v>593</v>
      </c>
      <c r="C410" s="628"/>
      <c r="D410" s="103" t="s">
        <v>579</v>
      </c>
      <c r="E410" s="103" t="s">
        <v>580</v>
      </c>
      <c r="F410" s="103" t="s">
        <v>581</v>
      </c>
      <c r="G410" s="103" t="s">
        <v>582</v>
      </c>
      <c r="H410" s="103" t="s">
        <v>583</v>
      </c>
    </row>
    <row r="411" spans="1:10">
      <c r="B411" s="159" t="s">
        <v>657</v>
      </c>
      <c r="C411" s="221" t="s">
        <v>658</v>
      </c>
      <c r="D411" s="159" t="s">
        <v>158</v>
      </c>
      <c r="E411" s="159" t="s">
        <v>614</v>
      </c>
      <c r="F411" s="174">
        <v>1</v>
      </c>
      <c r="G411" s="160">
        <v>115.79</v>
      </c>
      <c r="H411" s="160">
        <f>ROUND(ROUND(F411,8)*G411,2)</f>
        <v>115.79</v>
      </c>
    </row>
    <row r="412" spans="1:10">
      <c r="B412" s="173" t="s">
        <v>1527</v>
      </c>
      <c r="C412" s="221" t="s">
        <v>1528</v>
      </c>
      <c r="D412" s="159" t="s">
        <v>119</v>
      </c>
      <c r="E412" s="159" t="s">
        <v>2541</v>
      </c>
      <c r="F412" s="174">
        <v>1.29</v>
      </c>
      <c r="G412" s="160">
        <v>2.09</v>
      </c>
      <c r="H412" s="160">
        <f>ROUND(ROUND(F412,8)*G412,2)</f>
        <v>2.7</v>
      </c>
    </row>
    <row r="413" spans="1:10">
      <c r="B413" s="222"/>
      <c r="C413" s="222"/>
      <c r="D413" s="222"/>
      <c r="E413" s="222"/>
      <c r="F413" s="630" t="s">
        <v>604</v>
      </c>
      <c r="G413" s="630"/>
      <c r="H413" s="102">
        <f>H411+H412</f>
        <v>118.49000000000001</v>
      </c>
    </row>
    <row r="414" spans="1:10">
      <c r="B414" s="641" t="s">
        <v>607</v>
      </c>
      <c r="C414" s="642"/>
      <c r="D414" s="103" t="s">
        <v>579</v>
      </c>
      <c r="E414" s="103" t="s">
        <v>580</v>
      </c>
      <c r="F414" s="103" t="s">
        <v>581</v>
      </c>
      <c r="G414" s="103" t="s">
        <v>582</v>
      </c>
      <c r="H414" s="103" t="s">
        <v>583</v>
      </c>
    </row>
    <row r="415" spans="1:10">
      <c r="B415" s="159">
        <v>88274</v>
      </c>
      <c r="C415" s="221" t="s">
        <v>2540</v>
      </c>
      <c r="D415" s="159" t="s">
        <v>119</v>
      </c>
      <c r="E415" s="159" t="s">
        <v>121</v>
      </c>
      <c r="F415" s="174">
        <v>0.54700000000000004</v>
      </c>
      <c r="G415" s="160">
        <v>31.2</v>
      </c>
      <c r="H415" s="160">
        <f>ROUND(ROUND(F415,8)*G415,2)</f>
        <v>17.07</v>
      </c>
    </row>
    <row r="416" spans="1:10">
      <c r="B416" s="159">
        <v>88316</v>
      </c>
      <c r="C416" s="221" t="s">
        <v>626</v>
      </c>
      <c r="D416" s="159" t="s">
        <v>119</v>
      </c>
      <c r="E416" s="159" t="s">
        <v>121</v>
      </c>
      <c r="F416" s="174">
        <v>0.27300000000000002</v>
      </c>
      <c r="G416" s="160">
        <v>23.75</v>
      </c>
      <c r="H416" s="160">
        <f>ROUND(ROUND(F416,8)*G416,2)</f>
        <v>6.48</v>
      </c>
    </row>
    <row r="417" spans="1:10">
      <c r="B417" s="222"/>
      <c r="C417" s="222"/>
      <c r="D417" s="222"/>
      <c r="E417" s="222"/>
      <c r="F417" s="630" t="s">
        <v>585</v>
      </c>
      <c r="G417" s="630"/>
      <c r="H417" s="102">
        <f>H415+H416</f>
        <v>23.55</v>
      </c>
    </row>
    <row r="418" spans="1:10">
      <c r="B418" s="222"/>
      <c r="C418" s="222"/>
      <c r="D418" s="222"/>
      <c r="E418" s="222"/>
      <c r="F418" s="630" t="s">
        <v>464</v>
      </c>
      <c r="G418" s="630"/>
      <c r="H418" s="102">
        <f>H417+H413</f>
        <v>142.04000000000002</v>
      </c>
    </row>
    <row r="420" spans="1:10">
      <c r="B420" s="245" t="s">
        <v>2557</v>
      </c>
    </row>
    <row r="421" spans="1:10">
      <c r="B421" s="222"/>
      <c r="C421" s="222"/>
      <c r="D421" s="222"/>
      <c r="E421" s="222"/>
      <c r="F421" s="111"/>
      <c r="G421" s="111"/>
      <c r="H421" s="228"/>
    </row>
    <row r="422" spans="1:10">
      <c r="A422" s="246" t="str">
        <f>'3 - PLAN. ORÇAMENTÁRIA'!A193</f>
        <v>4.1.2.2.2</v>
      </c>
      <c r="B422" s="178" t="str">
        <f>'3 - PLAN. ORÇAMENTÁRIA'!B193</f>
        <v>CCU 112</v>
      </c>
      <c r="C422" s="631" t="str">
        <f>'3 - PLAN. ORÇAMENTÁRIA'!C193</f>
        <v>PEITORIL EM GRANITO BRANCO SIENA, POLIDO, C/ LARGURA = 22 CM, ESP = 2 CM REF. 101965/SINAPI</v>
      </c>
      <c r="D422" s="632"/>
      <c r="E422" s="632"/>
      <c r="F422" s="632"/>
      <c r="G422" s="633"/>
      <c r="H422" s="131" t="s">
        <v>173</v>
      </c>
      <c r="J422" s="220" t="str">
        <f>B439</f>
        <v>Obs: Foi adotado o item 101965 do SINAPI como base por similaridade ao que pede em projeto e alterado apenas o material pelo do item S12446 do ORSE</v>
      </c>
    </row>
    <row r="423" spans="1:10">
      <c r="A423" s="163"/>
      <c r="B423" s="628" t="s">
        <v>1301</v>
      </c>
      <c r="C423" s="628"/>
      <c r="D423" s="103" t="s">
        <v>579</v>
      </c>
      <c r="E423" s="103" t="s">
        <v>580</v>
      </c>
      <c r="F423" s="103" t="s">
        <v>581</v>
      </c>
      <c r="G423" s="103" t="s">
        <v>582</v>
      </c>
      <c r="H423" s="103" t="s">
        <v>583</v>
      </c>
    </row>
    <row r="424" spans="1:10">
      <c r="A424" s="163"/>
      <c r="B424" s="159">
        <v>91693</v>
      </c>
      <c r="C424" s="229" t="s">
        <v>1303</v>
      </c>
      <c r="D424" s="159" t="s">
        <v>119</v>
      </c>
      <c r="E424" s="159" t="s">
        <v>1304</v>
      </c>
      <c r="F424" s="174">
        <v>0.39800000000000002</v>
      </c>
      <c r="G424" s="160">
        <v>26.18</v>
      </c>
      <c r="H424" s="160">
        <f>ROUND(ROUND(F424,8)*G424,2)</f>
        <v>10.42</v>
      </c>
    </row>
    <row r="425" spans="1:10">
      <c r="B425" s="159">
        <v>91692</v>
      </c>
      <c r="C425" s="221" t="s">
        <v>1306</v>
      </c>
      <c r="D425" s="159" t="s">
        <v>119</v>
      </c>
      <c r="E425" s="159" t="s">
        <v>1307</v>
      </c>
      <c r="F425" s="174">
        <v>2.1000000000000001E-2</v>
      </c>
      <c r="G425" s="160">
        <v>27.22</v>
      </c>
      <c r="H425" s="160">
        <f>ROUND(ROUND(F425,8)*G425,2)</f>
        <v>0.56999999999999995</v>
      </c>
    </row>
    <row r="426" spans="1:10">
      <c r="A426" s="163"/>
      <c r="B426" s="163"/>
      <c r="C426" s="243"/>
      <c r="D426" s="244"/>
      <c r="E426" s="244"/>
      <c r="F426" s="630" t="s">
        <v>1308</v>
      </c>
      <c r="G426" s="630"/>
      <c r="H426" s="102">
        <f>H424+H425</f>
        <v>10.99</v>
      </c>
    </row>
    <row r="427" spans="1:10">
      <c r="B427" s="628" t="s">
        <v>593</v>
      </c>
      <c r="C427" s="628"/>
      <c r="D427" s="103" t="s">
        <v>579</v>
      </c>
      <c r="E427" s="103" t="s">
        <v>580</v>
      </c>
      <c r="F427" s="103" t="s">
        <v>581</v>
      </c>
      <c r="G427" s="103" t="s">
        <v>582</v>
      </c>
      <c r="H427" s="103" t="s">
        <v>583</v>
      </c>
    </row>
    <row r="428" spans="1:10">
      <c r="B428" s="159" t="s">
        <v>659</v>
      </c>
      <c r="C428" s="221" t="s">
        <v>660</v>
      </c>
      <c r="D428" s="159" t="s">
        <v>158</v>
      </c>
      <c r="E428" s="159" t="s">
        <v>614</v>
      </c>
      <c r="F428" s="174">
        <v>1.04</v>
      </c>
      <c r="G428" s="160">
        <v>179.5</v>
      </c>
      <c r="H428" s="160">
        <f>ROUND(ROUND(F428,8)*G428,2)</f>
        <v>186.68</v>
      </c>
    </row>
    <row r="429" spans="1:10">
      <c r="B429" s="222"/>
      <c r="C429" s="222"/>
      <c r="D429" s="222"/>
      <c r="E429" s="222"/>
      <c r="F429" s="630" t="s">
        <v>604</v>
      </c>
      <c r="G429" s="630"/>
      <c r="H429" s="102">
        <f>H428</f>
        <v>186.68</v>
      </c>
    </row>
    <row r="430" spans="1:10">
      <c r="B430" s="641" t="s">
        <v>607</v>
      </c>
      <c r="C430" s="642"/>
      <c r="D430" s="103" t="s">
        <v>579</v>
      </c>
      <c r="E430" s="103" t="s">
        <v>580</v>
      </c>
      <c r="F430" s="103" t="s">
        <v>581</v>
      </c>
      <c r="G430" s="103" t="s">
        <v>582</v>
      </c>
      <c r="H430" s="103" t="s">
        <v>583</v>
      </c>
    </row>
    <row r="431" spans="1:10">
      <c r="B431" s="159">
        <v>88274</v>
      </c>
      <c r="C431" s="221" t="s">
        <v>2540</v>
      </c>
      <c r="D431" s="159" t="s">
        <v>119</v>
      </c>
      <c r="E431" s="159" t="s">
        <v>121</v>
      </c>
      <c r="F431" s="174">
        <v>0.41899999999999998</v>
      </c>
      <c r="G431" s="160">
        <v>31.2</v>
      </c>
      <c r="H431" s="160">
        <f>ROUND(ROUND(F431,8)*G431,2)</f>
        <v>13.07</v>
      </c>
    </row>
    <row r="432" spans="1:10">
      <c r="B432" s="159">
        <v>88316</v>
      </c>
      <c r="C432" s="221" t="s">
        <v>626</v>
      </c>
      <c r="D432" s="159" t="s">
        <v>119</v>
      </c>
      <c r="E432" s="159" t="s">
        <v>121</v>
      </c>
      <c r="F432" s="174">
        <v>0.20899999999999999</v>
      </c>
      <c r="G432" s="160">
        <v>23.75</v>
      </c>
      <c r="H432" s="160">
        <f>ROUND(ROUND(F432,8)*G432,2)</f>
        <v>4.96</v>
      </c>
    </row>
    <row r="433" spans="1:10">
      <c r="B433" s="222"/>
      <c r="C433" s="222"/>
      <c r="D433" s="222"/>
      <c r="E433" s="222"/>
      <c r="F433" s="630" t="s">
        <v>585</v>
      </c>
      <c r="G433" s="630"/>
      <c r="H433" s="102">
        <f>H431+H432</f>
        <v>18.03</v>
      </c>
    </row>
    <row r="434" spans="1:10">
      <c r="B434" s="628" t="s">
        <v>586</v>
      </c>
      <c r="C434" s="628"/>
      <c r="D434" s="103" t="s">
        <v>579</v>
      </c>
      <c r="E434" s="103" t="s">
        <v>580</v>
      </c>
      <c r="F434" s="103" t="s">
        <v>581</v>
      </c>
      <c r="G434" s="103" t="s">
        <v>582</v>
      </c>
      <c r="H434" s="103" t="s">
        <v>583</v>
      </c>
    </row>
    <row r="435" spans="1:10" ht="25.5">
      <c r="B435" s="159">
        <v>87283</v>
      </c>
      <c r="C435" s="221" t="s">
        <v>2543</v>
      </c>
      <c r="D435" s="159" t="s">
        <v>119</v>
      </c>
      <c r="E435" s="159" t="s">
        <v>624</v>
      </c>
      <c r="F435" s="174">
        <v>6.0000000000000001E-3</v>
      </c>
      <c r="G435" s="160">
        <v>432.12</v>
      </c>
      <c r="H435" s="160">
        <f>ROUND(ROUND(F435,8)*G435,2)</f>
        <v>2.59</v>
      </c>
    </row>
    <row r="436" spans="1:10">
      <c r="B436" s="222"/>
      <c r="C436" s="222"/>
      <c r="D436" s="222"/>
      <c r="E436" s="222"/>
      <c r="F436" s="630" t="s">
        <v>587</v>
      </c>
      <c r="G436" s="630"/>
      <c r="H436" s="102">
        <f>H435</f>
        <v>2.59</v>
      </c>
    </row>
    <row r="437" spans="1:10">
      <c r="B437" s="222"/>
      <c r="C437" s="222"/>
      <c r="D437" s="222"/>
      <c r="E437" s="222"/>
      <c r="F437" s="630" t="s">
        <v>464</v>
      </c>
      <c r="G437" s="630"/>
      <c r="H437" s="102">
        <f>H436+H433+H429+H426</f>
        <v>218.29000000000002</v>
      </c>
    </row>
    <row r="438" spans="1:10">
      <c r="B438" s="222"/>
      <c r="C438" s="222"/>
      <c r="D438" s="222"/>
      <c r="E438" s="222"/>
      <c r="F438" s="111"/>
      <c r="G438" s="111"/>
      <c r="H438" s="228"/>
    </row>
    <row r="439" spans="1:10">
      <c r="B439" s="245" t="s">
        <v>2558</v>
      </c>
    </row>
    <row r="440" spans="1:10">
      <c r="B440" s="222"/>
      <c r="C440" s="222"/>
      <c r="D440" s="222"/>
      <c r="E440" s="222"/>
      <c r="F440" s="111"/>
      <c r="G440" s="111"/>
      <c r="H440" s="228"/>
    </row>
    <row r="441" spans="1:10">
      <c r="A441" s="246" t="str">
        <f>'3 - PLAN. ORÇAMENTÁRIA'!A203</f>
        <v>4.1.4.5</v>
      </c>
      <c r="B441" s="178" t="str">
        <f>'3 - PLAN. ORÇAMENTÁRIA'!B203</f>
        <v>CCU 047</v>
      </c>
      <c r="C441" s="631" t="str">
        <f>'3 - PLAN. ORÇAMENTÁRIA'!C203</f>
        <v>VIDRO LAMINADO INCOLOR DE 8MM (COBERTURA ENTRADA EDIFICAÇÃO + GUARITA) REF. 102176/SINAPI</v>
      </c>
      <c r="D441" s="632"/>
      <c r="E441" s="632"/>
      <c r="F441" s="632"/>
      <c r="G441" s="633"/>
      <c r="H441" s="131" t="s">
        <v>139</v>
      </c>
      <c r="J441" s="220" t="str">
        <f>B454</f>
        <v>Obs: Foi adotado o item 102176 do SINAPI como base, retirados alguns materiais e substituídos pelos materiais de Silicone e Vidro do item 26.03.070 do SP Obras</v>
      </c>
    </row>
    <row r="442" spans="1:10">
      <c r="B442" s="628" t="s">
        <v>593</v>
      </c>
      <c r="C442" s="628"/>
      <c r="D442" s="103" t="s">
        <v>579</v>
      </c>
      <c r="E442" s="103" t="s">
        <v>580</v>
      </c>
      <c r="F442" s="103" t="s">
        <v>581</v>
      </c>
      <c r="G442" s="103" t="s">
        <v>582</v>
      </c>
      <c r="H442" s="103" t="s">
        <v>583</v>
      </c>
    </row>
    <row r="443" spans="1:10">
      <c r="B443" s="234" t="s">
        <v>2560</v>
      </c>
      <c r="C443" s="235" t="s">
        <v>1483</v>
      </c>
      <c r="D443" s="236" t="s">
        <v>119</v>
      </c>
      <c r="E443" s="130" t="s">
        <v>144</v>
      </c>
      <c r="F443" s="230">
        <v>2.992</v>
      </c>
      <c r="G443" s="227">
        <v>2.42</v>
      </c>
      <c r="H443" s="160">
        <f>ROUND(ROUND(F443,8)*G443,2)</f>
        <v>7.24</v>
      </c>
    </row>
    <row r="444" spans="1:10">
      <c r="B444" s="234" t="s">
        <v>1556</v>
      </c>
      <c r="C444" s="235" t="s">
        <v>1557</v>
      </c>
      <c r="D444" s="236" t="s">
        <v>119</v>
      </c>
      <c r="E444" s="130" t="s">
        <v>173</v>
      </c>
      <c r="F444" s="230">
        <v>3.4159999999999999</v>
      </c>
      <c r="G444" s="227">
        <v>13.3</v>
      </c>
      <c r="H444" s="160">
        <f>ROUND(ROUND(F444,8)*G444,2)</f>
        <v>45.43</v>
      </c>
    </row>
    <row r="445" spans="1:10">
      <c r="B445" s="130" t="s">
        <v>2141</v>
      </c>
      <c r="C445" s="229" t="s">
        <v>2142</v>
      </c>
      <c r="D445" s="130" t="s">
        <v>592</v>
      </c>
      <c r="E445" s="130" t="s">
        <v>144</v>
      </c>
      <c r="F445" s="230">
        <v>0.26500000000000001</v>
      </c>
      <c r="G445" s="227">
        <v>22.72</v>
      </c>
      <c r="H445" s="160">
        <f>ROUND(ROUND(F445,8)*G445,2)</f>
        <v>6.02</v>
      </c>
    </row>
    <row r="446" spans="1:10">
      <c r="B446" s="173" t="s">
        <v>1560</v>
      </c>
      <c r="C446" s="221" t="s">
        <v>2143</v>
      </c>
      <c r="D446" s="130" t="s">
        <v>119</v>
      </c>
      <c r="E446" s="159" t="s">
        <v>139</v>
      </c>
      <c r="F446" s="174">
        <v>1</v>
      </c>
      <c r="G446" s="160">
        <v>706.15</v>
      </c>
      <c r="H446" s="160">
        <f>ROUND(ROUND(F446,8)*G446,2)</f>
        <v>706.15</v>
      </c>
    </row>
    <row r="447" spans="1:10">
      <c r="B447" s="225"/>
      <c r="C447" s="223"/>
      <c r="D447" s="225"/>
      <c r="E447" s="225"/>
      <c r="F447" s="630" t="s">
        <v>604</v>
      </c>
      <c r="G447" s="630"/>
      <c r="H447" s="102">
        <f>H443+H444+H445+H446</f>
        <v>764.83999999999992</v>
      </c>
    </row>
    <row r="448" spans="1:10">
      <c r="B448" s="628" t="s">
        <v>607</v>
      </c>
      <c r="C448" s="628"/>
      <c r="D448" s="103" t="s">
        <v>579</v>
      </c>
      <c r="E448" s="103" t="s">
        <v>580</v>
      </c>
      <c r="F448" s="103" t="s">
        <v>581</v>
      </c>
      <c r="G448" s="103" t="s">
        <v>582</v>
      </c>
      <c r="H448" s="103" t="s">
        <v>583</v>
      </c>
    </row>
    <row r="449" spans="1:10">
      <c r="B449" s="159" t="s">
        <v>625</v>
      </c>
      <c r="C449" s="221" t="s">
        <v>626</v>
      </c>
      <c r="D449" s="159" t="s">
        <v>119</v>
      </c>
      <c r="E449" s="159" t="s">
        <v>121</v>
      </c>
      <c r="F449" s="174">
        <v>1.619</v>
      </c>
      <c r="G449" s="160">
        <v>23.75</v>
      </c>
      <c r="H449" s="160">
        <f>ROUND(ROUND(F449,8)*G449,2)</f>
        <v>38.450000000000003</v>
      </c>
    </row>
    <row r="450" spans="1:10">
      <c r="B450" s="159">
        <v>88325</v>
      </c>
      <c r="C450" s="221" t="s">
        <v>656</v>
      </c>
      <c r="D450" s="159" t="s">
        <v>119</v>
      </c>
      <c r="E450" s="159" t="s">
        <v>121</v>
      </c>
      <c r="F450" s="174">
        <v>1.6659999999999999</v>
      </c>
      <c r="G450" s="160">
        <v>28.95</v>
      </c>
      <c r="H450" s="160">
        <f>ROUND(ROUND(F450,8)*G450,2)</f>
        <v>48.23</v>
      </c>
    </row>
    <row r="451" spans="1:10">
      <c r="B451" s="222"/>
      <c r="C451" s="222"/>
      <c r="D451" s="222"/>
      <c r="E451" s="222"/>
      <c r="F451" s="630" t="s">
        <v>585</v>
      </c>
      <c r="G451" s="630"/>
      <c r="H451" s="158">
        <f>H449+H450</f>
        <v>86.68</v>
      </c>
    </row>
    <row r="452" spans="1:10">
      <c r="B452" s="222"/>
      <c r="C452" s="222"/>
      <c r="D452" s="222"/>
      <c r="E452" s="222"/>
      <c r="F452" s="645" t="s">
        <v>464</v>
      </c>
      <c r="G452" s="645"/>
      <c r="H452" s="158">
        <f>H447+H451</f>
        <v>851.52</v>
      </c>
    </row>
    <row r="453" spans="1:10">
      <c r="B453" s="222"/>
      <c r="C453" s="222"/>
      <c r="D453" s="222"/>
      <c r="E453" s="222"/>
      <c r="F453" s="226"/>
      <c r="G453" s="226"/>
      <c r="H453" s="226"/>
    </row>
    <row r="454" spans="1:10">
      <c r="B454" s="245" t="s">
        <v>2561</v>
      </c>
    </row>
    <row r="455" spans="1:10">
      <c r="B455" s="222"/>
      <c r="C455" s="222"/>
      <c r="D455" s="222"/>
      <c r="E455" s="222"/>
      <c r="F455" s="111"/>
      <c r="G455" s="111"/>
      <c r="H455" s="228"/>
    </row>
    <row r="456" spans="1:10" ht="27.75" customHeight="1">
      <c r="A456" s="246" t="str">
        <f>'3 - PLAN. ORÇAMENTÁRIA'!A60</f>
        <v>3.1.1.1</v>
      </c>
      <c r="B456" s="178" t="str">
        <f>'3 - PLAN. ORÇAMENTÁRIA'!B60</f>
        <v>CCU 036</v>
      </c>
      <c r="C456" s="631" t="str">
        <f>'3 - PLAN. ORÇAMENTÁRIA'!C60</f>
        <v>ESTACA HÉLICE CONTÍNUA, DIÂMETRO DE 40 CM, INCLUSO CONCRETO FCK=30MPA, SEM ARMADURA. REF. 100652/SINAPI</v>
      </c>
      <c r="D456" s="632"/>
      <c r="E456" s="632"/>
      <c r="F456" s="632"/>
      <c r="G456" s="633"/>
      <c r="H456" s="131" t="str">
        <f>'3 - PLAN. ORÇAMENTÁRIA'!E60</f>
        <v>M</v>
      </c>
      <c r="J456" s="220" t="str">
        <f>B475</f>
        <v>Obs: Foi adotado o item 10652 do SINAPI como base e alterados por serem os materiais, equipamentos, serviços e mão de obra os mesmo, alterando apenas os coeficientes para o do item</v>
      </c>
    </row>
    <row r="457" spans="1:10">
      <c r="B457" s="628" t="s">
        <v>1301</v>
      </c>
      <c r="C457" s="628"/>
      <c r="D457" s="103" t="s">
        <v>579</v>
      </c>
      <c r="E457" s="103" t="s">
        <v>580</v>
      </c>
      <c r="F457" s="103" t="s">
        <v>581</v>
      </c>
      <c r="G457" s="103" t="s">
        <v>582</v>
      </c>
      <c r="H457" s="103" t="s">
        <v>583</v>
      </c>
    </row>
    <row r="458" spans="1:10" ht="38.25">
      <c r="B458" s="159">
        <v>90675</v>
      </c>
      <c r="C458" s="221" t="s">
        <v>1366</v>
      </c>
      <c r="D458" s="159" t="s">
        <v>119</v>
      </c>
      <c r="E458" s="159" t="s">
        <v>1304</v>
      </c>
      <c r="F458" s="174">
        <v>6.3740000000000005E-2</v>
      </c>
      <c r="G458" s="160">
        <v>336.65</v>
      </c>
      <c r="H458" s="160">
        <f>ROUND(ROUND(F458,8)*G458,2)</f>
        <v>21.46</v>
      </c>
    </row>
    <row r="459" spans="1:10" ht="38.25">
      <c r="B459" s="159" t="s">
        <v>2562</v>
      </c>
      <c r="C459" s="221" t="s">
        <v>1367</v>
      </c>
      <c r="D459" s="159" t="s">
        <v>119</v>
      </c>
      <c r="E459" s="159" t="s">
        <v>1307</v>
      </c>
      <c r="F459" s="174">
        <v>2.596E-2</v>
      </c>
      <c r="G459" s="160">
        <v>761.64</v>
      </c>
      <c r="H459" s="160">
        <f>ROUND(ROUND(F459,8)*G459,2)</f>
        <v>19.77</v>
      </c>
    </row>
    <row r="460" spans="1:10">
      <c r="B460" s="222"/>
      <c r="C460" s="222"/>
      <c r="D460" s="222"/>
      <c r="E460" s="222"/>
      <c r="F460" s="630" t="s">
        <v>1308</v>
      </c>
      <c r="G460" s="630"/>
      <c r="H460" s="102">
        <f>H458+H459</f>
        <v>41.230000000000004</v>
      </c>
    </row>
    <row r="461" spans="1:10">
      <c r="B461" s="628" t="s">
        <v>593</v>
      </c>
      <c r="C461" s="628"/>
      <c r="D461" s="103" t="s">
        <v>579</v>
      </c>
      <c r="E461" s="103" t="s">
        <v>580</v>
      </c>
      <c r="F461" s="103" t="s">
        <v>581</v>
      </c>
      <c r="G461" s="103" t="s">
        <v>582</v>
      </c>
      <c r="H461" s="103" t="s">
        <v>583</v>
      </c>
    </row>
    <row r="462" spans="1:10" ht="25.5">
      <c r="B462" s="173" t="s">
        <v>2563</v>
      </c>
      <c r="C462" s="221" t="s">
        <v>1368</v>
      </c>
      <c r="D462" s="159" t="s">
        <v>119</v>
      </c>
      <c r="E462" s="159" t="s">
        <v>167</v>
      </c>
      <c r="F462" s="174">
        <v>0.22033</v>
      </c>
      <c r="G462" s="160">
        <v>583.16</v>
      </c>
      <c r="H462" s="160">
        <f>ROUND(ROUND(F462,8)*G462,2)</f>
        <v>128.49</v>
      </c>
    </row>
    <row r="463" spans="1:10">
      <c r="B463" s="222"/>
      <c r="C463" s="222"/>
      <c r="D463" s="222"/>
      <c r="E463" s="222"/>
      <c r="F463" s="630" t="s">
        <v>604</v>
      </c>
      <c r="G463" s="630"/>
      <c r="H463" s="102">
        <f>H462</f>
        <v>128.49</v>
      </c>
    </row>
    <row r="464" spans="1:10">
      <c r="B464" s="628" t="s">
        <v>607</v>
      </c>
      <c r="C464" s="628"/>
      <c r="D464" s="103" t="s">
        <v>579</v>
      </c>
      <c r="E464" s="103" t="s">
        <v>580</v>
      </c>
      <c r="F464" s="103" t="s">
        <v>581</v>
      </c>
      <c r="G464" s="103" t="s">
        <v>582</v>
      </c>
      <c r="H464" s="103" t="s">
        <v>583</v>
      </c>
    </row>
    <row r="465" spans="1:10">
      <c r="B465" s="159">
        <v>90776</v>
      </c>
      <c r="C465" s="221" t="s">
        <v>1369</v>
      </c>
      <c r="D465" s="159" t="s">
        <v>119</v>
      </c>
      <c r="E465" s="159" t="s">
        <v>121</v>
      </c>
      <c r="F465" s="174">
        <v>8.9700000000000002E-2</v>
      </c>
      <c r="G465" s="160">
        <v>25.16</v>
      </c>
      <c r="H465" s="160">
        <f>ROUND(ROUND(F465,8)*G465,2)</f>
        <v>2.2599999999999998</v>
      </c>
    </row>
    <row r="466" spans="1:10">
      <c r="B466" s="159">
        <v>90778</v>
      </c>
      <c r="C466" s="221" t="s">
        <v>1370</v>
      </c>
      <c r="D466" s="159" t="s">
        <v>119</v>
      </c>
      <c r="E466" s="159" t="s">
        <v>121</v>
      </c>
      <c r="F466" s="174">
        <v>1.6840000000000001E-2</v>
      </c>
      <c r="G466" s="160">
        <v>150.27000000000001</v>
      </c>
      <c r="H466" s="160">
        <f>ROUND(ROUND(F466,8)*G466,2)</f>
        <v>2.5299999999999998</v>
      </c>
    </row>
    <row r="467" spans="1:10">
      <c r="B467" s="159">
        <v>88316</v>
      </c>
      <c r="C467" s="221" t="s">
        <v>626</v>
      </c>
      <c r="D467" s="159" t="s">
        <v>119</v>
      </c>
      <c r="E467" s="159" t="s">
        <v>121</v>
      </c>
      <c r="F467" s="174">
        <v>0.26915</v>
      </c>
      <c r="G467" s="160">
        <v>23.75</v>
      </c>
      <c r="H467" s="160">
        <f>ROUND(ROUND(F467,8)*G467,2)</f>
        <v>6.39</v>
      </c>
    </row>
    <row r="468" spans="1:10">
      <c r="B468" s="222"/>
      <c r="C468" s="222"/>
      <c r="D468" s="222"/>
      <c r="E468" s="222"/>
      <c r="F468" s="630" t="s">
        <v>610</v>
      </c>
      <c r="G468" s="630"/>
      <c r="H468" s="102">
        <f>SUM(H465:H467)</f>
        <v>11.18</v>
      </c>
    </row>
    <row r="469" spans="1:10">
      <c r="B469" s="628" t="s">
        <v>586</v>
      </c>
      <c r="C469" s="628"/>
      <c r="D469" s="103" t="s">
        <v>579</v>
      </c>
      <c r="E469" s="103" t="s">
        <v>580</v>
      </c>
      <c r="F469" s="103" t="s">
        <v>581</v>
      </c>
      <c r="G469" s="103" t="s">
        <v>582</v>
      </c>
      <c r="H469" s="103" t="s">
        <v>583</v>
      </c>
    </row>
    <row r="470" spans="1:10" ht="25.5">
      <c r="B470" s="159">
        <v>100973</v>
      </c>
      <c r="C470" s="221" t="s">
        <v>1371</v>
      </c>
      <c r="D470" s="159" t="s">
        <v>119</v>
      </c>
      <c r="E470" s="159" t="s">
        <v>167</v>
      </c>
      <c r="F470" s="174">
        <v>0.20266000000000001</v>
      </c>
      <c r="G470" s="160">
        <v>8.84</v>
      </c>
      <c r="H470" s="160">
        <f>ROUND(ROUND(F470,8)*G470,2)</f>
        <v>1.79</v>
      </c>
    </row>
    <row r="471" spans="1:10">
      <c r="B471" s="159">
        <v>97913</v>
      </c>
      <c r="C471" s="221" t="s">
        <v>1372</v>
      </c>
      <c r="D471" s="159" t="s">
        <v>119</v>
      </c>
      <c r="E471" s="159" t="s">
        <v>185</v>
      </c>
      <c r="F471" s="174">
        <v>6.0819999999999999E-2</v>
      </c>
      <c r="G471" s="160">
        <v>3.3</v>
      </c>
      <c r="H471" s="160">
        <f>ROUND(ROUND(F471,8)*G471,2)</f>
        <v>0.2</v>
      </c>
    </row>
    <row r="472" spans="1:10">
      <c r="B472" s="222"/>
      <c r="C472" s="222"/>
      <c r="D472" s="222"/>
      <c r="E472" s="222"/>
      <c r="F472" s="630" t="s">
        <v>587</v>
      </c>
      <c r="G472" s="630"/>
      <c r="H472" s="102">
        <f>H471+H470</f>
        <v>1.99</v>
      </c>
    </row>
    <row r="473" spans="1:10">
      <c r="B473" s="222"/>
      <c r="C473" s="222"/>
      <c r="D473" s="222"/>
      <c r="E473" s="222"/>
      <c r="F473" s="630" t="s">
        <v>464</v>
      </c>
      <c r="G473" s="630"/>
      <c r="H473" s="102">
        <f>H472+H468+H463+H460</f>
        <v>182.89</v>
      </c>
    </row>
    <row r="474" spans="1:10">
      <c r="B474" s="222"/>
      <c r="C474" s="222"/>
      <c r="D474" s="222"/>
      <c r="E474" s="222"/>
      <c r="F474" s="111"/>
      <c r="G474" s="111"/>
      <c r="H474" s="228"/>
    </row>
    <row r="475" spans="1:10">
      <c r="B475" s="245" t="s">
        <v>2564</v>
      </c>
    </row>
    <row r="476" spans="1:10">
      <c r="B476" s="222"/>
      <c r="C476" s="222"/>
      <c r="D476" s="222"/>
      <c r="E476" s="222"/>
      <c r="F476" s="111"/>
      <c r="G476" s="111"/>
      <c r="H476" s="228"/>
    </row>
    <row r="477" spans="1:10" ht="27" customHeight="1">
      <c r="A477" s="246" t="str">
        <f>'3 - PLAN. ORÇAMENTÁRIA'!A238</f>
        <v>4.1.5.2.1.13</v>
      </c>
      <c r="B477" s="178" t="str">
        <f>'3 - PLAN. ORÇAMENTÁRIA'!B238</f>
        <v>CCU 115</v>
      </c>
      <c r="C477" s="631" t="str">
        <f>'3 - PLAN. ORÇAMENTÁRIA'!C238</f>
        <v>REVESTIMENTO CERÂMICO PARA PISO OU PAREDE, 30 X 60 CM, LINHA CETIM BIANCO OU SIMILAR, PORTOBELLO OU SIMILAR, APLICADO COM ARGAMASSA INDUSTRIALIZADA AC-I, REJUNTADO, EXCLUSIVE REGULARIZAÇÃO DE BASE OU EMBOÇO REF. 87273/SINAPI</v>
      </c>
      <c r="D477" s="632"/>
      <c r="E477" s="632"/>
      <c r="F477" s="632"/>
      <c r="G477" s="633"/>
      <c r="H477" s="131" t="s">
        <v>139</v>
      </c>
      <c r="J477" s="220" t="str">
        <f>B489</f>
        <v>Obs: Foi adotado o item 87273 do SINAPI como base por similaridade ao que pede em projeto e alterado apenas o material pelo do item S12418 do ORSE</v>
      </c>
    </row>
    <row r="478" spans="1:10">
      <c r="B478" s="628" t="s">
        <v>593</v>
      </c>
      <c r="C478" s="628"/>
      <c r="D478" s="103" t="s">
        <v>579</v>
      </c>
      <c r="E478" s="103" t="s">
        <v>580</v>
      </c>
      <c r="F478" s="103" t="s">
        <v>581</v>
      </c>
      <c r="G478" s="103" t="s">
        <v>582</v>
      </c>
      <c r="H478" s="103" t="s">
        <v>583</v>
      </c>
    </row>
    <row r="479" spans="1:10">
      <c r="B479" s="159" t="s">
        <v>1215</v>
      </c>
      <c r="C479" s="221" t="s">
        <v>1216</v>
      </c>
      <c r="D479" s="159" t="s">
        <v>158</v>
      </c>
      <c r="E479" s="159" t="s">
        <v>139</v>
      </c>
      <c r="F479" s="174">
        <v>1.0798000000000001</v>
      </c>
      <c r="G479" s="160">
        <v>99</v>
      </c>
      <c r="H479" s="160">
        <f>ROUND(ROUND(F479,8)*G479,2)</f>
        <v>106.9</v>
      </c>
    </row>
    <row r="480" spans="1:10">
      <c r="B480" s="173" t="s">
        <v>1593</v>
      </c>
      <c r="C480" s="221" t="s">
        <v>2565</v>
      </c>
      <c r="D480" s="159" t="s">
        <v>119</v>
      </c>
      <c r="E480" s="159" t="s">
        <v>200</v>
      </c>
      <c r="F480" s="174">
        <v>6.85</v>
      </c>
      <c r="G480" s="160">
        <v>0.68</v>
      </c>
      <c r="H480" s="160">
        <f>ROUND(ROUND(F480,8)*G480,2)</f>
        <v>4.66</v>
      </c>
    </row>
    <row r="481" spans="1:10">
      <c r="B481" s="173" t="s">
        <v>2566</v>
      </c>
      <c r="C481" s="221" t="s">
        <v>1594</v>
      </c>
      <c r="D481" s="159" t="s">
        <v>119</v>
      </c>
      <c r="E481" s="159" t="s">
        <v>200</v>
      </c>
      <c r="F481" s="174">
        <v>0.222</v>
      </c>
      <c r="G481" s="160">
        <v>3.99</v>
      </c>
      <c r="H481" s="160">
        <f>ROUND(ROUND(F481,8)*G481,2)</f>
        <v>0.89</v>
      </c>
    </row>
    <row r="482" spans="1:10">
      <c r="F482" s="630" t="s">
        <v>604</v>
      </c>
      <c r="G482" s="630"/>
      <c r="H482" s="102">
        <f>H479+H480+H481</f>
        <v>112.45</v>
      </c>
    </row>
    <row r="483" spans="1:10">
      <c r="B483" s="628" t="s">
        <v>607</v>
      </c>
      <c r="C483" s="628"/>
      <c r="D483" s="103" t="s">
        <v>579</v>
      </c>
      <c r="E483" s="103" t="s">
        <v>580</v>
      </c>
      <c r="F483" s="103" t="s">
        <v>581</v>
      </c>
      <c r="G483" s="103" t="s">
        <v>582</v>
      </c>
      <c r="H483" s="103" t="s">
        <v>583</v>
      </c>
    </row>
    <row r="484" spans="1:10">
      <c r="B484" s="159">
        <v>88256</v>
      </c>
      <c r="C484" s="221" t="s">
        <v>2511</v>
      </c>
      <c r="D484" s="159" t="s">
        <v>119</v>
      </c>
      <c r="E484" s="159" t="s">
        <v>121</v>
      </c>
      <c r="F484" s="174">
        <v>0.69699999999999995</v>
      </c>
      <c r="G484" s="160">
        <v>31.2</v>
      </c>
      <c r="H484" s="160">
        <f>ROUND(ROUND(F484,8)*G484,2)</f>
        <v>21.75</v>
      </c>
    </row>
    <row r="485" spans="1:10">
      <c r="B485" s="159">
        <v>88316</v>
      </c>
      <c r="C485" s="221" t="s">
        <v>626</v>
      </c>
      <c r="D485" s="159" t="s">
        <v>119</v>
      </c>
      <c r="E485" s="159" t="s">
        <v>121</v>
      </c>
      <c r="F485" s="174">
        <v>0.31380000000000002</v>
      </c>
      <c r="G485" s="160">
        <v>23.75</v>
      </c>
      <c r="H485" s="160">
        <f>ROUND(ROUND(F485,8)*G485,2)</f>
        <v>7.45</v>
      </c>
    </row>
    <row r="486" spans="1:10">
      <c r="B486" s="222"/>
      <c r="C486" s="222"/>
      <c r="D486" s="222"/>
      <c r="E486" s="222"/>
      <c r="F486" s="630" t="s">
        <v>585</v>
      </c>
      <c r="G486" s="630"/>
      <c r="H486" s="102">
        <f>H484+H485</f>
        <v>29.2</v>
      </c>
    </row>
    <row r="487" spans="1:10">
      <c r="B487" s="222"/>
      <c r="C487" s="222"/>
      <c r="D487" s="222"/>
      <c r="E487" s="222"/>
      <c r="F487" s="630" t="s">
        <v>464</v>
      </c>
      <c r="G487" s="630"/>
      <c r="H487" s="102">
        <f>H486+H482</f>
        <v>141.65</v>
      </c>
    </row>
    <row r="488" spans="1:10">
      <c r="B488" s="222"/>
      <c r="C488" s="222"/>
      <c r="D488" s="222"/>
      <c r="E488" s="222"/>
      <c r="F488" s="111"/>
      <c r="G488" s="111"/>
      <c r="H488" s="228"/>
    </row>
    <row r="489" spans="1:10">
      <c r="B489" s="245" t="s">
        <v>2567</v>
      </c>
    </row>
    <row r="490" spans="1:10">
      <c r="B490" s="222"/>
      <c r="C490" s="222"/>
      <c r="D490" s="222"/>
      <c r="E490" s="222"/>
      <c r="F490" s="111"/>
      <c r="G490" s="111"/>
      <c r="H490" s="228"/>
    </row>
    <row r="491" spans="1:10" ht="27" customHeight="1">
      <c r="A491" s="246" t="str">
        <f>'3 - PLAN. ORÇAMENTÁRIA'!A244</f>
        <v>4.1.5.2.2.4</v>
      </c>
      <c r="B491" s="178" t="str">
        <f>'3 - PLAN. ORÇAMENTÁRIA'!B244</f>
        <v>CCU 201</v>
      </c>
      <c r="C491" s="631" t="str">
        <f>'3 - PLAN. ORÇAMENTÁRIA'!C244</f>
        <v>FUNDO SELADORUNIQ 200 DA TERRACOR, APLICAÇÃO MANUAL EM PAREDE, UMA DEMÃO REF. 88485/SINAPI</v>
      </c>
      <c r="D491" s="632"/>
      <c r="E491" s="632"/>
      <c r="F491" s="632"/>
      <c r="G491" s="633"/>
      <c r="H491" s="520" t="str">
        <f>'3 - PLAN. ORÇAMENTÁRIA'!E244</f>
        <v>M2</v>
      </c>
      <c r="J491" s="220" t="str">
        <f>B501</f>
        <v>Obs: Foi adotado o item 88485 do SINAPI como base por similaridade ao que pede em projeto e alterado apenas o material pelo da cotação realizada</v>
      </c>
    </row>
    <row r="492" spans="1:10">
      <c r="B492" s="628" t="s">
        <v>593</v>
      </c>
      <c r="C492" s="628"/>
      <c r="D492" s="103" t="s">
        <v>579</v>
      </c>
      <c r="E492" s="103" t="s">
        <v>580</v>
      </c>
      <c r="F492" s="103" t="s">
        <v>581</v>
      </c>
      <c r="G492" s="103" t="s">
        <v>582</v>
      </c>
      <c r="H492" s="103" t="s">
        <v>583</v>
      </c>
    </row>
    <row r="493" spans="1:10">
      <c r="B493" s="159" t="str">
        <f>'6 - COTAÇÃO MERCADO'!$B$300</f>
        <v>COT 01.036</v>
      </c>
      <c r="C493" s="221" t="str">
        <f>'6 - COTAÇÃO MERCADO'!C300</f>
        <v>SELADOR UNIQ 200 REF. TERRACOR</v>
      </c>
      <c r="D493" s="159" t="s">
        <v>3280</v>
      </c>
      <c r="E493" s="159" t="str">
        <f>'6 - COTAÇÃO MERCADO'!E300</f>
        <v>KG</v>
      </c>
      <c r="F493" s="174">
        <v>1</v>
      </c>
      <c r="G493" s="160">
        <f>'6 - COTAÇÃO MERCADO'!D300</f>
        <v>13.79</v>
      </c>
      <c r="H493" s="160">
        <f>ROUND(ROUND(F493,8)*G493,2)</f>
        <v>13.79</v>
      </c>
    </row>
    <row r="494" spans="1:10">
      <c r="F494" s="630" t="s">
        <v>604</v>
      </c>
      <c r="G494" s="630"/>
      <c r="H494" s="102">
        <f>H493</f>
        <v>13.79</v>
      </c>
    </row>
    <row r="495" spans="1:10">
      <c r="B495" s="628" t="s">
        <v>607</v>
      </c>
      <c r="C495" s="628"/>
      <c r="D495" s="103" t="s">
        <v>579</v>
      </c>
      <c r="E495" s="103" t="s">
        <v>580</v>
      </c>
      <c r="F495" s="103" t="s">
        <v>581</v>
      </c>
      <c r="G495" s="103" t="s">
        <v>582</v>
      </c>
      <c r="H495" s="103" t="s">
        <v>583</v>
      </c>
    </row>
    <row r="496" spans="1:10">
      <c r="B496" s="159">
        <v>88310</v>
      </c>
      <c r="C496" s="221" t="s">
        <v>663</v>
      </c>
      <c r="D496" s="159" t="s">
        <v>119</v>
      </c>
      <c r="E496" s="159" t="s">
        <v>121</v>
      </c>
      <c r="F496" s="174">
        <v>6.6600000000000006E-2</v>
      </c>
      <c r="G496" s="160">
        <v>33.01</v>
      </c>
      <c r="H496" s="160">
        <f>ROUND(ROUND(F496,8)*G496,2)</f>
        <v>2.2000000000000002</v>
      </c>
    </row>
    <row r="497" spans="1:10">
      <c r="B497" s="159">
        <v>88316</v>
      </c>
      <c r="C497" s="221" t="s">
        <v>626</v>
      </c>
      <c r="D497" s="159" t="s">
        <v>119</v>
      </c>
      <c r="E497" s="159" t="s">
        <v>121</v>
      </c>
      <c r="F497" s="174">
        <v>2.2200000000000001E-2</v>
      </c>
      <c r="G497" s="160">
        <v>23.75</v>
      </c>
      <c r="H497" s="160">
        <f>ROUND(ROUND(F497,8)*G497,2)</f>
        <v>0.53</v>
      </c>
    </row>
    <row r="498" spans="1:10">
      <c r="B498" s="222"/>
      <c r="C498" s="222"/>
      <c r="D498" s="222"/>
      <c r="E498" s="222"/>
      <c r="F498" s="630" t="s">
        <v>585</v>
      </c>
      <c r="G498" s="630"/>
      <c r="H498" s="102">
        <f>H496+H497</f>
        <v>2.7300000000000004</v>
      </c>
    </row>
    <row r="499" spans="1:10">
      <c r="B499" s="222"/>
      <c r="C499" s="222"/>
      <c r="D499" s="222"/>
      <c r="E499" s="222"/>
      <c r="F499" s="645" t="s">
        <v>464</v>
      </c>
      <c r="G499" s="645"/>
      <c r="H499" s="158">
        <f>H494+H498</f>
        <v>16.52</v>
      </c>
    </row>
    <row r="500" spans="1:10">
      <c r="B500" s="222"/>
      <c r="C500" s="222"/>
      <c r="D500" s="222"/>
      <c r="E500" s="222"/>
      <c r="F500" s="521"/>
      <c r="G500" s="521"/>
      <c r="H500" s="522"/>
    </row>
    <row r="501" spans="1:10">
      <c r="B501" s="245" t="s">
        <v>4150</v>
      </c>
      <c r="C501" s="222"/>
      <c r="D501" s="222"/>
      <c r="E501" s="222"/>
      <c r="F501" s="521"/>
      <c r="G501" s="521"/>
      <c r="H501" s="522"/>
    </row>
    <row r="502" spans="1:10">
      <c r="B502" s="222"/>
      <c r="C502" s="222"/>
      <c r="D502" s="222"/>
      <c r="E502" s="222"/>
      <c r="F502" s="521"/>
      <c r="G502" s="521"/>
      <c r="H502" s="522"/>
    </row>
    <row r="503" spans="1:10" ht="27" customHeight="1">
      <c r="A503" s="246" t="str">
        <f>'3 - PLAN. ORÇAMENTÁRIA'!A245</f>
        <v>4.1.5.2.2.5</v>
      </c>
      <c r="B503" s="178" t="str">
        <f>'3 - PLAN. ORÇAMENTÁRIA'!B245</f>
        <v>CCU 116</v>
      </c>
      <c r="C503" s="631" t="str">
        <f>'3 - PLAN. ORÇAMENTÁRIA'!C245</f>
        <v>APLICAÇÃO DE 01 DEMÃO DE SELADOR E TEXTURA EM PAREDES NA COR 200 LINHA PREDIAL DA TERRACOR REF. 88416/SINAPI</v>
      </c>
      <c r="D503" s="632"/>
      <c r="E503" s="632"/>
      <c r="F503" s="632"/>
      <c r="G503" s="633"/>
      <c r="H503" s="520" t="str">
        <f>'3 - PLAN. ORÇAMENTÁRIA'!E245</f>
        <v>M2</v>
      </c>
      <c r="J503" s="220" t="str">
        <f>B513</f>
        <v>Obs: Foi adotado o item 88416 do SINAPI como base por similaridade ao que pede em projeto e alterado apenas o material pelo da cotação realizada</v>
      </c>
    </row>
    <row r="504" spans="1:10">
      <c r="B504" s="628" t="s">
        <v>593</v>
      </c>
      <c r="C504" s="628"/>
      <c r="D504" s="103" t="s">
        <v>579</v>
      </c>
      <c r="E504" s="103" t="s">
        <v>580</v>
      </c>
      <c r="F504" s="103" t="s">
        <v>581</v>
      </c>
      <c r="G504" s="103" t="s">
        <v>582</v>
      </c>
      <c r="H504" s="103" t="s">
        <v>583</v>
      </c>
    </row>
    <row r="505" spans="1:10">
      <c r="B505" s="159" t="str">
        <f>'6 - COTAÇÃO MERCADO'!$B$292</f>
        <v>COT 01.035</v>
      </c>
      <c r="C505" s="221" t="str">
        <f>'6 - COTAÇÃO MERCADO'!C292</f>
        <v>TEXTURA LINHA PREDIAL 200 REF. TERRACOR</v>
      </c>
      <c r="D505" s="159" t="s">
        <v>3280</v>
      </c>
      <c r="E505" s="159" t="str">
        <f>'6 - COTAÇÃO MERCADO'!E292</f>
        <v>KG</v>
      </c>
      <c r="F505" s="174">
        <v>1</v>
      </c>
      <c r="G505" s="160">
        <f>'6 - COTAÇÃO MERCADO'!D292</f>
        <v>19.43</v>
      </c>
      <c r="H505" s="160">
        <f>ROUND(ROUND(F505,8)*G505,2)</f>
        <v>19.43</v>
      </c>
    </row>
    <row r="506" spans="1:10">
      <c r="F506" s="630" t="s">
        <v>604</v>
      </c>
      <c r="G506" s="630"/>
      <c r="H506" s="102">
        <f>H505</f>
        <v>19.43</v>
      </c>
    </row>
    <row r="507" spans="1:10">
      <c r="B507" s="628" t="s">
        <v>607</v>
      </c>
      <c r="C507" s="628"/>
      <c r="D507" s="103" t="s">
        <v>579</v>
      </c>
      <c r="E507" s="103" t="s">
        <v>580</v>
      </c>
      <c r="F507" s="103" t="s">
        <v>581</v>
      </c>
      <c r="G507" s="103" t="s">
        <v>582</v>
      </c>
      <c r="H507" s="103" t="s">
        <v>583</v>
      </c>
    </row>
    <row r="508" spans="1:10">
      <c r="B508" s="159">
        <v>88310</v>
      </c>
      <c r="C508" s="221" t="s">
        <v>663</v>
      </c>
      <c r="D508" s="159" t="s">
        <v>119</v>
      </c>
      <c r="E508" s="159" t="s">
        <v>121</v>
      </c>
      <c r="F508" s="174">
        <v>0.13569999999999999</v>
      </c>
      <c r="G508" s="160">
        <v>33.01</v>
      </c>
      <c r="H508" s="160">
        <f>ROUND(ROUND(F508,8)*G508,2)</f>
        <v>4.4800000000000004</v>
      </c>
    </row>
    <row r="509" spans="1:10">
      <c r="B509" s="159">
        <v>88316</v>
      </c>
      <c r="C509" s="221" t="s">
        <v>626</v>
      </c>
      <c r="D509" s="159" t="s">
        <v>119</v>
      </c>
      <c r="E509" s="159" t="s">
        <v>121</v>
      </c>
      <c r="F509" s="174">
        <v>2.2200000000000001E-2</v>
      </c>
      <c r="G509" s="160">
        <v>23.75</v>
      </c>
      <c r="H509" s="160">
        <f>ROUND(ROUND(F509,8)*G509,2)</f>
        <v>0.53</v>
      </c>
    </row>
    <row r="510" spans="1:10">
      <c r="B510" s="222"/>
      <c r="C510" s="222"/>
      <c r="D510" s="222"/>
      <c r="E510" s="222"/>
      <c r="F510" s="630" t="s">
        <v>585</v>
      </c>
      <c r="G510" s="630"/>
      <c r="H510" s="102">
        <f>H508+H509</f>
        <v>5.0100000000000007</v>
      </c>
    </row>
    <row r="511" spans="1:10">
      <c r="B511" s="222"/>
      <c r="C511" s="222"/>
      <c r="D511" s="222"/>
      <c r="E511" s="222"/>
      <c r="F511" s="645" t="s">
        <v>464</v>
      </c>
      <c r="G511" s="645"/>
      <c r="H511" s="158">
        <f>H506+H510</f>
        <v>24.44</v>
      </c>
    </row>
    <row r="512" spans="1:10">
      <c r="B512" s="222"/>
      <c r="C512" s="222"/>
      <c r="D512" s="222"/>
      <c r="E512" s="222"/>
      <c r="F512" s="111"/>
      <c r="G512" s="111"/>
      <c r="H512" s="228"/>
    </row>
    <row r="513" spans="1:10">
      <c r="B513" s="245" t="s">
        <v>4148</v>
      </c>
      <c r="C513" s="222"/>
      <c r="D513" s="222"/>
      <c r="E513" s="222"/>
      <c r="F513" s="111"/>
      <c r="G513" s="111"/>
      <c r="H513" s="228"/>
    </row>
    <row r="514" spans="1:10">
      <c r="B514" s="222"/>
      <c r="C514" s="222"/>
      <c r="D514" s="222"/>
      <c r="E514" s="222"/>
      <c r="F514" s="111"/>
      <c r="G514" s="111"/>
      <c r="H514" s="228"/>
    </row>
    <row r="515" spans="1:10" ht="27" customHeight="1">
      <c r="A515" s="246" t="str">
        <f>'3 - PLAN. ORÇAMENTÁRIA'!A254</f>
        <v>4.1.6.1.1</v>
      </c>
      <c r="B515" s="178" t="str">
        <f>'3 - PLAN. ORÇAMENTÁRIA'!B254</f>
        <v>CCU 117</v>
      </c>
      <c r="C515" s="631" t="str">
        <f>'3 - PLAN. ORÇAMENTÁRIA'!C254</f>
        <v>VASO SANITÁRIO COM CAIXA DE DESCARGA ACOPLADA, LINHA VOGUE PLUS REFERÊNCIA P.505.17, DECA OU SIMILAR, COM CAIXA ACOPLADA, COR BRANCA, REFERÊNCIA CD 01F 17, DECA OU SIMILAR REF. 100878/SINAPI</v>
      </c>
      <c r="D515" s="632"/>
      <c r="E515" s="632"/>
      <c r="F515" s="632"/>
      <c r="G515" s="633"/>
      <c r="H515" s="131" t="s">
        <v>144</v>
      </c>
      <c r="J515" s="220" t="str">
        <f>B530</f>
        <v>Obs: Foi adotado o item 100878 do SINAPI como base e por similaridade ao que se pede em projeto, foram feitas alterações nos materias, mantendo alguns materiais do item S12099 da fonte ORSE e COTAÇÃO externa, como o Assento, a caixa de descarga e a bacia.</v>
      </c>
    </row>
    <row r="516" spans="1:10">
      <c r="B516" s="652" t="s">
        <v>593</v>
      </c>
      <c r="C516" s="652"/>
      <c r="D516" s="162" t="s">
        <v>579</v>
      </c>
      <c r="E516" s="162" t="s">
        <v>580</v>
      </c>
      <c r="F516" s="162" t="s">
        <v>581</v>
      </c>
      <c r="G516" s="162" t="s">
        <v>582</v>
      </c>
      <c r="H516" s="162" t="s">
        <v>583</v>
      </c>
    </row>
    <row r="517" spans="1:10">
      <c r="B517" s="173" t="s">
        <v>2327</v>
      </c>
      <c r="C517" s="221" t="s">
        <v>2328</v>
      </c>
      <c r="D517" s="159" t="s">
        <v>119</v>
      </c>
      <c r="E517" s="159" t="s">
        <v>1048</v>
      </c>
      <c r="F517" s="174">
        <v>1</v>
      </c>
      <c r="G517" s="160">
        <v>14.66</v>
      </c>
      <c r="H517" s="160">
        <f t="shared" ref="H517:H522" si="3">ROUND(ROUND(F517,8)*G517,2)</f>
        <v>14.66</v>
      </c>
    </row>
    <row r="518" spans="1:10">
      <c r="B518" s="159" t="s">
        <v>1135</v>
      </c>
      <c r="C518" s="221" t="s">
        <v>2158</v>
      </c>
      <c r="D518" s="159" t="s">
        <v>158</v>
      </c>
      <c r="E518" s="159" t="s">
        <v>1048</v>
      </c>
      <c r="F518" s="174">
        <v>1</v>
      </c>
      <c r="G518" s="160">
        <v>899.89</v>
      </c>
      <c r="H518" s="160">
        <f t="shared" si="3"/>
        <v>899.89</v>
      </c>
    </row>
    <row r="519" spans="1:10">
      <c r="B519" s="173" t="s">
        <v>2574</v>
      </c>
      <c r="C519" s="221" t="s">
        <v>2573</v>
      </c>
      <c r="D519" s="159" t="s">
        <v>158</v>
      </c>
      <c r="E519" s="159" t="s">
        <v>173</v>
      </c>
      <c r="F519" s="174">
        <v>0.6</v>
      </c>
      <c r="G519" s="160">
        <v>0.22</v>
      </c>
      <c r="H519" s="160">
        <f t="shared" si="3"/>
        <v>0.13</v>
      </c>
    </row>
    <row r="520" spans="1:10" ht="25.5">
      <c r="B520" s="173" t="s">
        <v>2570</v>
      </c>
      <c r="C520" s="221" t="s">
        <v>2569</v>
      </c>
      <c r="D520" s="159" t="s">
        <v>119</v>
      </c>
      <c r="E520" s="159" t="s">
        <v>1048</v>
      </c>
      <c r="F520" s="174">
        <v>2</v>
      </c>
      <c r="G520" s="160">
        <v>25.97</v>
      </c>
      <c r="H520" s="160">
        <f t="shared" si="3"/>
        <v>51.94</v>
      </c>
    </row>
    <row r="521" spans="1:10">
      <c r="B521" s="173" t="s">
        <v>2571</v>
      </c>
      <c r="C521" s="221" t="s">
        <v>2572</v>
      </c>
      <c r="D521" s="159" t="s">
        <v>119</v>
      </c>
      <c r="E521" s="159" t="s">
        <v>200</v>
      </c>
      <c r="F521" s="174">
        <v>8.8099999999999998E-2</v>
      </c>
      <c r="G521" s="160">
        <v>84.09</v>
      </c>
      <c r="H521" s="160">
        <f t="shared" si="3"/>
        <v>7.41</v>
      </c>
    </row>
    <row r="522" spans="1:10">
      <c r="B522" s="159" t="str">
        <f>'6 - COTAÇÃO MERCADO'!B84</f>
        <v>COT 01.010</v>
      </c>
      <c r="C522" s="221" t="str">
        <f>'6 - COTAÇÃO MERCADO'!C84</f>
        <v>BACIA PARA CAIXA ACOPLADA VOGUE PLUS BRANCA P.505.17, DECA OU SIMILAR</v>
      </c>
      <c r="D522" s="159" t="s">
        <v>3280</v>
      </c>
      <c r="E522" s="159" t="s">
        <v>1048</v>
      </c>
      <c r="F522" s="174">
        <v>1</v>
      </c>
      <c r="G522" s="160">
        <f>'6 - COTAÇÃO MERCADO'!D84</f>
        <v>1073.43</v>
      </c>
      <c r="H522" s="160">
        <f t="shared" si="3"/>
        <v>1073.43</v>
      </c>
    </row>
    <row r="523" spans="1:10">
      <c r="B523" s="222"/>
      <c r="C523" s="222"/>
      <c r="D523" s="222"/>
      <c r="E523" s="222"/>
      <c r="F523" s="630" t="s">
        <v>604</v>
      </c>
      <c r="G523" s="630"/>
      <c r="H523" s="102">
        <f>SUM(H517:H522)</f>
        <v>2047.46</v>
      </c>
    </row>
    <row r="524" spans="1:10">
      <c r="B524" s="628" t="s">
        <v>607</v>
      </c>
      <c r="C524" s="628"/>
      <c r="D524" s="103" t="s">
        <v>579</v>
      </c>
      <c r="E524" s="103" t="s">
        <v>580</v>
      </c>
      <c r="F524" s="103" t="s">
        <v>581</v>
      </c>
      <c r="G524" s="103" t="s">
        <v>582</v>
      </c>
      <c r="H524" s="103" t="s">
        <v>583</v>
      </c>
    </row>
    <row r="525" spans="1:10">
      <c r="B525" s="159">
        <v>88267</v>
      </c>
      <c r="C525" s="221" t="s">
        <v>612</v>
      </c>
      <c r="D525" s="159" t="s">
        <v>119</v>
      </c>
      <c r="E525" s="159" t="s">
        <v>121</v>
      </c>
      <c r="F525" s="174">
        <v>1.3121</v>
      </c>
      <c r="G525" s="160">
        <v>30.62</v>
      </c>
      <c r="H525" s="160">
        <f>ROUND(ROUND(F525,8)*G525,2)</f>
        <v>40.18</v>
      </c>
    </row>
    <row r="526" spans="1:10">
      <c r="B526" s="159">
        <v>88316</v>
      </c>
      <c r="C526" s="221" t="s">
        <v>626</v>
      </c>
      <c r="D526" s="159" t="s">
        <v>119</v>
      </c>
      <c r="E526" s="159" t="s">
        <v>121</v>
      </c>
      <c r="F526" s="174">
        <v>0.60629999999999995</v>
      </c>
      <c r="G526" s="160">
        <v>23.75</v>
      </c>
      <c r="H526" s="160">
        <f>ROUND(ROUND(F526,8)*G526,2)</f>
        <v>14.4</v>
      </c>
    </row>
    <row r="527" spans="1:10">
      <c r="B527" s="222"/>
      <c r="C527" s="222"/>
      <c r="D527" s="222"/>
      <c r="E527" s="222"/>
      <c r="F527" s="630" t="s">
        <v>585</v>
      </c>
      <c r="G527" s="630"/>
      <c r="H527" s="102">
        <f>H525+H526</f>
        <v>54.58</v>
      </c>
    </row>
    <row r="528" spans="1:10">
      <c r="B528" s="222"/>
      <c r="C528" s="222"/>
      <c r="D528" s="222"/>
      <c r="E528" s="222"/>
      <c r="F528" s="630" t="s">
        <v>464</v>
      </c>
      <c r="G528" s="630"/>
      <c r="H528" s="102">
        <f>H527+H523</f>
        <v>2102.04</v>
      </c>
    </row>
    <row r="530" spans="1:10">
      <c r="B530" s="245" t="s">
        <v>2575</v>
      </c>
    </row>
    <row r="531" spans="1:10">
      <c r="B531" s="222"/>
      <c r="C531" s="222"/>
      <c r="D531" s="222"/>
      <c r="E531" s="222"/>
      <c r="F531" s="111"/>
      <c r="G531" s="111"/>
      <c r="H531" s="228"/>
    </row>
    <row r="532" spans="1:10" ht="27" customHeight="1">
      <c r="A532" s="246" t="str">
        <f>'3 - PLAN. ORÇAMENTÁRIA'!A255</f>
        <v>4.1.6.1.2</v>
      </c>
      <c r="B532" s="178" t="str">
        <f>'3 - PLAN. ORÇAMENTÁRIA'!B255</f>
        <v>CCU 118</v>
      </c>
      <c r="C532" s="631" t="str">
        <f>'3 - PLAN. ORÇAMENTÁRIA'!C255</f>
        <v>VASO SANITÁRIO COM CAIXA DE DESCARGA ACOPLADA, PARA SANITÁRIO ACESSÍVEL, LINHA VOGUE PLUS CONFORTO, SEM ABERTURA FRONTAL P.515.17, DECA OU SIMILAR, COM CAIXA ACOPLADA LINHA VOGUE PLUS CONFORTO, COR BRANCA, REFERÊNCIA CDC 01F 17, DECA OU SIMILAR REF. 100878/SINAPI</v>
      </c>
      <c r="D532" s="632"/>
      <c r="E532" s="632"/>
      <c r="F532" s="632"/>
      <c r="G532" s="633"/>
      <c r="H532" s="131" t="s">
        <v>144</v>
      </c>
      <c r="J532" s="220" t="str">
        <f>B547</f>
        <v>Obs: Foi adotado o item 100878 do SINAPI como base e por similaridade ao que se pede em projeto, foram feitas alterações nos materias, mantendo alguns materiais do item S12099 da fonte ORSE, como o Assento, a caixa de descarga e a bacia, além do acréscimo de outros materiasi da fonte SINAPI</v>
      </c>
    </row>
    <row r="533" spans="1:10">
      <c r="B533" s="652" t="s">
        <v>593</v>
      </c>
      <c r="C533" s="652"/>
      <c r="D533" s="162" t="s">
        <v>579</v>
      </c>
      <c r="E533" s="162" t="s">
        <v>580</v>
      </c>
      <c r="F533" s="162" t="s">
        <v>581</v>
      </c>
      <c r="G533" s="162" t="s">
        <v>582</v>
      </c>
      <c r="H533" s="162" t="s">
        <v>583</v>
      </c>
    </row>
    <row r="534" spans="1:10">
      <c r="B534" s="173" t="s">
        <v>2327</v>
      </c>
      <c r="C534" s="221" t="s">
        <v>2328</v>
      </c>
      <c r="D534" s="159" t="s">
        <v>119</v>
      </c>
      <c r="E534" s="159" t="s">
        <v>1048</v>
      </c>
      <c r="F534" s="174">
        <v>1</v>
      </c>
      <c r="G534" s="160">
        <v>14.66</v>
      </c>
      <c r="H534" s="160">
        <f t="shared" ref="H534:H539" si="4">ROUND(ROUND(F534,8)*G534,2)</f>
        <v>14.66</v>
      </c>
    </row>
    <row r="535" spans="1:10">
      <c r="B535" s="159" t="s">
        <v>1135</v>
      </c>
      <c r="C535" s="221" t="s">
        <v>2158</v>
      </c>
      <c r="D535" s="159" t="s">
        <v>158</v>
      </c>
      <c r="E535" s="159" t="s">
        <v>1048</v>
      </c>
      <c r="F535" s="174">
        <v>1</v>
      </c>
      <c r="G535" s="160">
        <v>899.89</v>
      </c>
      <c r="H535" s="160">
        <f t="shared" si="4"/>
        <v>899.89</v>
      </c>
    </row>
    <row r="536" spans="1:10">
      <c r="B536" s="173" t="s">
        <v>2574</v>
      </c>
      <c r="C536" s="221" t="s">
        <v>2573</v>
      </c>
      <c r="D536" s="159" t="s">
        <v>158</v>
      </c>
      <c r="E536" s="159" t="s">
        <v>173</v>
      </c>
      <c r="F536" s="174">
        <v>0.6</v>
      </c>
      <c r="G536" s="160">
        <v>0.22</v>
      </c>
      <c r="H536" s="160">
        <f t="shared" si="4"/>
        <v>0.13</v>
      </c>
    </row>
    <row r="537" spans="1:10" ht="25.5">
      <c r="B537" s="173" t="s">
        <v>2570</v>
      </c>
      <c r="C537" s="221" t="s">
        <v>2569</v>
      </c>
      <c r="D537" s="159" t="s">
        <v>119</v>
      </c>
      <c r="E537" s="159" t="s">
        <v>1048</v>
      </c>
      <c r="F537" s="174">
        <v>2</v>
      </c>
      <c r="G537" s="160">
        <v>25.97</v>
      </c>
      <c r="H537" s="160">
        <f t="shared" si="4"/>
        <v>51.94</v>
      </c>
    </row>
    <row r="538" spans="1:10">
      <c r="B538" s="173" t="s">
        <v>2571</v>
      </c>
      <c r="C538" s="221" t="s">
        <v>2572</v>
      </c>
      <c r="D538" s="159" t="s">
        <v>119</v>
      </c>
      <c r="E538" s="159" t="s">
        <v>200</v>
      </c>
      <c r="F538" s="174">
        <v>8.8099999999999998E-2</v>
      </c>
      <c r="G538" s="160">
        <v>84.09</v>
      </c>
      <c r="H538" s="160">
        <f t="shared" si="4"/>
        <v>7.41</v>
      </c>
    </row>
    <row r="539" spans="1:10">
      <c r="B539" s="159" t="s">
        <v>1136</v>
      </c>
      <c r="C539" s="221" t="s">
        <v>2329</v>
      </c>
      <c r="D539" s="159" t="s">
        <v>158</v>
      </c>
      <c r="E539" s="159" t="s">
        <v>1048</v>
      </c>
      <c r="F539" s="174">
        <v>1</v>
      </c>
      <c r="G539" s="160">
        <v>1284.8900000000001</v>
      </c>
      <c r="H539" s="160">
        <f t="shared" si="4"/>
        <v>1284.8900000000001</v>
      </c>
    </row>
    <row r="540" spans="1:10">
      <c r="B540" s="222"/>
      <c r="C540" s="222"/>
      <c r="D540" s="222"/>
      <c r="E540" s="222"/>
      <c r="F540" s="630" t="s">
        <v>604</v>
      </c>
      <c r="G540" s="630"/>
      <c r="H540" s="102">
        <f>SUM(H534:H539)</f>
        <v>2258.92</v>
      </c>
    </row>
    <row r="541" spans="1:10">
      <c r="B541" s="628" t="s">
        <v>607</v>
      </c>
      <c r="C541" s="628"/>
      <c r="D541" s="103" t="s">
        <v>579</v>
      </c>
      <c r="E541" s="103" t="s">
        <v>580</v>
      </c>
      <c r="F541" s="103" t="s">
        <v>581</v>
      </c>
      <c r="G541" s="103" t="s">
        <v>582</v>
      </c>
      <c r="H541" s="103" t="s">
        <v>583</v>
      </c>
    </row>
    <row r="542" spans="1:10">
      <c r="B542" s="159">
        <v>88267</v>
      </c>
      <c r="C542" s="221" t="s">
        <v>612</v>
      </c>
      <c r="D542" s="159" t="s">
        <v>119</v>
      </c>
      <c r="E542" s="159" t="s">
        <v>121</v>
      </c>
      <c r="F542" s="174">
        <v>1.3121</v>
      </c>
      <c r="G542" s="160">
        <v>30.62</v>
      </c>
      <c r="H542" s="160">
        <f>ROUND(ROUND(F542,8)*G542,2)</f>
        <v>40.18</v>
      </c>
    </row>
    <row r="543" spans="1:10">
      <c r="B543" s="159">
        <v>88316</v>
      </c>
      <c r="C543" s="221" t="s">
        <v>626</v>
      </c>
      <c r="D543" s="159" t="s">
        <v>119</v>
      </c>
      <c r="E543" s="159" t="s">
        <v>121</v>
      </c>
      <c r="F543" s="174">
        <v>0.60629999999999995</v>
      </c>
      <c r="G543" s="160">
        <v>23.75</v>
      </c>
      <c r="H543" s="160">
        <f>ROUND(ROUND(F543,8)*G543,2)</f>
        <v>14.4</v>
      </c>
    </row>
    <row r="544" spans="1:10">
      <c r="B544" s="222"/>
      <c r="C544" s="222"/>
      <c r="D544" s="222"/>
      <c r="E544" s="222"/>
      <c r="F544" s="630" t="s">
        <v>585</v>
      </c>
      <c r="G544" s="630"/>
      <c r="H544" s="102">
        <f>H542+H543</f>
        <v>54.58</v>
      </c>
    </row>
    <row r="545" spans="1:10">
      <c r="B545" s="222"/>
      <c r="C545" s="222"/>
      <c r="D545" s="222"/>
      <c r="E545" s="222"/>
      <c r="F545" s="630" t="s">
        <v>464</v>
      </c>
      <c r="G545" s="630"/>
      <c r="H545" s="102">
        <f>H544+H540</f>
        <v>2313.5</v>
      </c>
    </row>
    <row r="547" spans="1:10">
      <c r="B547" s="245" t="s">
        <v>2581</v>
      </c>
    </row>
    <row r="548" spans="1:10">
      <c r="B548" s="222"/>
      <c r="C548" s="222"/>
      <c r="D548" s="222"/>
      <c r="E548" s="222"/>
      <c r="F548" s="111"/>
      <c r="G548" s="111"/>
      <c r="H548" s="228"/>
    </row>
    <row r="549" spans="1:10" ht="25.5" customHeight="1">
      <c r="A549" s="246" t="str">
        <f>'3 - PLAN. ORÇAMENTÁRIA'!A258</f>
        <v>4.1.6.1.5</v>
      </c>
      <c r="B549" s="178" t="str">
        <f>'3 - PLAN. ORÇAMENTÁRIA'!B258</f>
        <v>CCU 119</v>
      </c>
      <c r="C549" s="631" t="str">
        <f>'3 - PLAN. ORÇAMENTÁRIA'!C258</f>
        <v>LAVATÓRIO LOUÇA (DECA-LINHA VOGUE PLUS CONFORTO, REF L-510 OU SIMILAR) COM COLUNA SUSPENSA, (DECA, LINHA VOGUE PLUS CONFORTO, REF. C-510 OU SIMILAR), EXCLUSIVE TORNEIRA REF. 86902/SINAPI</v>
      </c>
      <c r="D549" s="632"/>
      <c r="E549" s="632"/>
      <c r="F549" s="632"/>
      <c r="G549" s="633"/>
      <c r="H549" s="131" t="s">
        <v>144</v>
      </c>
      <c r="J549" s="220" t="str">
        <f>B562</f>
        <v>Obs: Foi adotado o item 86902 do SINAPI como base e por similaridade ao que se pede em projeto, foram feitas alterações nos materias, mantendo alguns materiais do item S07759 da fonte ORSE, como a Coluna, Lavatório e Válvla de escoamento, além do acréscimo de outros materiasi da fonte SINAPI</v>
      </c>
    </row>
    <row r="550" spans="1:10">
      <c r="B550" s="628" t="s">
        <v>593</v>
      </c>
      <c r="C550" s="628"/>
      <c r="D550" s="103" t="s">
        <v>579</v>
      </c>
      <c r="E550" s="103" t="s">
        <v>580</v>
      </c>
      <c r="F550" s="103" t="s">
        <v>581</v>
      </c>
      <c r="G550" s="103" t="s">
        <v>582</v>
      </c>
      <c r="H550" s="103" t="s">
        <v>583</v>
      </c>
    </row>
    <row r="551" spans="1:10">
      <c r="B551" s="159" t="s">
        <v>1137</v>
      </c>
      <c r="C551" s="221" t="s">
        <v>1140</v>
      </c>
      <c r="D551" s="159" t="s">
        <v>158</v>
      </c>
      <c r="E551" s="159" t="s">
        <v>1048</v>
      </c>
      <c r="F551" s="174">
        <v>1</v>
      </c>
      <c r="G551" s="160">
        <v>152.28</v>
      </c>
      <c r="H551" s="160">
        <f t="shared" ref="H551:H554" si="5">ROUND(ROUND(F551,8)*G551,2)</f>
        <v>152.28</v>
      </c>
    </row>
    <row r="552" spans="1:10" ht="25.5">
      <c r="B552" s="173" t="s">
        <v>1502</v>
      </c>
      <c r="C552" s="221" t="s">
        <v>1503</v>
      </c>
      <c r="D552" s="159" t="s">
        <v>119</v>
      </c>
      <c r="E552" s="159" t="s">
        <v>1048</v>
      </c>
      <c r="F552" s="174">
        <v>6</v>
      </c>
      <c r="G552" s="160">
        <v>19.260000000000002</v>
      </c>
      <c r="H552" s="160">
        <f t="shared" si="5"/>
        <v>115.56</v>
      </c>
    </row>
    <row r="553" spans="1:10">
      <c r="B553" s="159" t="s">
        <v>1138</v>
      </c>
      <c r="C553" s="221" t="s">
        <v>1141</v>
      </c>
      <c r="D553" s="159" t="s">
        <v>158</v>
      </c>
      <c r="E553" s="159" t="s">
        <v>1048</v>
      </c>
      <c r="F553" s="174">
        <v>1</v>
      </c>
      <c r="G553" s="160">
        <v>289.89</v>
      </c>
      <c r="H553" s="160">
        <f t="shared" si="5"/>
        <v>289.89</v>
      </c>
    </row>
    <row r="554" spans="1:10">
      <c r="B554" s="173" t="s">
        <v>2578</v>
      </c>
      <c r="C554" s="221" t="s">
        <v>2572</v>
      </c>
      <c r="D554" s="159" t="s">
        <v>119</v>
      </c>
      <c r="E554" s="159" t="s">
        <v>200</v>
      </c>
      <c r="F554" s="174">
        <v>7.6499999999999999E-2</v>
      </c>
      <c r="G554" s="160">
        <v>84.09</v>
      </c>
      <c r="H554" s="160">
        <f t="shared" si="5"/>
        <v>6.43</v>
      </c>
    </row>
    <row r="555" spans="1:10">
      <c r="B555" s="222"/>
      <c r="C555" s="222"/>
      <c r="D555" s="222"/>
      <c r="E555" s="222"/>
      <c r="F555" s="630" t="s">
        <v>604</v>
      </c>
      <c r="G555" s="630"/>
      <c r="H555" s="102">
        <f>SUM(H551:H554)</f>
        <v>564.16</v>
      </c>
    </row>
    <row r="556" spans="1:10">
      <c r="B556" s="628" t="s">
        <v>607</v>
      </c>
      <c r="C556" s="628"/>
      <c r="D556" s="103" t="s">
        <v>579</v>
      </c>
      <c r="E556" s="103" t="s">
        <v>580</v>
      </c>
      <c r="F556" s="103" t="s">
        <v>581</v>
      </c>
      <c r="G556" s="103" t="s">
        <v>582</v>
      </c>
      <c r="H556" s="103" t="s">
        <v>583</v>
      </c>
    </row>
    <row r="557" spans="1:10">
      <c r="B557" s="159">
        <v>88267</v>
      </c>
      <c r="C557" s="221" t="s">
        <v>612</v>
      </c>
      <c r="D557" s="159" t="s">
        <v>119</v>
      </c>
      <c r="E557" s="159" t="s">
        <v>121</v>
      </c>
      <c r="F557" s="174">
        <v>0.87880000000000003</v>
      </c>
      <c r="G557" s="160">
        <v>30.62</v>
      </c>
      <c r="H557" s="160">
        <f>ROUND(ROUND(F557,8)*G557,2)</f>
        <v>26.91</v>
      </c>
    </row>
    <row r="558" spans="1:10">
      <c r="B558" s="159">
        <v>88316</v>
      </c>
      <c r="C558" s="221" t="s">
        <v>626</v>
      </c>
      <c r="D558" s="159" t="s">
        <v>119</v>
      </c>
      <c r="E558" s="159" t="s">
        <v>121</v>
      </c>
      <c r="F558" s="174">
        <v>0.44429999999999997</v>
      </c>
      <c r="G558" s="160">
        <v>23.75</v>
      </c>
      <c r="H558" s="160">
        <f>ROUND(ROUND(F558,8)*G558,2)</f>
        <v>10.55</v>
      </c>
    </row>
    <row r="559" spans="1:10">
      <c r="B559" s="222"/>
      <c r="C559" s="222"/>
      <c r="D559" s="222"/>
      <c r="E559" s="222"/>
      <c r="F559" s="630" t="s">
        <v>585</v>
      </c>
      <c r="G559" s="630"/>
      <c r="H559" s="102">
        <f>H557+H558</f>
        <v>37.46</v>
      </c>
    </row>
    <row r="560" spans="1:10">
      <c r="B560" s="222"/>
      <c r="C560" s="222"/>
      <c r="D560" s="222"/>
      <c r="E560" s="222"/>
      <c r="F560" s="630" t="s">
        <v>464</v>
      </c>
      <c r="G560" s="630"/>
      <c r="H560" s="102">
        <f>H559+H555</f>
        <v>601.62</v>
      </c>
    </row>
    <row r="561" spans="1:10">
      <c r="B561" s="222"/>
      <c r="C561" s="222"/>
      <c r="D561" s="222"/>
      <c r="E561" s="222"/>
      <c r="F561" s="226"/>
      <c r="G561" s="226"/>
      <c r="H561" s="226"/>
    </row>
    <row r="562" spans="1:10">
      <c r="B562" s="245" t="s">
        <v>2580</v>
      </c>
    </row>
    <row r="563" spans="1:10">
      <c r="B563" s="222"/>
      <c r="C563" s="222"/>
      <c r="D563" s="222"/>
      <c r="E563" s="222"/>
      <c r="F563" s="111"/>
      <c r="G563" s="111"/>
      <c r="H563" s="228"/>
    </row>
    <row r="564" spans="1:10">
      <c r="A564" s="246" t="str">
        <f>'3 - PLAN. ORÇAMENTÁRIA'!A260</f>
        <v>4.1.6.1.7</v>
      </c>
      <c r="B564" s="178" t="str">
        <f>'3 - PLAN. ORÇAMENTÁRIA'!B260</f>
        <v>CCU 120</v>
      </c>
      <c r="C564" s="631" t="str">
        <f>'3 - PLAN. ORÇAMENTÁRIA'!C260</f>
        <v>CUBA DE EMBUTIR QUADRADA EM LOUÇA BRANCA, *30 x 30*CM, EXCLUSIVE TORNEIRA REF. 100852/SINAPI</v>
      </c>
      <c r="D564" s="632"/>
      <c r="E564" s="632"/>
      <c r="F564" s="632"/>
      <c r="G564" s="633"/>
      <c r="H564" s="131" t="str">
        <f>'3 - PLAN. ORÇAMENTÁRIA'!E260</f>
        <v>UN</v>
      </c>
      <c r="J564" s="220" t="str">
        <f>B576</f>
        <v>Obs: Foi adotado o item 100852 do SINAPI como base e por similaridade ao que se pede em projeto, foram feitas alterações nos materias, mantendo alguns materiais do item S13541 da fonte ORSE, como a Cuba e a Fita veda rosca, além do acréscimo de outros materiasi da fonte SINAPI</v>
      </c>
    </row>
    <row r="565" spans="1:10">
      <c r="B565" s="628" t="s">
        <v>593</v>
      </c>
      <c r="C565" s="628"/>
      <c r="D565" s="103" t="s">
        <v>579</v>
      </c>
      <c r="E565" s="103" t="s">
        <v>580</v>
      </c>
      <c r="F565" s="103" t="s">
        <v>581</v>
      </c>
      <c r="G565" s="103" t="s">
        <v>582</v>
      </c>
      <c r="H565" s="103" t="s">
        <v>583</v>
      </c>
    </row>
    <row r="566" spans="1:10">
      <c r="B566" s="159" t="s">
        <v>2370</v>
      </c>
      <c r="C566" s="221" t="s">
        <v>2369</v>
      </c>
      <c r="D566" s="159" t="s">
        <v>158</v>
      </c>
      <c r="E566" s="159" t="s">
        <v>1048</v>
      </c>
      <c r="F566" s="174">
        <v>1</v>
      </c>
      <c r="G566" s="160">
        <v>697.75</v>
      </c>
      <c r="H566" s="160">
        <f t="shared" ref="H566:H568" si="6">ROUND(ROUND(F566,8)*G566,2)</f>
        <v>697.75</v>
      </c>
    </row>
    <row r="567" spans="1:10">
      <c r="B567" s="173" t="s">
        <v>2574</v>
      </c>
      <c r="C567" s="221" t="s">
        <v>2573</v>
      </c>
      <c r="D567" s="159" t="s">
        <v>158</v>
      </c>
      <c r="E567" s="159" t="s">
        <v>173</v>
      </c>
      <c r="F567" s="174">
        <v>0.84</v>
      </c>
      <c r="G567" s="160">
        <v>0.22</v>
      </c>
      <c r="H567" s="160">
        <f t="shared" si="6"/>
        <v>0.18</v>
      </c>
    </row>
    <row r="568" spans="1:10">
      <c r="B568" s="173" t="s">
        <v>2587</v>
      </c>
      <c r="C568" s="221" t="s">
        <v>2586</v>
      </c>
      <c r="D568" s="159" t="s">
        <v>119</v>
      </c>
      <c r="E568" s="159" t="s">
        <v>200</v>
      </c>
      <c r="F568" s="174">
        <v>0.34599999999999997</v>
      </c>
      <c r="G568" s="160">
        <v>34.36</v>
      </c>
      <c r="H568" s="160">
        <f t="shared" si="6"/>
        <v>11.89</v>
      </c>
    </row>
    <row r="569" spans="1:10">
      <c r="B569" s="222"/>
      <c r="C569" s="222"/>
      <c r="D569" s="222"/>
      <c r="E569" s="222"/>
      <c r="F569" s="630" t="s">
        <v>604</v>
      </c>
      <c r="G569" s="630"/>
      <c r="H569" s="102">
        <f>SUM(H566:H568)</f>
        <v>709.81999999999994</v>
      </c>
    </row>
    <row r="570" spans="1:10">
      <c r="B570" s="628" t="s">
        <v>607</v>
      </c>
      <c r="C570" s="628"/>
      <c r="D570" s="103" t="s">
        <v>579</v>
      </c>
      <c r="E570" s="103" t="s">
        <v>580</v>
      </c>
      <c r="F570" s="103" t="s">
        <v>581</v>
      </c>
      <c r="G570" s="103" t="s">
        <v>582</v>
      </c>
      <c r="H570" s="103" t="s">
        <v>583</v>
      </c>
    </row>
    <row r="571" spans="1:10">
      <c r="B571" s="159">
        <v>88274</v>
      </c>
      <c r="C571" s="221" t="s">
        <v>2540</v>
      </c>
      <c r="D571" s="159" t="s">
        <v>119</v>
      </c>
      <c r="E571" s="159" t="s">
        <v>121</v>
      </c>
      <c r="F571" s="174">
        <v>0.47739999999999999</v>
      </c>
      <c r="G571" s="160">
        <v>31.2</v>
      </c>
      <c r="H571" s="160">
        <f>ROUND(ROUND(F571,8)*G571,2)</f>
        <v>14.89</v>
      </c>
    </row>
    <row r="572" spans="1:10">
      <c r="B572" s="159">
        <v>88316</v>
      </c>
      <c r="C572" s="221" t="s">
        <v>626</v>
      </c>
      <c r="D572" s="159" t="s">
        <v>119</v>
      </c>
      <c r="E572" s="159" t="s">
        <v>121</v>
      </c>
      <c r="F572" s="174">
        <v>0.15040000000000001</v>
      </c>
      <c r="G572" s="160">
        <v>23.75</v>
      </c>
      <c r="H572" s="160">
        <f>ROUND(ROUND(F572,8)*G572,2)</f>
        <v>3.57</v>
      </c>
    </row>
    <row r="573" spans="1:10">
      <c r="B573" s="222"/>
      <c r="C573" s="222"/>
      <c r="D573" s="222"/>
      <c r="E573" s="222"/>
      <c r="F573" s="630" t="s">
        <v>585</v>
      </c>
      <c r="G573" s="630"/>
      <c r="H573" s="102">
        <f>H571+H572</f>
        <v>18.46</v>
      </c>
    </row>
    <row r="574" spans="1:10">
      <c r="B574" s="222"/>
      <c r="C574" s="222"/>
      <c r="D574" s="222"/>
      <c r="E574" s="222"/>
      <c r="F574" s="630" t="s">
        <v>464</v>
      </c>
      <c r="G574" s="630"/>
      <c r="H574" s="102">
        <f>H573+H569</f>
        <v>728.28</v>
      </c>
    </row>
    <row r="576" spans="1:10">
      <c r="B576" s="245" t="s">
        <v>2579</v>
      </c>
    </row>
    <row r="577" spans="1:10">
      <c r="B577" s="222"/>
      <c r="C577" s="222"/>
      <c r="D577" s="222"/>
      <c r="E577" s="222"/>
      <c r="F577" s="111"/>
      <c r="G577" s="111"/>
      <c r="H577" s="228"/>
    </row>
    <row r="578" spans="1:10">
      <c r="A578" s="246" t="str">
        <f>'3 - PLAN. ORÇAMENTÁRIA'!A267</f>
        <v>4.1.6.1.14</v>
      </c>
      <c r="B578" s="178" t="str">
        <f>'3 - PLAN. ORÇAMENTÁRIA'!B267</f>
        <v>CCU 121</v>
      </c>
      <c r="C578" s="631" t="str">
        <f>'3 - PLAN. ORÇAMENTÁRIA'!C267</f>
        <v>TORNEIRA DE MESA COM FECHAMENTO AUTOMÁTICO, LINHA DECAMATIC ECO, REF.1173.C, DECA OU SIMILAR REF. 100853/SINAPI</v>
      </c>
      <c r="D578" s="632"/>
      <c r="E578" s="632"/>
      <c r="F578" s="632"/>
      <c r="G578" s="633"/>
      <c r="H578" s="131" t="s">
        <v>144</v>
      </c>
      <c r="J578" s="220" t="str">
        <f>B589</f>
        <v>Obs: Foi adotado o item 100853 do SINAPI como base e por similaridade ao que se pede em projeto, susbtituído o material da torneira pelo do item S09676 do ORSE.</v>
      </c>
    </row>
    <row r="579" spans="1:10">
      <c r="B579" s="628" t="s">
        <v>593</v>
      </c>
      <c r="C579" s="628"/>
      <c r="D579" s="103" t="s">
        <v>579</v>
      </c>
      <c r="E579" s="103" t="s">
        <v>580</v>
      </c>
      <c r="F579" s="103" t="s">
        <v>581</v>
      </c>
      <c r="G579" s="103" t="s">
        <v>582</v>
      </c>
      <c r="H579" s="103" t="s">
        <v>583</v>
      </c>
    </row>
    <row r="580" spans="1:10">
      <c r="B580" s="173" t="s">
        <v>1544</v>
      </c>
      <c r="C580" s="221" t="s">
        <v>1017</v>
      </c>
      <c r="D580" s="159" t="s">
        <v>119</v>
      </c>
      <c r="E580" s="159" t="s">
        <v>1048</v>
      </c>
      <c r="F580" s="174">
        <v>4.2000000000000003E-2</v>
      </c>
      <c r="G580" s="160">
        <v>3.9</v>
      </c>
      <c r="H580" s="160">
        <f>ROUND(ROUND(F580,8)*G580,2)</f>
        <v>0.16</v>
      </c>
    </row>
    <row r="581" spans="1:10">
      <c r="B581" s="159" t="s">
        <v>1233</v>
      </c>
      <c r="C581" s="221" t="s">
        <v>1232</v>
      </c>
      <c r="D581" s="159" t="s">
        <v>158</v>
      </c>
      <c r="E581" s="159" t="s">
        <v>1048</v>
      </c>
      <c r="F581" s="174">
        <v>1</v>
      </c>
      <c r="G581" s="160">
        <v>254.19</v>
      </c>
      <c r="H581" s="160">
        <f>ROUND(ROUND(F581,8)*G581,2)</f>
        <v>254.19</v>
      </c>
    </row>
    <row r="582" spans="1:10">
      <c r="F582" s="630" t="s">
        <v>604</v>
      </c>
      <c r="G582" s="630"/>
      <c r="H582" s="102">
        <f>SUM(H580:H581)</f>
        <v>254.35</v>
      </c>
    </row>
    <row r="583" spans="1:10">
      <c r="B583" s="628" t="s">
        <v>607</v>
      </c>
      <c r="C583" s="628"/>
      <c r="D583" s="103" t="s">
        <v>579</v>
      </c>
      <c r="E583" s="103" t="s">
        <v>580</v>
      </c>
      <c r="F583" s="103" t="s">
        <v>581</v>
      </c>
      <c r="G583" s="103" t="s">
        <v>582</v>
      </c>
      <c r="H583" s="103" t="s">
        <v>583</v>
      </c>
    </row>
    <row r="584" spans="1:10">
      <c r="B584" s="159">
        <v>88267</v>
      </c>
      <c r="C584" s="221" t="s">
        <v>612</v>
      </c>
      <c r="D584" s="159" t="s">
        <v>119</v>
      </c>
      <c r="E584" s="159" t="s">
        <v>121</v>
      </c>
      <c r="F584" s="174">
        <v>0.46300000000000002</v>
      </c>
      <c r="G584" s="160">
        <v>30.62</v>
      </c>
      <c r="H584" s="160">
        <f>ROUND(ROUND(F584,8)*G584,2)</f>
        <v>14.18</v>
      </c>
    </row>
    <row r="585" spans="1:10">
      <c r="B585" s="159">
        <v>88316</v>
      </c>
      <c r="C585" s="221" t="s">
        <v>626</v>
      </c>
      <c r="D585" s="159" t="s">
        <v>119</v>
      </c>
      <c r="E585" s="159" t="s">
        <v>121</v>
      </c>
      <c r="F585" s="174">
        <v>0.1459</v>
      </c>
      <c r="G585" s="160">
        <v>23.75</v>
      </c>
      <c r="H585" s="160">
        <f>ROUND(ROUND(F585,8)*G585,2)</f>
        <v>3.47</v>
      </c>
    </row>
    <row r="586" spans="1:10">
      <c r="B586" s="222"/>
      <c r="C586" s="222"/>
      <c r="D586" s="222"/>
      <c r="E586" s="222"/>
      <c r="F586" s="630" t="s">
        <v>585</v>
      </c>
      <c r="G586" s="630"/>
      <c r="H586" s="102">
        <f>H584+H585</f>
        <v>17.649999999999999</v>
      </c>
    </row>
    <row r="587" spans="1:10">
      <c r="B587" s="222"/>
      <c r="C587" s="222"/>
      <c r="D587" s="222"/>
      <c r="E587" s="222"/>
      <c r="F587" s="630" t="s">
        <v>464</v>
      </c>
      <c r="G587" s="630"/>
      <c r="H587" s="102">
        <f>H586+H582</f>
        <v>272</v>
      </c>
    </row>
    <row r="589" spans="1:10">
      <c r="B589" s="245" t="s">
        <v>2582</v>
      </c>
    </row>
    <row r="590" spans="1:10">
      <c r="B590" s="222"/>
      <c r="C590" s="222"/>
      <c r="D590" s="222"/>
      <c r="E590" s="222"/>
      <c r="F590" s="111"/>
      <c r="G590" s="111"/>
      <c r="H590" s="228"/>
    </row>
    <row r="591" spans="1:10">
      <c r="A591" s="246" t="str">
        <f>'3 - PLAN. ORÇAMENTÁRIA'!A259</f>
        <v>4.1.6.1.6</v>
      </c>
      <c r="B591" s="178" t="str">
        <f>'3 - PLAN. ORÇAMENTÁRIA'!B259</f>
        <v>CCU 126</v>
      </c>
      <c r="C591" s="631" t="str">
        <f>'3 - PLAN. ORÇAMENTÁRIA'!C259</f>
        <v>LAVATÓRIO LOUÇA SUSPENSO 39,5 X 29,5 CM, LINHA IZY, REF. L.15.17, DECA OU SIMILAR, SEM COLUNA, C/ SIFÃO CROMADO, EXCLUSIVE TORNEIRA REF. 86904/SINAPI</v>
      </c>
      <c r="D591" s="632"/>
      <c r="E591" s="632"/>
      <c r="F591" s="632"/>
      <c r="G591" s="633"/>
      <c r="H591" s="131" t="s">
        <v>144</v>
      </c>
      <c r="J591" s="220" t="str">
        <f>B603</f>
        <v>Obs: Foi adotado o item 86904 do SINAPI como base e por similaridade ao que se pede em projeto, foram feitas alterações nos materias, mantendo alguns materiais do item S13655 da fonte ORSE, como o Lavatório e Válvla de escoamento, além do acréscimo de outros materiais da fonte SINAPI</v>
      </c>
    </row>
    <row r="592" spans="1:10">
      <c r="B592" s="628" t="s">
        <v>593</v>
      </c>
      <c r="C592" s="628"/>
      <c r="D592" s="103" t="s">
        <v>579</v>
      </c>
      <c r="E592" s="103" t="s">
        <v>580</v>
      </c>
      <c r="F592" s="103" t="s">
        <v>581</v>
      </c>
      <c r="G592" s="103" t="s">
        <v>582</v>
      </c>
      <c r="H592" s="103" t="s">
        <v>583</v>
      </c>
    </row>
    <row r="593" spans="1:10" ht="25.5">
      <c r="B593" s="173" t="s">
        <v>1502</v>
      </c>
      <c r="C593" s="221" t="s">
        <v>1503</v>
      </c>
      <c r="D593" s="159" t="s">
        <v>119</v>
      </c>
      <c r="E593" s="159" t="s">
        <v>1048</v>
      </c>
      <c r="F593" s="174">
        <v>2</v>
      </c>
      <c r="G593" s="160">
        <v>19.260000000000002</v>
      </c>
      <c r="H593" s="160">
        <f t="shared" ref="H593:H595" si="7">ROUND(ROUND(F593,8)*G593,2)</f>
        <v>38.520000000000003</v>
      </c>
    </row>
    <row r="594" spans="1:10">
      <c r="B594" s="159" t="s">
        <v>2702</v>
      </c>
      <c r="C594" s="221" t="s">
        <v>2701</v>
      </c>
      <c r="D594" s="159" t="s">
        <v>158</v>
      </c>
      <c r="E594" s="159" t="s">
        <v>1048</v>
      </c>
      <c r="F594" s="174">
        <v>1</v>
      </c>
      <c r="G594" s="160">
        <v>198.75</v>
      </c>
      <c r="H594" s="160">
        <f t="shared" si="7"/>
        <v>198.75</v>
      </c>
    </row>
    <row r="595" spans="1:10">
      <c r="B595" s="173" t="s">
        <v>2578</v>
      </c>
      <c r="C595" s="221" t="s">
        <v>2572</v>
      </c>
      <c r="D595" s="159" t="s">
        <v>119</v>
      </c>
      <c r="E595" s="159" t="s">
        <v>200</v>
      </c>
      <c r="F595" s="174">
        <v>3.04E-2</v>
      </c>
      <c r="G595" s="160">
        <v>84.09</v>
      </c>
      <c r="H595" s="160">
        <f t="shared" si="7"/>
        <v>2.56</v>
      </c>
    </row>
    <row r="596" spans="1:10">
      <c r="B596" s="222"/>
      <c r="C596" s="222"/>
      <c r="D596" s="222"/>
      <c r="E596" s="222"/>
      <c r="F596" s="630" t="s">
        <v>604</v>
      </c>
      <c r="G596" s="630"/>
      <c r="H596" s="102">
        <f>SUM(H593:H595)</f>
        <v>239.83</v>
      </c>
    </row>
    <row r="597" spans="1:10">
      <c r="B597" s="628" t="s">
        <v>607</v>
      </c>
      <c r="C597" s="628"/>
      <c r="D597" s="103" t="s">
        <v>579</v>
      </c>
      <c r="E597" s="103" t="s">
        <v>580</v>
      </c>
      <c r="F597" s="103" t="s">
        <v>581</v>
      </c>
      <c r="G597" s="103" t="s">
        <v>582</v>
      </c>
      <c r="H597" s="103" t="s">
        <v>583</v>
      </c>
    </row>
    <row r="598" spans="1:10">
      <c r="B598" s="159">
        <v>88267</v>
      </c>
      <c r="C598" s="221" t="s">
        <v>612</v>
      </c>
      <c r="D598" s="159" t="s">
        <v>119</v>
      </c>
      <c r="E598" s="159" t="s">
        <v>121</v>
      </c>
      <c r="F598" s="174">
        <v>0.38700000000000001</v>
      </c>
      <c r="G598" s="160">
        <v>30.62</v>
      </c>
      <c r="H598" s="160">
        <f>ROUND(ROUND(F598,8)*G598,2)</f>
        <v>11.85</v>
      </c>
    </row>
    <row r="599" spans="1:10">
      <c r="B599" s="159">
        <v>88316</v>
      </c>
      <c r="C599" s="221" t="s">
        <v>626</v>
      </c>
      <c r="D599" s="159" t="s">
        <v>119</v>
      </c>
      <c r="E599" s="159" t="s">
        <v>121</v>
      </c>
      <c r="F599" s="174">
        <v>0.18859999999999999</v>
      </c>
      <c r="G599" s="160">
        <v>23.75</v>
      </c>
      <c r="H599" s="160">
        <f>ROUND(ROUND(F599,8)*G599,2)</f>
        <v>4.4800000000000004</v>
      </c>
    </row>
    <row r="600" spans="1:10">
      <c r="B600" s="222"/>
      <c r="C600" s="222"/>
      <c r="D600" s="222"/>
      <c r="E600" s="222"/>
      <c r="F600" s="630" t="s">
        <v>585</v>
      </c>
      <c r="G600" s="630"/>
      <c r="H600" s="102">
        <f>H598+H599</f>
        <v>16.329999999999998</v>
      </c>
    </row>
    <row r="601" spans="1:10">
      <c r="B601" s="222"/>
      <c r="C601" s="222"/>
      <c r="D601" s="222"/>
      <c r="E601" s="222"/>
      <c r="F601" s="630" t="s">
        <v>464</v>
      </c>
      <c r="G601" s="630"/>
      <c r="H601" s="102">
        <f>H600+H596</f>
        <v>256.16000000000003</v>
      </c>
    </row>
    <row r="602" spans="1:10">
      <c r="B602" s="222"/>
      <c r="C602" s="222"/>
      <c r="D602" s="222"/>
      <c r="E602" s="222"/>
      <c r="F602" s="111"/>
      <c r="G602" s="111"/>
      <c r="H602" s="228"/>
    </row>
    <row r="603" spans="1:10">
      <c r="B603" s="245" t="s">
        <v>2698</v>
      </c>
      <c r="C603" s="222"/>
      <c r="D603" s="222"/>
      <c r="E603" s="222"/>
      <c r="F603" s="111"/>
      <c r="G603" s="111"/>
      <c r="H603" s="228"/>
    </row>
    <row r="604" spans="1:10">
      <c r="B604" s="222"/>
      <c r="C604" s="222"/>
      <c r="D604" s="222"/>
      <c r="E604" s="222"/>
      <c r="F604" s="111"/>
      <c r="G604" s="111"/>
      <c r="H604" s="228"/>
    </row>
    <row r="605" spans="1:10">
      <c r="B605" s="222"/>
      <c r="C605" s="222"/>
      <c r="D605" s="222"/>
      <c r="E605" s="222"/>
      <c r="F605" s="111"/>
      <c r="G605" s="111"/>
      <c r="H605" s="228"/>
    </row>
    <row r="606" spans="1:10" ht="32.25" customHeight="1">
      <c r="A606" s="246" t="str">
        <f>'3 - PLAN. ORÇAMENTÁRIA'!A288</f>
        <v>4.1.6.2.1</v>
      </c>
      <c r="B606" s="178" t="str">
        <f>'3 - PLAN. ORÇAMENTÁRIA'!B288</f>
        <v>CCU 127</v>
      </c>
      <c r="C606" s="631" t="str">
        <f>'3 - PLAN. ORÇAMENTÁRIA'!C288</f>
        <v>CUBA DE AÇO INOX 304, DIMENSÕES 34 X 56 X 17CM, PARA INSTALAÇÃO EM BANCADA, C/VÁLVULA CROMADA 3 1/2", REF.94024-207, TRAMONTINA OU SIMILAR REF. 100852/SINAPI</v>
      </c>
      <c r="D606" s="632"/>
      <c r="E606" s="632"/>
      <c r="F606" s="632"/>
      <c r="G606" s="633"/>
      <c r="H606" s="131" t="s">
        <v>144</v>
      </c>
      <c r="J606" s="220" t="str">
        <f>B617</f>
        <v>Obs: Foi adotado o item 100852 do SINAPI como base e por similaridade ao que se pede em projeto, foi alterado o material da cuba pelo do item S13541 da fonte ORSE.</v>
      </c>
    </row>
    <row r="607" spans="1:10">
      <c r="B607" s="628" t="s">
        <v>593</v>
      </c>
      <c r="C607" s="628"/>
      <c r="D607" s="103" t="s">
        <v>579</v>
      </c>
      <c r="E607" s="103" t="s">
        <v>580</v>
      </c>
      <c r="F607" s="103" t="s">
        <v>581</v>
      </c>
      <c r="G607" s="103" t="s">
        <v>582</v>
      </c>
      <c r="H607" s="103" t="s">
        <v>583</v>
      </c>
    </row>
    <row r="608" spans="1:10">
      <c r="B608" s="159" t="s">
        <v>1180</v>
      </c>
      <c r="C608" s="221" t="s">
        <v>1179</v>
      </c>
      <c r="D608" s="159" t="s">
        <v>158</v>
      </c>
      <c r="E608" s="159" t="s">
        <v>1048</v>
      </c>
      <c r="F608" s="174">
        <v>1</v>
      </c>
      <c r="G608" s="160">
        <v>425</v>
      </c>
      <c r="H608" s="160">
        <f>ROUND(ROUND(F608,8)*G608,2)</f>
        <v>425</v>
      </c>
    </row>
    <row r="609" spans="1:10">
      <c r="B609" s="173" t="s">
        <v>2587</v>
      </c>
      <c r="C609" s="221" t="s">
        <v>2586</v>
      </c>
      <c r="D609" s="159" t="s">
        <v>119</v>
      </c>
      <c r="E609" s="159" t="s">
        <v>200</v>
      </c>
      <c r="F609" s="174">
        <v>0.34599999999999997</v>
      </c>
      <c r="G609" s="160">
        <v>34.36</v>
      </c>
      <c r="H609" s="160">
        <f>ROUND(ROUND(F609,8)*G609,2)</f>
        <v>11.89</v>
      </c>
    </row>
    <row r="610" spans="1:10">
      <c r="F610" s="630" t="s">
        <v>604</v>
      </c>
      <c r="G610" s="630"/>
      <c r="H610" s="102">
        <f>H609+H608</f>
        <v>436.89</v>
      </c>
    </row>
    <row r="611" spans="1:10">
      <c r="B611" s="628" t="s">
        <v>607</v>
      </c>
      <c r="C611" s="628"/>
      <c r="D611" s="103" t="s">
        <v>579</v>
      </c>
      <c r="E611" s="103" t="s">
        <v>580</v>
      </c>
      <c r="F611" s="103" t="s">
        <v>581</v>
      </c>
      <c r="G611" s="103" t="s">
        <v>582</v>
      </c>
      <c r="H611" s="103" t="s">
        <v>583</v>
      </c>
    </row>
    <row r="612" spans="1:10">
      <c r="B612" s="159">
        <v>88274</v>
      </c>
      <c r="C612" s="221" t="s">
        <v>2540</v>
      </c>
      <c r="D612" s="159" t="s">
        <v>119</v>
      </c>
      <c r="E612" s="159" t="s">
        <v>121</v>
      </c>
      <c r="F612" s="174">
        <v>0.47739999999999999</v>
      </c>
      <c r="G612" s="160">
        <v>31.2</v>
      </c>
      <c r="H612" s="160">
        <f>ROUND(ROUND(F612,8)*G612,2)</f>
        <v>14.89</v>
      </c>
    </row>
    <row r="613" spans="1:10">
      <c r="B613" s="159">
        <v>88316</v>
      </c>
      <c r="C613" s="221" t="s">
        <v>626</v>
      </c>
      <c r="D613" s="159" t="s">
        <v>119</v>
      </c>
      <c r="E613" s="159" t="s">
        <v>121</v>
      </c>
      <c r="F613" s="174">
        <v>0.15040000000000001</v>
      </c>
      <c r="G613" s="227">
        <v>23.75</v>
      </c>
      <c r="H613" s="160">
        <f>ROUND(ROUND(F613,8)*G613,2)</f>
        <v>3.57</v>
      </c>
    </row>
    <row r="614" spans="1:10">
      <c r="B614" s="222"/>
      <c r="C614" s="222"/>
      <c r="D614" s="222"/>
      <c r="E614" s="222"/>
      <c r="F614" s="630" t="s">
        <v>585</v>
      </c>
      <c r="G614" s="630"/>
      <c r="H614" s="102">
        <f>H612+H613</f>
        <v>18.46</v>
      </c>
    </row>
    <row r="615" spans="1:10">
      <c r="B615" s="222"/>
      <c r="C615" s="222"/>
      <c r="D615" s="222"/>
      <c r="E615" s="222"/>
      <c r="F615" s="630" t="s">
        <v>464</v>
      </c>
      <c r="G615" s="630"/>
      <c r="H615" s="102">
        <f>H614+H610</f>
        <v>455.34999999999997</v>
      </c>
    </row>
    <row r="616" spans="1:10">
      <c r="B616" s="222"/>
      <c r="C616" s="222"/>
      <c r="D616" s="222"/>
      <c r="E616" s="222"/>
      <c r="F616" s="646"/>
      <c r="G616" s="646"/>
      <c r="H616" s="646"/>
    </row>
    <row r="617" spans="1:10">
      <c r="B617" s="245" t="s">
        <v>2583</v>
      </c>
    </row>
    <row r="618" spans="1:10">
      <c r="B618" s="222"/>
      <c r="C618" s="222"/>
      <c r="D618" s="222"/>
      <c r="E618" s="222"/>
      <c r="F618" s="111"/>
      <c r="G618" s="111"/>
      <c r="H618" s="228"/>
    </row>
    <row r="619" spans="1:10">
      <c r="A619" s="246" t="str">
        <f>'3 - PLAN. ORÇAMENTÁRIA'!A261</f>
        <v>4.1.6.1.8</v>
      </c>
      <c r="B619" s="178" t="str">
        <f>'3 - PLAN. ORÇAMENTÁRIA'!B261</f>
        <v>CCU 128</v>
      </c>
      <c r="C619" s="631" t="str">
        <f>'3 - PLAN. ORÇAMENTÁRIA'!C261</f>
        <v>CUBA DE SEMI-ENCAIXE DECA REF L-830 OU SIMILAR, QUADRADA, 40x40 CM, EXCLUSIVE TORNEIRA REF. 100852/SINAPI</v>
      </c>
      <c r="D619" s="632"/>
      <c r="E619" s="632"/>
      <c r="F619" s="632"/>
      <c r="G619" s="633"/>
      <c r="H619" s="131" t="s">
        <v>144</v>
      </c>
      <c r="J619" s="220" t="str">
        <f>B631</f>
        <v>Obs: Foi adotado o item 100852 do SINAPI como base e por similaridade ao que se pede em projeto, foram feitas alterações nos materias, mantendo alguns materiais da fonte ORSE, como a Cuba e a Fita veda rosca, além do acréscimo de outros materiasi da fonte SINAPI</v>
      </c>
    </row>
    <row r="620" spans="1:10">
      <c r="B620" s="628" t="s">
        <v>593</v>
      </c>
      <c r="C620" s="628"/>
      <c r="D620" s="103" t="s">
        <v>579</v>
      </c>
      <c r="E620" s="103" t="s">
        <v>580</v>
      </c>
      <c r="F620" s="103" t="s">
        <v>581</v>
      </c>
      <c r="G620" s="103" t="s">
        <v>582</v>
      </c>
      <c r="H620" s="103" t="s">
        <v>583</v>
      </c>
    </row>
    <row r="621" spans="1:10">
      <c r="B621" s="159" t="s">
        <v>2705</v>
      </c>
      <c r="C621" s="221" t="s">
        <v>2706</v>
      </c>
      <c r="D621" s="159" t="s">
        <v>158</v>
      </c>
      <c r="E621" s="159" t="s">
        <v>1048</v>
      </c>
      <c r="F621" s="174">
        <v>1</v>
      </c>
      <c r="G621" s="160">
        <v>786.28</v>
      </c>
      <c r="H621" s="160">
        <f t="shared" ref="H621:H623" si="8">ROUND(ROUND(F621,8)*G621,2)</f>
        <v>786.28</v>
      </c>
    </row>
    <row r="622" spans="1:10">
      <c r="B622" s="173" t="s">
        <v>2574</v>
      </c>
      <c r="C622" s="221" t="s">
        <v>2573</v>
      </c>
      <c r="D622" s="159" t="s">
        <v>158</v>
      </c>
      <c r="E622" s="159" t="s">
        <v>173</v>
      </c>
      <c r="F622" s="174">
        <v>0.84</v>
      </c>
      <c r="G622" s="160">
        <v>0.22</v>
      </c>
      <c r="H622" s="160">
        <f t="shared" si="8"/>
        <v>0.18</v>
      </c>
    </row>
    <row r="623" spans="1:10">
      <c r="B623" s="173" t="s">
        <v>2587</v>
      </c>
      <c r="C623" s="221" t="s">
        <v>2586</v>
      </c>
      <c r="D623" s="159" t="s">
        <v>119</v>
      </c>
      <c r="E623" s="159" t="s">
        <v>200</v>
      </c>
      <c r="F623" s="174">
        <v>0.34599999999999997</v>
      </c>
      <c r="G623" s="160">
        <v>34.36</v>
      </c>
      <c r="H623" s="160">
        <f t="shared" si="8"/>
        <v>11.89</v>
      </c>
    </row>
    <row r="624" spans="1:10">
      <c r="B624" s="222"/>
      <c r="C624" s="222"/>
      <c r="D624" s="222"/>
      <c r="E624" s="222"/>
      <c r="F624" s="630" t="s">
        <v>604</v>
      </c>
      <c r="G624" s="630"/>
      <c r="H624" s="102">
        <f>SUM(H621:H623)</f>
        <v>798.34999999999991</v>
      </c>
    </row>
    <row r="625" spans="1:10">
      <c r="B625" s="628" t="s">
        <v>607</v>
      </c>
      <c r="C625" s="628"/>
      <c r="D625" s="103" t="s">
        <v>579</v>
      </c>
      <c r="E625" s="103" t="s">
        <v>580</v>
      </c>
      <c r="F625" s="103" t="s">
        <v>581</v>
      </c>
      <c r="G625" s="103" t="s">
        <v>582</v>
      </c>
      <c r="H625" s="103" t="s">
        <v>583</v>
      </c>
    </row>
    <row r="626" spans="1:10">
      <c r="B626" s="159">
        <v>88274</v>
      </c>
      <c r="C626" s="221" t="s">
        <v>2540</v>
      </c>
      <c r="D626" s="159" t="s">
        <v>119</v>
      </c>
      <c r="E626" s="159" t="s">
        <v>121</v>
      </c>
      <c r="F626" s="174">
        <v>0.47739999999999999</v>
      </c>
      <c r="G626" s="160">
        <v>31.2</v>
      </c>
      <c r="H626" s="160">
        <f>ROUND(ROUND(F626,8)*G626,2)</f>
        <v>14.89</v>
      </c>
    </row>
    <row r="627" spans="1:10">
      <c r="B627" s="159">
        <v>88316</v>
      </c>
      <c r="C627" s="221" t="s">
        <v>626</v>
      </c>
      <c r="D627" s="159" t="s">
        <v>119</v>
      </c>
      <c r="E627" s="159" t="s">
        <v>121</v>
      </c>
      <c r="F627" s="174">
        <v>0.15040000000000001</v>
      </c>
      <c r="G627" s="160">
        <v>23.75</v>
      </c>
      <c r="H627" s="160">
        <f>ROUND(ROUND(F627,8)*G627,2)</f>
        <v>3.57</v>
      </c>
    </row>
    <row r="628" spans="1:10">
      <c r="B628" s="222"/>
      <c r="C628" s="222"/>
      <c r="D628" s="222"/>
      <c r="E628" s="222"/>
      <c r="F628" s="630" t="s">
        <v>585</v>
      </c>
      <c r="G628" s="630"/>
      <c r="H628" s="102">
        <f>H626+H627</f>
        <v>18.46</v>
      </c>
    </row>
    <row r="629" spans="1:10">
      <c r="B629" s="222"/>
      <c r="C629" s="222"/>
      <c r="D629" s="222"/>
      <c r="E629" s="222"/>
      <c r="F629" s="630" t="s">
        <v>464</v>
      </c>
      <c r="G629" s="630"/>
      <c r="H629" s="102">
        <f>H628+H624</f>
        <v>816.81</v>
      </c>
    </row>
    <row r="630" spans="1:10">
      <c r="B630" s="222"/>
      <c r="C630" s="222"/>
      <c r="D630" s="222"/>
      <c r="E630" s="222"/>
      <c r="F630" s="111"/>
      <c r="G630" s="111"/>
      <c r="H630" s="228"/>
    </row>
    <row r="631" spans="1:10">
      <c r="B631" s="245" t="s">
        <v>2704</v>
      </c>
      <c r="C631" s="222"/>
      <c r="D631" s="222"/>
      <c r="E631" s="222"/>
      <c r="F631" s="111"/>
      <c r="G631" s="111"/>
      <c r="H631" s="228"/>
    </row>
    <row r="632" spans="1:10">
      <c r="B632" s="222"/>
      <c r="C632" s="222"/>
      <c r="D632" s="222"/>
      <c r="E632" s="222"/>
      <c r="F632" s="111"/>
      <c r="G632" s="111"/>
      <c r="H632" s="228"/>
    </row>
    <row r="633" spans="1:10" ht="30" customHeight="1">
      <c r="A633" s="246" t="str">
        <f>'3 - PLAN. ORÇAMENTÁRIA'!A291</f>
        <v>4.1.6.2.4</v>
      </c>
      <c r="B633" s="178" t="str">
        <f>'3 - PLAN. ORÇAMENTÁRIA'!B291</f>
        <v>CCU 129</v>
      </c>
      <c r="C633" s="631" t="str">
        <f>'3 - PLAN. ORÇAMENTÁRIA'!C291</f>
        <v>TANQUE DE LOUÇA (DECA REFTQ 03) COM COLUNA (DECA REFCT 25), COM TORNEIRA METÁLICA (DECA LINHA C23 REF 1153), C/ VÁLVULA E CONJUNTO DE FIXAÇÃO OU SIMILARES REF. 86872/SINAPI</v>
      </c>
      <c r="D633" s="632"/>
      <c r="E633" s="632"/>
      <c r="F633" s="632"/>
      <c r="G633" s="633"/>
      <c r="H633" s="131" t="s">
        <v>144</v>
      </c>
      <c r="J633" s="220" t="str">
        <f>B648</f>
        <v>Obs: Foi adotado o item 86872 do SINAPI como base e por similaridade ao que se pede em projeto, foram feitas alterações nos materias, mantendo alguns materiais do item S02016 da fonte ORSE, como a Coluna, a Fita veda rosca, o Sifão, o Tanque e a Torneira Metálica.</v>
      </c>
    </row>
    <row r="634" spans="1:10">
      <c r="B634" s="628" t="s">
        <v>593</v>
      </c>
      <c r="C634" s="628"/>
      <c r="D634" s="103" t="s">
        <v>579</v>
      </c>
      <c r="E634" s="103" t="s">
        <v>580</v>
      </c>
      <c r="F634" s="103" t="s">
        <v>581</v>
      </c>
      <c r="G634" s="103" t="s">
        <v>582</v>
      </c>
      <c r="H634" s="103" t="s">
        <v>583</v>
      </c>
    </row>
    <row r="635" spans="1:10">
      <c r="B635" s="173" t="s">
        <v>1159</v>
      </c>
      <c r="C635" s="221" t="s">
        <v>1158</v>
      </c>
      <c r="D635" s="159" t="s">
        <v>158</v>
      </c>
      <c r="E635" s="159" t="s">
        <v>613</v>
      </c>
      <c r="F635" s="174">
        <v>1</v>
      </c>
      <c r="G635" s="160">
        <v>99</v>
      </c>
      <c r="H635" s="160">
        <f t="shared" ref="H635:H640" si="9">ROUND(ROUND(F635,8)*G635,2)</f>
        <v>99</v>
      </c>
    </row>
    <row r="636" spans="1:10">
      <c r="B636" s="173" t="s">
        <v>2574</v>
      </c>
      <c r="C636" s="221" t="s">
        <v>2573</v>
      </c>
      <c r="D636" s="159" t="s">
        <v>158</v>
      </c>
      <c r="E636" s="159" t="s">
        <v>173</v>
      </c>
      <c r="F636" s="174">
        <v>0.75</v>
      </c>
      <c r="G636" s="160">
        <v>0.22</v>
      </c>
      <c r="H636" s="160">
        <f t="shared" si="9"/>
        <v>0.17</v>
      </c>
    </row>
    <row r="637" spans="1:10" ht="25.5">
      <c r="B637" s="173" t="s">
        <v>1502</v>
      </c>
      <c r="C637" s="221" t="s">
        <v>1503</v>
      </c>
      <c r="D637" s="159" t="s">
        <v>119</v>
      </c>
      <c r="E637" s="159" t="s">
        <v>1048</v>
      </c>
      <c r="F637" s="174">
        <v>6</v>
      </c>
      <c r="G637" s="160">
        <v>19.260000000000002</v>
      </c>
      <c r="H637" s="160">
        <f t="shared" si="9"/>
        <v>115.56</v>
      </c>
    </row>
    <row r="638" spans="1:10">
      <c r="B638" s="173" t="s">
        <v>2578</v>
      </c>
      <c r="C638" s="221" t="s">
        <v>2572</v>
      </c>
      <c r="D638" s="159" t="s">
        <v>119</v>
      </c>
      <c r="E638" s="159" t="s">
        <v>200</v>
      </c>
      <c r="F638" s="174">
        <v>7.0199999999999999E-2</v>
      </c>
      <c r="G638" s="160">
        <v>84.09</v>
      </c>
      <c r="H638" s="160">
        <f t="shared" si="9"/>
        <v>5.9</v>
      </c>
    </row>
    <row r="639" spans="1:10">
      <c r="B639" s="173" t="s">
        <v>1163</v>
      </c>
      <c r="C639" s="221" t="s">
        <v>1162</v>
      </c>
      <c r="D639" s="159" t="s">
        <v>158</v>
      </c>
      <c r="E639" s="159" t="s">
        <v>613</v>
      </c>
      <c r="F639" s="174">
        <v>1</v>
      </c>
      <c r="G639" s="160">
        <v>1350</v>
      </c>
      <c r="H639" s="160">
        <f t="shared" si="9"/>
        <v>1350</v>
      </c>
    </row>
    <row r="640" spans="1:10">
      <c r="B640" s="173" t="s">
        <v>1164</v>
      </c>
      <c r="C640" s="221" t="s">
        <v>1165</v>
      </c>
      <c r="D640" s="159" t="s">
        <v>158</v>
      </c>
      <c r="E640" s="159" t="s">
        <v>613</v>
      </c>
      <c r="F640" s="174">
        <v>1</v>
      </c>
      <c r="G640" s="160">
        <v>66.709999999999994</v>
      </c>
      <c r="H640" s="160">
        <f t="shared" si="9"/>
        <v>66.709999999999994</v>
      </c>
    </row>
    <row r="641" spans="1:10">
      <c r="B641" s="222"/>
      <c r="C641" s="222"/>
      <c r="D641" s="222"/>
      <c r="E641" s="222"/>
      <c r="F641" s="630" t="s">
        <v>604</v>
      </c>
      <c r="G641" s="630"/>
      <c r="H641" s="102">
        <f>SUM(H635:H640)</f>
        <v>1637.3400000000001</v>
      </c>
    </row>
    <row r="642" spans="1:10">
      <c r="B642" s="628" t="s">
        <v>607</v>
      </c>
      <c r="C642" s="628"/>
      <c r="D642" s="103" t="s">
        <v>579</v>
      </c>
      <c r="E642" s="103" t="s">
        <v>580</v>
      </c>
      <c r="F642" s="103" t="s">
        <v>581</v>
      </c>
      <c r="G642" s="103" t="s">
        <v>582</v>
      </c>
      <c r="H642" s="103" t="s">
        <v>583</v>
      </c>
    </row>
    <row r="643" spans="1:10">
      <c r="B643" s="159">
        <v>88267</v>
      </c>
      <c r="C643" s="221" t="s">
        <v>612</v>
      </c>
      <c r="D643" s="159" t="s">
        <v>119</v>
      </c>
      <c r="E643" s="159" t="s">
        <v>619</v>
      </c>
      <c r="F643" s="174">
        <v>1.7688999999999999</v>
      </c>
      <c r="G643" s="160">
        <v>30.62</v>
      </c>
      <c r="H643" s="160">
        <f>ROUND(ROUND(F643,8)*G643,2)</f>
        <v>54.16</v>
      </c>
    </row>
    <row r="644" spans="1:10">
      <c r="B644" s="159">
        <v>88316</v>
      </c>
      <c r="C644" s="221" t="s">
        <v>626</v>
      </c>
      <c r="D644" s="159" t="s">
        <v>119</v>
      </c>
      <c r="E644" s="159" t="s">
        <v>619</v>
      </c>
      <c r="F644" s="174">
        <v>0.71109999999999995</v>
      </c>
      <c r="G644" s="160">
        <v>23.75</v>
      </c>
      <c r="H644" s="160">
        <f>ROUND(ROUND(F644,8)*G644,2)</f>
        <v>16.89</v>
      </c>
    </row>
    <row r="645" spans="1:10">
      <c r="B645" s="222"/>
      <c r="C645" s="222"/>
      <c r="D645" s="222"/>
      <c r="E645" s="222"/>
      <c r="F645" s="630" t="s">
        <v>610</v>
      </c>
      <c r="G645" s="630"/>
      <c r="H645" s="102">
        <f>H643+H644</f>
        <v>71.05</v>
      </c>
    </row>
    <row r="646" spans="1:10">
      <c r="B646" s="222"/>
      <c r="C646" s="222"/>
      <c r="D646" s="222"/>
      <c r="E646" s="222"/>
      <c r="F646" s="630" t="s">
        <v>464</v>
      </c>
      <c r="G646" s="630"/>
      <c r="H646" s="102">
        <f>H645+H641</f>
        <v>1708.39</v>
      </c>
    </row>
    <row r="647" spans="1:10">
      <c r="B647" s="222"/>
      <c r="C647" s="222"/>
      <c r="D647" s="222"/>
      <c r="E647" s="222"/>
      <c r="F647" s="226"/>
      <c r="G647" s="226"/>
      <c r="H647" s="226"/>
    </row>
    <row r="648" spans="1:10">
      <c r="B648" s="245" t="s">
        <v>2588</v>
      </c>
    </row>
    <row r="649" spans="1:10">
      <c r="B649" s="222"/>
      <c r="C649" s="222"/>
      <c r="D649" s="222"/>
      <c r="E649" s="222"/>
      <c r="F649" s="111"/>
      <c r="G649" s="111"/>
      <c r="H649" s="228"/>
    </row>
    <row r="650" spans="1:10">
      <c r="A650" s="246" t="str">
        <f>'3 - PLAN. ORÇAMENTÁRIA'!A268</f>
        <v>4.1.6.1.15</v>
      </c>
      <c r="B650" s="178" t="str">
        <f>'3 - PLAN. ORÇAMENTÁRIA'!B268</f>
        <v>CCU 122</v>
      </c>
      <c r="C650" s="631" t="str">
        <f>'3 - PLAN. ORÇAMENTÁRIA'!C268</f>
        <v>TORNEIRA PRESSMATIC BENEFIT DOCOL, OU SIMILAR REF. 100853/SINAPI</v>
      </c>
      <c r="D650" s="632"/>
      <c r="E650" s="632"/>
      <c r="F650" s="632"/>
      <c r="G650" s="633"/>
      <c r="H650" s="131" t="s">
        <v>144</v>
      </c>
      <c r="J650" s="220" t="str">
        <f>B661</f>
        <v>Obs: Foi adotado o item 100853 do SINAPI como base e por similaridade ao que se pede em projeto, susbtituído o material da torneira pelo do item S12209 do ORSE.</v>
      </c>
    </row>
    <row r="651" spans="1:10">
      <c r="B651" s="628" t="s">
        <v>593</v>
      </c>
      <c r="C651" s="628"/>
      <c r="D651" s="103" t="s">
        <v>579</v>
      </c>
      <c r="E651" s="103" t="s">
        <v>580</v>
      </c>
      <c r="F651" s="103" t="s">
        <v>581</v>
      </c>
      <c r="G651" s="103" t="s">
        <v>582</v>
      </c>
      <c r="H651" s="103" t="s">
        <v>583</v>
      </c>
    </row>
    <row r="652" spans="1:10">
      <c r="B652" s="173" t="s">
        <v>1544</v>
      </c>
      <c r="C652" s="221" t="s">
        <v>1017</v>
      </c>
      <c r="D652" s="159" t="s">
        <v>119</v>
      </c>
      <c r="E652" s="159" t="s">
        <v>1048</v>
      </c>
      <c r="F652" s="174">
        <v>4.2000000000000003E-2</v>
      </c>
      <c r="G652" s="160">
        <v>3.9</v>
      </c>
      <c r="H652" s="160">
        <f>ROUND(ROUND(F652,8)*G652,2)</f>
        <v>0.16</v>
      </c>
    </row>
    <row r="653" spans="1:10">
      <c r="B653" s="159" t="s">
        <v>1144</v>
      </c>
      <c r="C653" s="221" t="s">
        <v>1143</v>
      </c>
      <c r="D653" s="159" t="s">
        <v>158</v>
      </c>
      <c r="E653" s="159" t="s">
        <v>1048</v>
      </c>
      <c r="F653" s="174">
        <v>1</v>
      </c>
      <c r="G653" s="160">
        <v>1449.9</v>
      </c>
      <c r="H653" s="160">
        <f>ROUND(ROUND(F653,8)*G653,2)</f>
        <v>1449.9</v>
      </c>
    </row>
    <row r="654" spans="1:10">
      <c r="F654" s="630" t="s">
        <v>604</v>
      </c>
      <c r="G654" s="630"/>
      <c r="H654" s="102">
        <f>SUM(H652:H653)</f>
        <v>1450.0600000000002</v>
      </c>
    </row>
    <row r="655" spans="1:10">
      <c r="B655" s="628" t="s">
        <v>607</v>
      </c>
      <c r="C655" s="628"/>
      <c r="D655" s="103" t="s">
        <v>579</v>
      </c>
      <c r="E655" s="103" t="s">
        <v>580</v>
      </c>
      <c r="F655" s="103" t="s">
        <v>581</v>
      </c>
      <c r="G655" s="103" t="s">
        <v>582</v>
      </c>
      <c r="H655" s="103" t="s">
        <v>583</v>
      </c>
    </row>
    <row r="656" spans="1:10">
      <c r="B656" s="159">
        <v>88267</v>
      </c>
      <c r="C656" s="221" t="s">
        <v>612</v>
      </c>
      <c r="D656" s="159" t="s">
        <v>119</v>
      </c>
      <c r="E656" s="159" t="s">
        <v>121</v>
      </c>
      <c r="F656" s="174">
        <v>0.46300000000000002</v>
      </c>
      <c r="G656" s="160">
        <v>30.62</v>
      </c>
      <c r="H656" s="160">
        <f>ROUND(ROUND(F656,8)*G656,2)</f>
        <v>14.18</v>
      </c>
    </row>
    <row r="657" spans="1:10">
      <c r="B657" s="159">
        <v>88316</v>
      </c>
      <c r="C657" s="221" t="s">
        <v>626</v>
      </c>
      <c r="D657" s="159" t="s">
        <v>119</v>
      </c>
      <c r="E657" s="159" t="s">
        <v>121</v>
      </c>
      <c r="F657" s="174">
        <v>0.1459</v>
      </c>
      <c r="G657" s="160">
        <v>23.75</v>
      </c>
      <c r="H657" s="160">
        <f>ROUND(ROUND(F657,8)*G657,2)</f>
        <v>3.47</v>
      </c>
    </row>
    <row r="658" spans="1:10">
      <c r="B658" s="222"/>
      <c r="C658" s="222"/>
      <c r="D658" s="222"/>
      <c r="E658" s="222"/>
      <c r="F658" s="630" t="s">
        <v>585</v>
      </c>
      <c r="G658" s="630"/>
      <c r="H658" s="102">
        <f>H656+H657</f>
        <v>17.649999999999999</v>
      </c>
    </row>
    <row r="659" spans="1:10">
      <c r="B659" s="222"/>
      <c r="C659" s="222"/>
      <c r="D659" s="222"/>
      <c r="E659" s="222"/>
      <c r="F659" s="630" t="s">
        <v>464</v>
      </c>
      <c r="G659" s="630"/>
      <c r="H659" s="102">
        <f>H658+H654</f>
        <v>1467.7100000000003</v>
      </c>
    </row>
    <row r="661" spans="1:10">
      <c r="B661" s="245" t="s">
        <v>2590</v>
      </c>
    </row>
    <row r="662" spans="1:10">
      <c r="B662" s="222"/>
      <c r="C662" s="222"/>
      <c r="D662" s="222"/>
      <c r="E662" s="222"/>
      <c r="F662" s="111"/>
      <c r="G662" s="111"/>
      <c r="H662" s="228"/>
    </row>
    <row r="663" spans="1:10">
      <c r="A663" s="246" t="str">
        <f>'3 - PLAN. ORÇAMENTÁRIA'!A314</f>
        <v>4.3.7</v>
      </c>
      <c r="B663" s="178" t="str">
        <f>'3 - PLAN. ORÇAMENTÁRIA'!B314</f>
        <v>CCU 139</v>
      </c>
      <c r="C663" s="631" t="str">
        <f>'3 - PLAN. ORÇAMENTÁRIA'!C314</f>
        <v>BANCO DE CONCRETO PRE-MOLDADO COM PINTURA VERNIZ REF. 103293/SINAPI</v>
      </c>
      <c r="D663" s="632"/>
      <c r="E663" s="632"/>
      <c r="F663" s="632"/>
      <c r="G663" s="633"/>
      <c r="H663" s="131" t="s">
        <v>144</v>
      </c>
      <c r="J663" s="220" t="str">
        <f>B682</f>
        <v>Obs: Foi adotado o item 103293 do SINAPI como base e por questão de similaridade ao projeto, foram alterados os serviços e material, acrescentando alguns do prórpio SINAPI e adicionado serviços do item S03224 do ORSE, como o Concreto e a Pintura Verniz</v>
      </c>
    </row>
    <row r="664" spans="1:10" ht="12.75" customHeight="1">
      <c r="B664" s="628" t="s">
        <v>1301</v>
      </c>
      <c r="C664" s="628"/>
      <c r="D664" s="103" t="s">
        <v>579</v>
      </c>
      <c r="E664" s="103" t="s">
        <v>580</v>
      </c>
      <c r="F664" s="103" t="s">
        <v>581</v>
      </c>
      <c r="G664" s="103" t="s">
        <v>582</v>
      </c>
      <c r="H664" s="103" t="s">
        <v>583</v>
      </c>
    </row>
    <row r="665" spans="1:10">
      <c r="B665" s="159">
        <v>5952</v>
      </c>
      <c r="C665" s="221" t="s">
        <v>2519</v>
      </c>
      <c r="D665" s="159" t="s">
        <v>119</v>
      </c>
      <c r="E665" s="159" t="s">
        <v>1304</v>
      </c>
      <c r="F665" s="174">
        <v>0.51700000000000002</v>
      </c>
      <c r="G665" s="160">
        <v>27.94</v>
      </c>
      <c r="H665" s="160">
        <f>ROUND(ROUND(F665,8)*G665,2)</f>
        <v>14.44</v>
      </c>
    </row>
    <row r="666" spans="1:10">
      <c r="B666" s="159">
        <v>5795</v>
      </c>
      <c r="C666" s="221" t="s">
        <v>1570</v>
      </c>
      <c r="D666" s="159" t="s">
        <v>119</v>
      </c>
      <c r="E666" s="159" t="s">
        <v>1307</v>
      </c>
      <c r="F666" s="174">
        <v>0.15359999999999999</v>
      </c>
      <c r="G666" s="160">
        <v>29.92</v>
      </c>
      <c r="H666" s="160">
        <f>ROUND(ROUND(F666,8)*G666,2)</f>
        <v>4.5999999999999996</v>
      </c>
    </row>
    <row r="667" spans="1:10" ht="12.75" customHeight="1">
      <c r="B667" s="222"/>
      <c r="C667" s="222"/>
      <c r="D667" s="222"/>
      <c r="E667" s="222"/>
      <c r="F667" s="630" t="s">
        <v>1308</v>
      </c>
      <c r="G667" s="630"/>
      <c r="H667" s="102">
        <f>H665+H666</f>
        <v>19.04</v>
      </c>
    </row>
    <row r="668" spans="1:10">
      <c r="B668" s="628" t="s">
        <v>593</v>
      </c>
      <c r="C668" s="628"/>
      <c r="D668" s="103" t="s">
        <v>579</v>
      </c>
      <c r="E668" s="103" t="s">
        <v>580</v>
      </c>
      <c r="F668" s="103" t="s">
        <v>581</v>
      </c>
      <c r="G668" s="103" t="s">
        <v>582</v>
      </c>
      <c r="H668" s="103" t="s">
        <v>583</v>
      </c>
    </row>
    <row r="669" spans="1:10">
      <c r="B669" s="173" t="s">
        <v>3604</v>
      </c>
      <c r="C669" s="221" t="s">
        <v>3605</v>
      </c>
      <c r="D669" s="159" t="s">
        <v>2785</v>
      </c>
      <c r="E669" s="159" t="s">
        <v>1048</v>
      </c>
      <c r="F669" s="174">
        <v>1</v>
      </c>
      <c r="G669" s="160">
        <v>366</v>
      </c>
      <c r="H669" s="160">
        <f>ROUND(ROUND(F669,8)*G669,2)</f>
        <v>366</v>
      </c>
    </row>
    <row r="670" spans="1:10">
      <c r="B670" s="173" t="s">
        <v>1521</v>
      </c>
      <c r="C670" s="221" t="s">
        <v>1522</v>
      </c>
      <c r="D670" s="159" t="s">
        <v>119</v>
      </c>
      <c r="E670" s="159" t="s">
        <v>167</v>
      </c>
      <c r="F670" s="174">
        <v>7.9000000000000008E-3</v>
      </c>
      <c r="G670" s="160">
        <v>197.39</v>
      </c>
      <c r="H670" s="160">
        <f>ROUND(ROUND(F670,8)*G670,2)</f>
        <v>1.56</v>
      </c>
    </row>
    <row r="671" spans="1:10">
      <c r="B671" s="222"/>
      <c r="C671" s="222"/>
      <c r="D671" s="222"/>
      <c r="E671" s="222"/>
      <c r="F671" s="630" t="s">
        <v>604</v>
      </c>
      <c r="G671" s="630"/>
      <c r="H671" s="102">
        <f>H669+H670</f>
        <v>367.56</v>
      </c>
    </row>
    <row r="672" spans="1:10" ht="12.75" customHeight="1">
      <c r="B672" s="628" t="s">
        <v>607</v>
      </c>
      <c r="C672" s="628"/>
      <c r="D672" s="103" t="s">
        <v>579</v>
      </c>
      <c r="E672" s="103" t="s">
        <v>580</v>
      </c>
      <c r="F672" s="103" t="s">
        <v>581</v>
      </c>
      <c r="G672" s="103" t="s">
        <v>582</v>
      </c>
      <c r="H672" s="103" t="s">
        <v>583</v>
      </c>
    </row>
    <row r="673" spans="1:10">
      <c r="B673" s="159">
        <v>88309</v>
      </c>
      <c r="C673" s="221" t="s">
        <v>640</v>
      </c>
      <c r="D673" s="159" t="s">
        <v>119</v>
      </c>
      <c r="E673" s="159" t="s">
        <v>121</v>
      </c>
      <c r="F673" s="174">
        <v>4.1417999999999999</v>
      </c>
      <c r="G673" s="160">
        <v>31.34</v>
      </c>
      <c r="H673" s="160">
        <f>ROUND(ROUND(F673,8)*G673,2)</f>
        <v>129.80000000000001</v>
      </c>
    </row>
    <row r="674" spans="1:10">
      <c r="B674" s="159">
        <v>88316</v>
      </c>
      <c r="C674" s="221" t="s">
        <v>626</v>
      </c>
      <c r="D674" s="159" t="s">
        <v>119</v>
      </c>
      <c r="E674" s="159" t="s">
        <v>121</v>
      </c>
      <c r="F674" s="174">
        <v>2.7612000000000001</v>
      </c>
      <c r="G674" s="160">
        <v>23.75</v>
      </c>
      <c r="H674" s="160">
        <f>ROUND(ROUND(F674,8)*G674,2)</f>
        <v>65.58</v>
      </c>
    </row>
    <row r="675" spans="1:10" ht="12.75" customHeight="1">
      <c r="B675" s="222"/>
      <c r="C675" s="222"/>
      <c r="D675" s="222"/>
      <c r="E675" s="222"/>
      <c r="F675" s="630" t="s">
        <v>585</v>
      </c>
      <c r="G675" s="630"/>
      <c r="H675" s="102">
        <f>H673+H674</f>
        <v>195.38</v>
      </c>
    </row>
    <row r="676" spans="1:10">
      <c r="B676" s="628" t="s">
        <v>797</v>
      </c>
      <c r="C676" s="628"/>
      <c r="D676" s="103" t="s">
        <v>579</v>
      </c>
      <c r="E676" s="103" t="s">
        <v>580</v>
      </c>
      <c r="F676" s="103" t="s">
        <v>581</v>
      </c>
      <c r="G676" s="103" t="s">
        <v>582</v>
      </c>
      <c r="H676" s="103" t="s">
        <v>583</v>
      </c>
    </row>
    <row r="677" spans="1:10" ht="25.5">
      <c r="B677" s="159">
        <v>87298</v>
      </c>
      <c r="C677" s="221" t="s">
        <v>1571</v>
      </c>
      <c r="D677" s="159" t="s">
        <v>119</v>
      </c>
      <c r="E677" s="159" t="s">
        <v>167</v>
      </c>
      <c r="F677" s="174">
        <v>1.0500000000000001E-2</v>
      </c>
      <c r="G677" s="160">
        <v>620.96</v>
      </c>
      <c r="H677" s="160">
        <f>ROUND(ROUND(F677,8)*G677,2)</f>
        <v>6.52</v>
      </c>
    </row>
    <row r="678" spans="1:10" ht="25.5">
      <c r="B678" s="130">
        <v>102486</v>
      </c>
      <c r="C678" s="221" t="s">
        <v>1572</v>
      </c>
      <c r="D678" s="159" t="s">
        <v>119</v>
      </c>
      <c r="E678" s="159" t="s">
        <v>167</v>
      </c>
      <c r="F678" s="174">
        <v>5.2299999999999999E-2</v>
      </c>
      <c r="G678" s="160">
        <v>803.7</v>
      </c>
      <c r="H678" s="160">
        <f>ROUND(ROUND(F678,8)*G678,2)</f>
        <v>42.03</v>
      </c>
    </row>
    <row r="679" spans="1:10">
      <c r="B679" s="222"/>
      <c r="C679" s="222"/>
      <c r="D679" s="222"/>
      <c r="E679" s="222"/>
      <c r="F679" s="630" t="s">
        <v>587</v>
      </c>
      <c r="G679" s="630"/>
      <c r="H679" s="102">
        <f>SUM(H677:H678)</f>
        <v>48.55</v>
      </c>
    </row>
    <row r="680" spans="1:10" ht="12.75" customHeight="1">
      <c r="B680" s="222"/>
      <c r="C680" s="222"/>
      <c r="D680" s="222"/>
      <c r="E680" s="222"/>
      <c r="F680" s="630" t="s">
        <v>464</v>
      </c>
      <c r="G680" s="630"/>
      <c r="H680" s="102">
        <f>H679+H675+H671+H667</f>
        <v>630.53</v>
      </c>
    </row>
    <row r="681" spans="1:10">
      <c r="B681" s="222"/>
      <c r="C681" s="222"/>
      <c r="D681" s="222"/>
      <c r="E681" s="222"/>
      <c r="F681" s="111"/>
      <c r="G681" s="111"/>
      <c r="H681" s="228"/>
    </row>
    <row r="682" spans="1:10">
      <c r="B682" s="245" t="s">
        <v>2593</v>
      </c>
    </row>
    <row r="683" spans="1:10">
      <c r="B683" s="222"/>
      <c r="C683" s="222"/>
      <c r="D683" s="222"/>
      <c r="E683" s="222"/>
      <c r="F683" s="111"/>
      <c r="G683" s="111"/>
      <c r="H683" s="228"/>
    </row>
    <row r="684" spans="1:10">
      <c r="A684" s="246" t="str">
        <f>'3 - PLAN. ORÇAMENTÁRIA'!A575</f>
        <v>6.1.4.13</v>
      </c>
      <c r="B684" s="178" t="str">
        <f>'3 - PLAN. ORÇAMENTÁRIA'!B575</f>
        <v>CCU 146</v>
      </c>
      <c r="C684" s="631" t="str">
        <f>'3 - PLAN. ORÇAMENTÁRIA'!C575</f>
        <v>LUMINÁRIA PLAFON (EMBUTIR) - 48 W REF. 103788/SINAPI</v>
      </c>
      <c r="D684" s="632"/>
      <c r="E684" s="632"/>
      <c r="F684" s="632"/>
      <c r="G684" s="633"/>
      <c r="H684" s="131" t="s">
        <v>144</v>
      </c>
      <c r="J684" s="220" t="str">
        <f>B694</f>
        <v>Obs: Foi adotado o item 103788 do SINAPI como base e por questão de similaridade ao que se pede em projeto, foi alterado o material da luminária para um material de Cotação Externa</v>
      </c>
    </row>
    <row r="685" spans="1:10">
      <c r="B685" s="628" t="s">
        <v>593</v>
      </c>
      <c r="C685" s="628"/>
      <c r="D685" s="103" t="s">
        <v>579</v>
      </c>
      <c r="E685" s="103" t="s">
        <v>580</v>
      </c>
      <c r="F685" s="103" t="s">
        <v>581</v>
      </c>
      <c r="G685" s="103" t="s">
        <v>582</v>
      </c>
      <c r="H685" s="103" t="s">
        <v>583</v>
      </c>
    </row>
    <row r="686" spans="1:10">
      <c r="B686" s="159" t="str">
        <f>'6 - COTAÇÃO MERCADO'!B116</f>
        <v>COT 01.013</v>
      </c>
      <c r="C686" s="221" t="str">
        <f>'6 - COTAÇÃO MERCADO'!C116</f>
        <v>LUMINÁRIA PLAFON LED QUADRADA 62X62 CM - 48W</v>
      </c>
      <c r="D686" s="159" t="s">
        <v>1881</v>
      </c>
      <c r="E686" s="159" t="s">
        <v>613</v>
      </c>
      <c r="F686" s="174">
        <v>1</v>
      </c>
      <c r="G686" s="160">
        <f>'6 - COTAÇÃO MERCADO'!D116</f>
        <v>125.42</v>
      </c>
      <c r="H686" s="160">
        <f>ROUND(ROUND(F686,8)*G686,2)</f>
        <v>125.42</v>
      </c>
    </row>
    <row r="687" spans="1:10">
      <c r="B687" s="222"/>
      <c r="C687" s="222"/>
      <c r="D687" s="222"/>
      <c r="E687" s="222"/>
      <c r="F687" s="630" t="s">
        <v>604</v>
      </c>
      <c r="G687" s="630"/>
      <c r="H687" s="102">
        <f>H686</f>
        <v>125.42</v>
      </c>
    </row>
    <row r="688" spans="1:10">
      <c r="B688" s="628" t="s">
        <v>607</v>
      </c>
      <c r="C688" s="628"/>
      <c r="D688" s="103" t="s">
        <v>579</v>
      </c>
      <c r="E688" s="103" t="s">
        <v>580</v>
      </c>
      <c r="F688" s="103" t="s">
        <v>581</v>
      </c>
      <c r="G688" s="103" t="s">
        <v>582</v>
      </c>
      <c r="H688" s="103" t="s">
        <v>583</v>
      </c>
    </row>
    <row r="689" spans="1:10">
      <c r="B689" s="159">
        <v>88247</v>
      </c>
      <c r="C689" s="221" t="s">
        <v>608</v>
      </c>
      <c r="D689" s="159" t="s">
        <v>119</v>
      </c>
      <c r="E689" s="159" t="s">
        <v>619</v>
      </c>
      <c r="F689" s="174">
        <v>0.32429999999999998</v>
      </c>
      <c r="G689" s="160">
        <v>25</v>
      </c>
      <c r="H689" s="160">
        <f>ROUND(ROUND(F689,8)*G689,2)</f>
        <v>8.11</v>
      </c>
    </row>
    <row r="690" spans="1:10">
      <c r="B690" s="159">
        <v>88264</v>
      </c>
      <c r="C690" s="221" t="s">
        <v>609</v>
      </c>
      <c r="D690" s="159" t="s">
        <v>119</v>
      </c>
      <c r="E690" s="159" t="s">
        <v>619</v>
      </c>
      <c r="F690" s="174">
        <v>0.32429999999999998</v>
      </c>
      <c r="G690" s="160">
        <v>31.72</v>
      </c>
      <c r="H690" s="160">
        <f>ROUND(ROUND(F690,8)*G690,2)</f>
        <v>10.29</v>
      </c>
    </row>
    <row r="691" spans="1:10">
      <c r="B691" s="222"/>
      <c r="C691" s="222"/>
      <c r="D691" s="222"/>
      <c r="E691" s="222"/>
      <c r="F691" s="630" t="s">
        <v>585</v>
      </c>
      <c r="G691" s="630"/>
      <c r="H691" s="102">
        <f>H689+H690</f>
        <v>18.399999999999999</v>
      </c>
    </row>
    <row r="692" spans="1:10">
      <c r="B692" s="222"/>
      <c r="C692" s="222"/>
      <c r="D692" s="222"/>
      <c r="E692" s="222"/>
      <c r="F692" s="630" t="s">
        <v>464</v>
      </c>
      <c r="G692" s="630"/>
      <c r="H692" s="102">
        <f>H687+H691</f>
        <v>143.82</v>
      </c>
    </row>
    <row r="693" spans="1:10">
      <c r="B693" s="222"/>
      <c r="C693" s="222"/>
      <c r="D693" s="222"/>
      <c r="E693" s="222"/>
      <c r="F693" s="226"/>
      <c r="G693" s="226"/>
      <c r="H693" s="226"/>
    </row>
    <row r="694" spans="1:10">
      <c r="B694" s="245" t="s">
        <v>2595</v>
      </c>
    </row>
    <row r="695" spans="1:10">
      <c r="B695" s="222"/>
      <c r="C695" s="222"/>
      <c r="D695" s="222"/>
      <c r="E695" s="222"/>
      <c r="F695" s="111"/>
      <c r="G695" s="111"/>
      <c r="H695" s="228"/>
    </row>
    <row r="696" spans="1:10">
      <c r="A696" s="246" t="str">
        <f>'3 - PLAN. ORÇAMENTÁRIA'!A221</f>
        <v>4.1.5.1.2.8</v>
      </c>
      <c r="B696" s="178" t="str">
        <f>'3 - PLAN. ORÇAMENTÁRIA'!B221</f>
        <v>CCU 113</v>
      </c>
      <c r="C696" s="631" t="str">
        <f>'3 - PLAN. ORÇAMENTÁRIA'!C221</f>
        <v>RODAPÉ EM GRANITO BRANCO SIENA 10CM X 2CM REF. 98685/SINAPI</v>
      </c>
      <c r="D696" s="632"/>
      <c r="E696" s="632"/>
      <c r="F696" s="632"/>
      <c r="G696" s="633"/>
      <c r="H696" s="131" t="s">
        <v>173</v>
      </c>
      <c r="J696" s="220" t="str">
        <f>B708</f>
        <v>Obs: Foi adotado o item 98685 do SINAPI como base e por questão de similaridade, alterado o material do rodapá para o material I13169 do ORSE.</v>
      </c>
    </row>
    <row r="697" spans="1:10">
      <c r="A697" s="163"/>
      <c r="B697" s="628" t="s">
        <v>593</v>
      </c>
      <c r="C697" s="628"/>
      <c r="D697" s="103" t="s">
        <v>579</v>
      </c>
      <c r="E697" s="103" t="s">
        <v>580</v>
      </c>
      <c r="F697" s="103" t="s">
        <v>581</v>
      </c>
      <c r="G697" s="103" t="s">
        <v>582</v>
      </c>
      <c r="H697" s="103" t="s">
        <v>583</v>
      </c>
    </row>
    <row r="698" spans="1:10">
      <c r="A698" s="163"/>
      <c r="B698" s="173" t="s">
        <v>1527</v>
      </c>
      <c r="C698" s="221" t="s">
        <v>1528</v>
      </c>
      <c r="D698" s="159" t="s">
        <v>119</v>
      </c>
      <c r="E698" s="159" t="s">
        <v>200</v>
      </c>
      <c r="F698" s="174">
        <v>0.86140000000000005</v>
      </c>
      <c r="G698" s="160">
        <v>2.09</v>
      </c>
      <c r="H698" s="160">
        <f>ROUND(ROUND(F698,8)*G698,2)</f>
        <v>1.8</v>
      </c>
    </row>
    <row r="699" spans="1:10">
      <c r="A699" s="163"/>
      <c r="B699" s="173" t="s">
        <v>2599</v>
      </c>
      <c r="C699" s="221" t="s">
        <v>2597</v>
      </c>
      <c r="D699" s="159" t="s">
        <v>119</v>
      </c>
      <c r="E699" s="159" t="s">
        <v>200</v>
      </c>
      <c r="F699" s="174">
        <v>0.12</v>
      </c>
      <c r="G699" s="160">
        <v>3.99</v>
      </c>
      <c r="H699" s="160">
        <f>ROUND(ROUND(F699,8)*G699,2)</f>
        <v>0.48</v>
      </c>
    </row>
    <row r="700" spans="1:10">
      <c r="A700" s="163"/>
      <c r="B700" s="173" t="s">
        <v>2598</v>
      </c>
      <c r="C700" s="221" t="s">
        <v>2601</v>
      </c>
      <c r="D700" s="159" t="s">
        <v>158</v>
      </c>
      <c r="E700" s="159" t="s">
        <v>173</v>
      </c>
      <c r="F700" s="174">
        <v>1.04</v>
      </c>
      <c r="G700" s="160">
        <v>145.75</v>
      </c>
      <c r="H700" s="160">
        <f>ROUND(ROUND(F700,8)*G700,2)</f>
        <v>151.58000000000001</v>
      </c>
    </row>
    <row r="701" spans="1:10">
      <c r="A701" s="163"/>
      <c r="B701" s="222"/>
      <c r="C701" s="222"/>
      <c r="D701" s="222"/>
      <c r="E701" s="222"/>
      <c r="F701" s="630" t="s">
        <v>604</v>
      </c>
      <c r="G701" s="630"/>
      <c r="H701" s="102">
        <f>SUM(H698:H700)</f>
        <v>153.86000000000001</v>
      </c>
    </row>
    <row r="702" spans="1:10">
      <c r="A702" s="163"/>
      <c r="B702" s="628" t="s">
        <v>607</v>
      </c>
      <c r="C702" s="628"/>
      <c r="D702" s="103" t="s">
        <v>579</v>
      </c>
      <c r="E702" s="103" t="s">
        <v>580</v>
      </c>
      <c r="F702" s="103" t="s">
        <v>581</v>
      </c>
      <c r="G702" s="103" t="s">
        <v>582</v>
      </c>
      <c r="H702" s="103" t="s">
        <v>583</v>
      </c>
    </row>
    <row r="703" spans="1:10">
      <c r="A703" s="163"/>
      <c r="B703" s="159">
        <v>88274</v>
      </c>
      <c r="C703" s="221" t="s">
        <v>2540</v>
      </c>
      <c r="D703" s="159" t="s">
        <v>119</v>
      </c>
      <c r="E703" s="159" t="s">
        <v>121</v>
      </c>
      <c r="F703" s="174">
        <v>0.29899999999999999</v>
      </c>
      <c r="G703" s="160">
        <v>31.2</v>
      </c>
      <c r="H703" s="160">
        <f>ROUND(ROUND(F703,8)*G703,2)</f>
        <v>9.33</v>
      </c>
    </row>
    <row r="704" spans="1:10">
      <c r="A704" s="163"/>
      <c r="B704" s="159">
        <v>88316</v>
      </c>
      <c r="C704" s="221" t="s">
        <v>626</v>
      </c>
      <c r="D704" s="159" t="s">
        <v>119</v>
      </c>
      <c r="E704" s="159" t="s">
        <v>121</v>
      </c>
      <c r="F704" s="174">
        <v>0.15</v>
      </c>
      <c r="G704" s="160">
        <v>23.75</v>
      </c>
      <c r="H704" s="160">
        <f>ROUND(ROUND(F704,8)*G704,2)</f>
        <v>3.56</v>
      </c>
    </row>
    <row r="705" spans="1:10">
      <c r="A705" s="163"/>
      <c r="B705" s="222"/>
      <c r="C705" s="222"/>
      <c r="D705" s="222"/>
      <c r="E705" s="222"/>
      <c r="F705" s="630" t="s">
        <v>585</v>
      </c>
      <c r="G705" s="630"/>
      <c r="H705" s="102">
        <f>H704+H703</f>
        <v>12.89</v>
      </c>
    </row>
    <row r="706" spans="1:10">
      <c r="B706" s="222"/>
      <c r="C706" s="222"/>
      <c r="D706" s="222"/>
      <c r="E706" s="222"/>
      <c r="F706" s="630" t="s">
        <v>464</v>
      </c>
      <c r="G706" s="630"/>
      <c r="H706" s="102">
        <f>H705+H701</f>
        <v>166.75</v>
      </c>
    </row>
    <row r="707" spans="1:10">
      <c r="B707" s="222"/>
      <c r="C707" s="222"/>
      <c r="D707" s="222"/>
      <c r="E707" s="222"/>
      <c r="F707" s="226"/>
      <c r="G707" s="226"/>
      <c r="H707" s="226"/>
    </row>
    <row r="708" spans="1:10">
      <c r="B708" s="245" t="s">
        <v>2600</v>
      </c>
    </row>
    <row r="709" spans="1:10">
      <c r="B709" s="222"/>
      <c r="C709" s="222"/>
      <c r="D709" s="222"/>
      <c r="E709" s="222"/>
      <c r="F709" s="111"/>
      <c r="G709" s="111"/>
      <c r="H709" s="228"/>
    </row>
    <row r="710" spans="1:10">
      <c r="A710" s="246" t="str">
        <f>'3 - PLAN. ORÇAMENTÁRIA'!A542</f>
        <v>6.1.3.1</v>
      </c>
      <c r="B710" s="178" t="str">
        <f>'3 - PLAN. ORÇAMENTÁRIA'!B542</f>
        <v>CCU 144</v>
      </c>
      <c r="C710" s="631" t="str">
        <f>'3 - PLAN. ORÇAMENTÁRIA'!C542</f>
        <v>DISPOSITIVO DE PROTEÇÃO CONTRA SURTO DE TENSÃO DPS 40KA - 275V REF. 93666/SINAPI</v>
      </c>
      <c r="D710" s="632"/>
      <c r="E710" s="632"/>
      <c r="F710" s="632"/>
      <c r="G710" s="633"/>
      <c r="H710" s="131" t="s">
        <v>144</v>
      </c>
      <c r="J710" s="220" t="str">
        <f>B720</f>
        <v>Obs: Foi adotado o item 93666 do SINAPI como base e por questão de similaridade, foram retirados os materiasi do SINAPI e adotado o material do item S09041 do ORSE.</v>
      </c>
    </row>
    <row r="711" spans="1:10">
      <c r="B711" s="628" t="s">
        <v>593</v>
      </c>
      <c r="C711" s="628"/>
      <c r="D711" s="103" t="s">
        <v>579</v>
      </c>
      <c r="E711" s="103" t="s">
        <v>580</v>
      </c>
      <c r="F711" s="103" t="s">
        <v>581</v>
      </c>
      <c r="G711" s="103" t="s">
        <v>582</v>
      </c>
      <c r="H711" s="103" t="s">
        <v>583</v>
      </c>
    </row>
    <row r="712" spans="1:10">
      <c r="B712" s="159" t="s">
        <v>692</v>
      </c>
      <c r="C712" s="221" t="s">
        <v>693</v>
      </c>
      <c r="D712" s="159" t="s">
        <v>158</v>
      </c>
      <c r="E712" s="159" t="s">
        <v>613</v>
      </c>
      <c r="F712" s="174">
        <v>1</v>
      </c>
      <c r="G712" s="160">
        <v>75.2</v>
      </c>
      <c r="H712" s="160">
        <f>ROUND(ROUND(F712,8)*G712,2)</f>
        <v>75.2</v>
      </c>
    </row>
    <row r="713" spans="1:10">
      <c r="B713" s="222"/>
      <c r="C713" s="222"/>
      <c r="D713" s="222"/>
      <c r="E713" s="222"/>
      <c r="F713" s="630" t="s">
        <v>604</v>
      </c>
      <c r="G713" s="630"/>
      <c r="H713" s="102">
        <f>H712</f>
        <v>75.2</v>
      </c>
    </row>
    <row r="714" spans="1:10">
      <c r="B714" s="628" t="s">
        <v>607</v>
      </c>
      <c r="C714" s="628"/>
      <c r="D714" s="103" t="s">
        <v>579</v>
      </c>
      <c r="E714" s="103" t="s">
        <v>580</v>
      </c>
      <c r="F714" s="103" t="s">
        <v>581</v>
      </c>
      <c r="G714" s="103" t="s">
        <v>582</v>
      </c>
      <c r="H714" s="103" t="s">
        <v>583</v>
      </c>
    </row>
    <row r="715" spans="1:10">
      <c r="B715" s="159">
        <v>88247</v>
      </c>
      <c r="C715" s="221" t="s">
        <v>2604</v>
      </c>
      <c r="D715" s="159" t="s">
        <v>119</v>
      </c>
      <c r="E715" s="159" t="s">
        <v>619</v>
      </c>
      <c r="F715" s="174">
        <v>0.37840000000000001</v>
      </c>
      <c r="G715" s="160">
        <v>25</v>
      </c>
      <c r="H715" s="160">
        <f>ROUND(ROUND(F715,8)*G715,2)</f>
        <v>9.4600000000000009</v>
      </c>
    </row>
    <row r="716" spans="1:10">
      <c r="B716" s="159">
        <v>88264</v>
      </c>
      <c r="C716" s="221" t="s">
        <v>609</v>
      </c>
      <c r="D716" s="159" t="s">
        <v>119</v>
      </c>
      <c r="E716" s="159" t="s">
        <v>619</v>
      </c>
      <c r="F716" s="174">
        <v>0.37840000000000001</v>
      </c>
      <c r="G716" s="160">
        <v>31.72</v>
      </c>
      <c r="H716" s="160">
        <f>ROUND(ROUND(F716,8)*G716,2)</f>
        <v>12</v>
      </c>
    </row>
    <row r="717" spans="1:10">
      <c r="B717" s="222"/>
      <c r="C717" s="222"/>
      <c r="D717" s="222"/>
      <c r="E717" s="222"/>
      <c r="F717" s="630" t="s">
        <v>585</v>
      </c>
      <c r="G717" s="630"/>
      <c r="H717" s="102">
        <f>H715+H716</f>
        <v>21.46</v>
      </c>
    </row>
    <row r="718" spans="1:10">
      <c r="B718" s="222"/>
      <c r="C718" s="222"/>
      <c r="D718" s="222"/>
      <c r="E718" s="222"/>
      <c r="F718" s="630" t="s">
        <v>464</v>
      </c>
      <c r="G718" s="630"/>
      <c r="H718" s="102">
        <f>H713+H717</f>
        <v>96.66</v>
      </c>
    </row>
    <row r="719" spans="1:10">
      <c r="B719" s="222"/>
      <c r="C719" s="222"/>
      <c r="D719" s="222"/>
      <c r="E719" s="222"/>
      <c r="F719" s="226"/>
      <c r="G719" s="226"/>
      <c r="H719" s="226"/>
    </row>
    <row r="720" spans="1:10">
      <c r="B720" s="245" t="s">
        <v>2605</v>
      </c>
    </row>
    <row r="721" spans="1:10">
      <c r="B721" s="222"/>
      <c r="C721" s="222"/>
      <c r="D721" s="222"/>
      <c r="E721" s="222"/>
      <c r="F721" s="111"/>
      <c r="G721" s="111"/>
      <c r="H721" s="228"/>
    </row>
    <row r="722" spans="1:10" ht="27.75" customHeight="1">
      <c r="A722" s="246" t="str">
        <f>'3 - PLAN. ORÇAMENTÁRIA'!A614</f>
        <v>6.3.2.2</v>
      </c>
      <c r="B722" s="178" t="str">
        <f>'3 - PLAN. ORÇAMENTÁRIA'!B614</f>
        <v>CCU 148</v>
      </c>
      <c r="C722" s="631" t="str">
        <f>'3 - PLAN. ORÇAMENTÁRIA'!C614</f>
        <v>CÂMERA DE VÍDEO DIGITAL, BULLET POE, FULL HD 1080P, COM INFRAVERMELHO E ALCANCE DE 30M, IP67, HIKVISION OU SIMILAR. EXCLUSIVE PONTO DE LÓGICA E PONTO DE ENERGIA REF. 97603/SINAPI</v>
      </c>
      <c r="D722" s="632"/>
      <c r="E722" s="632"/>
      <c r="F722" s="632"/>
      <c r="G722" s="633"/>
      <c r="H722" s="131" t="s">
        <v>144</v>
      </c>
      <c r="J722" s="220" t="str">
        <f>B732</f>
        <v>Obs: Foi adotado o item 97603 do SINAPI como base e por questão de similaridade ao que se pede e projeto, foi alterado o material da Câmera pelo do item S13597 do ORSE.</v>
      </c>
    </row>
    <row r="723" spans="1:10">
      <c r="B723" s="628" t="s">
        <v>593</v>
      </c>
      <c r="C723" s="628"/>
      <c r="D723" s="103" t="s">
        <v>579</v>
      </c>
      <c r="E723" s="103" t="s">
        <v>580</v>
      </c>
      <c r="F723" s="103" t="s">
        <v>581</v>
      </c>
      <c r="G723" s="103" t="s">
        <v>582</v>
      </c>
      <c r="H723" s="103" t="s">
        <v>583</v>
      </c>
    </row>
    <row r="724" spans="1:10">
      <c r="B724" s="159" t="s">
        <v>1103</v>
      </c>
      <c r="C724" s="221" t="s">
        <v>1111</v>
      </c>
      <c r="D724" s="159" t="s">
        <v>158</v>
      </c>
      <c r="E724" s="159" t="s">
        <v>613</v>
      </c>
      <c r="F724" s="174">
        <v>1</v>
      </c>
      <c r="G724" s="160">
        <v>250</v>
      </c>
      <c r="H724" s="160">
        <f>ROUND(ROUND(F724,8)*G724,2)</f>
        <v>250</v>
      </c>
    </row>
    <row r="725" spans="1:10">
      <c r="B725" s="222"/>
      <c r="C725" s="222"/>
      <c r="D725" s="222"/>
      <c r="E725" s="222"/>
      <c r="F725" s="630" t="s">
        <v>604</v>
      </c>
      <c r="G725" s="630"/>
      <c r="H725" s="102">
        <f>H724</f>
        <v>250</v>
      </c>
    </row>
    <row r="726" spans="1:10">
      <c r="B726" s="628" t="s">
        <v>607</v>
      </c>
      <c r="C726" s="628"/>
      <c r="D726" s="103" t="s">
        <v>579</v>
      </c>
      <c r="E726" s="103" t="s">
        <v>580</v>
      </c>
      <c r="F726" s="103" t="s">
        <v>581</v>
      </c>
      <c r="G726" s="103" t="s">
        <v>582</v>
      </c>
      <c r="H726" s="103" t="s">
        <v>583</v>
      </c>
    </row>
    <row r="727" spans="1:10">
      <c r="B727" s="159">
        <v>88247</v>
      </c>
      <c r="C727" s="221" t="s">
        <v>2604</v>
      </c>
      <c r="D727" s="159" t="s">
        <v>119</v>
      </c>
      <c r="E727" s="159" t="s">
        <v>619</v>
      </c>
      <c r="F727" s="174">
        <v>0.59550000000000003</v>
      </c>
      <c r="G727" s="160">
        <v>25</v>
      </c>
      <c r="H727" s="160">
        <f>ROUND(ROUND(F727,8)*G727,2)</f>
        <v>14.89</v>
      </c>
    </row>
    <row r="728" spans="1:10">
      <c r="B728" s="159">
        <v>88264</v>
      </c>
      <c r="C728" s="221" t="s">
        <v>609</v>
      </c>
      <c r="D728" s="159" t="s">
        <v>119</v>
      </c>
      <c r="E728" s="159" t="s">
        <v>619</v>
      </c>
      <c r="F728" s="174">
        <v>1.4293</v>
      </c>
      <c r="G728" s="160">
        <v>31.72</v>
      </c>
      <c r="H728" s="160">
        <f>ROUND(ROUND(F728,8)*G728,2)</f>
        <v>45.34</v>
      </c>
    </row>
    <row r="729" spans="1:10">
      <c r="B729" s="222"/>
      <c r="C729" s="222"/>
      <c r="D729" s="222"/>
      <c r="E729" s="222"/>
      <c r="F729" s="630" t="s">
        <v>585</v>
      </c>
      <c r="G729" s="630"/>
      <c r="H729" s="102">
        <f>H727+H728</f>
        <v>60.230000000000004</v>
      </c>
    </row>
    <row r="730" spans="1:10">
      <c r="B730" s="222"/>
      <c r="C730" s="222"/>
      <c r="D730" s="222"/>
      <c r="E730" s="222"/>
      <c r="F730" s="630" t="s">
        <v>464</v>
      </c>
      <c r="G730" s="630"/>
      <c r="H730" s="102">
        <f>H729+H725</f>
        <v>310.23</v>
      </c>
    </row>
    <row r="731" spans="1:10">
      <c r="B731" s="222"/>
      <c r="C731" s="222"/>
      <c r="D731" s="222"/>
      <c r="E731" s="222"/>
      <c r="F731" s="226"/>
      <c r="G731" s="226"/>
      <c r="H731" s="226"/>
    </row>
    <row r="732" spans="1:10">
      <c r="B732" s="245" t="s">
        <v>2607</v>
      </c>
    </row>
    <row r="733" spans="1:10">
      <c r="B733" s="222"/>
      <c r="C733" s="222"/>
      <c r="D733" s="222"/>
      <c r="E733" s="222"/>
      <c r="F733" s="111"/>
      <c r="G733" s="111"/>
      <c r="H733" s="228"/>
    </row>
    <row r="734" spans="1:10" ht="27.75" customHeight="1">
      <c r="A734" s="246" t="str">
        <f>'3 - PLAN. ORÇAMENTÁRIA'!A573</f>
        <v>6.1.4.11</v>
      </c>
      <c r="B734" s="178" t="str">
        <f>'3 - PLAN. ORÇAMENTÁRIA'!B573</f>
        <v>CCU 185</v>
      </c>
      <c r="C734" s="631" t="str">
        <f>'3 - PLAN. ORÇAMENTÁRIA'!C573</f>
        <v>POSTE DE AÇO GALVANIZADO CÔNICO CONTÍNO RETO, DIÂMETRO SUPERIOR 60MM, DIÂMETRO DA BASE 115MM, ALTURA TOTAL 5M, CONIPOST REF. SÉRIE 0005/CLASSE 60 DA CONIPOST OU SIMILAR REF. 100622/SINAPI</v>
      </c>
      <c r="D734" s="632"/>
      <c r="E734" s="632"/>
      <c r="F734" s="632"/>
      <c r="G734" s="633"/>
      <c r="H734" s="131" t="s">
        <v>144</v>
      </c>
      <c r="J734" s="220" t="str">
        <f>B751</f>
        <v>Obs: Foi adotado o ittem 100622 do SINAPI como base e retirados os materiais luminária e cobre por já estarem contemplados separadamente, e por questão de similaridade ao que se pede em projeto, foi alterado o material do poste para o do item S07269 do ORSE e acrescentados os serviços do mesmo.</v>
      </c>
    </row>
    <row r="735" spans="1:10">
      <c r="B735" s="628" t="s">
        <v>1301</v>
      </c>
      <c r="C735" s="628"/>
      <c r="D735" s="103" t="s">
        <v>579</v>
      </c>
      <c r="E735" s="103" t="s">
        <v>580</v>
      </c>
      <c r="F735" s="103" t="s">
        <v>581</v>
      </c>
      <c r="G735" s="103" t="s">
        <v>582</v>
      </c>
      <c r="H735" s="103" t="s">
        <v>583</v>
      </c>
    </row>
    <row r="736" spans="1:10" ht="25.5">
      <c r="B736" s="159">
        <v>5928</v>
      </c>
      <c r="C736" s="221" t="s">
        <v>2532</v>
      </c>
      <c r="D736" s="159" t="s">
        <v>119</v>
      </c>
      <c r="E736" s="159" t="s">
        <v>1307</v>
      </c>
      <c r="F736" s="174">
        <v>0.111</v>
      </c>
      <c r="G736" s="160">
        <v>276.11</v>
      </c>
      <c r="H736" s="160">
        <f>ROUND(ROUND(F736,8)*G736,2)</f>
        <v>30.65</v>
      </c>
    </row>
    <row r="737" spans="2:8">
      <c r="B737" s="222"/>
      <c r="C737" s="222"/>
      <c r="D737" s="222"/>
      <c r="E737" s="222"/>
      <c r="F737" s="630" t="s">
        <v>1308</v>
      </c>
      <c r="G737" s="630"/>
      <c r="H737" s="102">
        <f>H736</f>
        <v>30.65</v>
      </c>
    </row>
    <row r="738" spans="2:8">
      <c r="B738" s="628" t="s">
        <v>593</v>
      </c>
      <c r="C738" s="628"/>
      <c r="D738" s="103" t="s">
        <v>579</v>
      </c>
      <c r="E738" s="103" t="s">
        <v>580</v>
      </c>
      <c r="F738" s="103" t="s">
        <v>581</v>
      </c>
      <c r="G738" s="103" t="s">
        <v>582</v>
      </c>
      <c r="H738" s="103" t="s">
        <v>583</v>
      </c>
    </row>
    <row r="739" spans="2:8" ht="25.5">
      <c r="B739" s="159" t="s">
        <v>2187</v>
      </c>
      <c r="C739" s="221" t="s">
        <v>2188</v>
      </c>
      <c r="D739" s="159" t="s">
        <v>158</v>
      </c>
      <c r="E739" s="159" t="s">
        <v>614</v>
      </c>
      <c r="F739" s="174">
        <v>1</v>
      </c>
      <c r="G739" s="160">
        <v>850.5</v>
      </c>
      <c r="H739" s="160">
        <f>ROUND(ROUND(F739,8)*G739,2)</f>
        <v>850.5</v>
      </c>
    </row>
    <row r="740" spans="2:8">
      <c r="B740" s="222"/>
      <c r="C740" s="222"/>
      <c r="D740" s="222"/>
      <c r="E740" s="222"/>
      <c r="F740" s="630" t="s">
        <v>604</v>
      </c>
      <c r="G740" s="630"/>
      <c r="H740" s="102">
        <f>SUM(H739:H739)</f>
        <v>850.5</v>
      </c>
    </row>
    <row r="741" spans="2:8">
      <c r="B741" s="628" t="s">
        <v>607</v>
      </c>
      <c r="C741" s="628"/>
      <c r="D741" s="103" t="s">
        <v>579</v>
      </c>
      <c r="E741" s="103" t="s">
        <v>580</v>
      </c>
      <c r="F741" s="103" t="s">
        <v>581</v>
      </c>
      <c r="G741" s="103" t="s">
        <v>582</v>
      </c>
      <c r="H741" s="103" t="s">
        <v>583</v>
      </c>
    </row>
    <row r="742" spans="2:8">
      <c r="B742" s="159">
        <v>88247</v>
      </c>
      <c r="C742" s="221" t="s">
        <v>2604</v>
      </c>
      <c r="D742" s="159" t="s">
        <v>119</v>
      </c>
      <c r="E742" s="159" t="s">
        <v>121</v>
      </c>
      <c r="F742" s="174">
        <v>1.1240000000000001</v>
      </c>
      <c r="G742" s="160">
        <v>25</v>
      </c>
      <c r="H742" s="160">
        <f>ROUND(ROUND(F742,8)*G742,2)</f>
        <v>28.1</v>
      </c>
    </row>
    <row r="743" spans="2:8">
      <c r="B743" s="159">
        <v>88264</v>
      </c>
      <c r="C743" s="221" t="s">
        <v>609</v>
      </c>
      <c r="D743" s="159" t="s">
        <v>119</v>
      </c>
      <c r="E743" s="159" t="s">
        <v>121</v>
      </c>
      <c r="F743" s="174">
        <v>3.653</v>
      </c>
      <c r="G743" s="160">
        <v>31.72</v>
      </c>
      <c r="H743" s="160">
        <f>ROUND(ROUND(F743,8)*G743,2)</f>
        <v>115.87</v>
      </c>
    </row>
    <row r="744" spans="2:8">
      <c r="B744" s="225"/>
      <c r="C744" s="223"/>
      <c r="D744" s="225"/>
      <c r="E744" s="225"/>
      <c r="F744" s="630" t="s">
        <v>2137</v>
      </c>
      <c r="G744" s="630" t="s">
        <v>2137</v>
      </c>
      <c r="H744" s="102">
        <f>SUM(H742:H743)</f>
        <v>143.97</v>
      </c>
    </row>
    <row r="745" spans="2:8">
      <c r="B745" s="628" t="s">
        <v>586</v>
      </c>
      <c r="C745" s="628"/>
      <c r="D745" s="103" t="s">
        <v>579</v>
      </c>
      <c r="E745" s="103" t="s">
        <v>580</v>
      </c>
      <c r="F745" s="103" t="s">
        <v>581</v>
      </c>
      <c r="G745" s="103" t="s">
        <v>582</v>
      </c>
      <c r="H745" s="103" t="s">
        <v>583</v>
      </c>
    </row>
    <row r="746" spans="2:8">
      <c r="B746" s="159" t="s">
        <v>671</v>
      </c>
      <c r="C746" s="221" t="s">
        <v>672</v>
      </c>
      <c r="D746" s="159" t="s">
        <v>158</v>
      </c>
      <c r="E746" s="159" t="s">
        <v>624</v>
      </c>
      <c r="F746" s="174">
        <v>0.05</v>
      </c>
      <c r="G746" s="160">
        <v>469.3</v>
      </c>
      <c r="H746" s="160">
        <f>ROUND(ROUND(F746,8)*G746,2)</f>
        <v>23.47</v>
      </c>
    </row>
    <row r="747" spans="2:8">
      <c r="B747" s="159" t="s">
        <v>1120</v>
      </c>
      <c r="C747" s="221" t="s">
        <v>1119</v>
      </c>
      <c r="D747" s="159" t="s">
        <v>158</v>
      </c>
      <c r="E747" s="159" t="s">
        <v>624</v>
      </c>
      <c r="F747" s="174">
        <v>0.6</v>
      </c>
      <c r="G747" s="160">
        <v>93.94</v>
      </c>
      <c r="H747" s="160">
        <f>ROUND(ROUND(F747,8)*G747,2)</f>
        <v>56.36</v>
      </c>
    </row>
    <row r="748" spans="2:8">
      <c r="B748" s="222"/>
      <c r="C748" s="222"/>
      <c r="D748" s="222"/>
      <c r="E748" s="222"/>
      <c r="F748" s="647" t="s">
        <v>585</v>
      </c>
      <c r="G748" s="647"/>
      <c r="H748" s="224">
        <f>SUM(H746:H747)</f>
        <v>79.83</v>
      </c>
    </row>
    <row r="749" spans="2:8">
      <c r="B749" s="222"/>
      <c r="C749" s="222"/>
      <c r="D749" s="222"/>
      <c r="E749" s="222"/>
      <c r="F749" s="645" t="s">
        <v>464</v>
      </c>
      <c r="G749" s="645"/>
      <c r="H749" s="158">
        <f>H737+H740+H744+H748</f>
        <v>1104.9499999999998</v>
      </c>
    </row>
    <row r="751" spans="2:8">
      <c r="B751" s="245" t="s">
        <v>2609</v>
      </c>
    </row>
    <row r="752" spans="2:8">
      <c r="B752" s="222"/>
      <c r="C752" s="222"/>
      <c r="D752" s="222"/>
      <c r="E752" s="222"/>
      <c r="F752" s="111"/>
      <c r="G752" s="111"/>
      <c r="H752" s="228"/>
    </row>
    <row r="753" spans="1:10">
      <c r="A753" s="246" t="str">
        <f>'3 - PLAN. ORÇAMENTÁRIA'!A199</f>
        <v>4.1.4.1</v>
      </c>
      <c r="B753" s="178" t="str">
        <f>'3 - PLAN. ORÇAMENTÁRIA'!B199</f>
        <v>CCU 159</v>
      </c>
      <c r="C753" s="631" t="str">
        <f>'3 - PLAN. ORÇAMENTÁRIA'!C199</f>
        <v>TELHA GALVALUME / ACO GALV SANDUICHE E=50MM (PIR) TRAPEZ H=40MM NAS DUAS FACES E= 0,50MM COM PINT FACES APARENTES REF. 94216/SINAPI</v>
      </c>
      <c r="D753" s="632"/>
      <c r="E753" s="632"/>
      <c r="F753" s="632"/>
      <c r="G753" s="633"/>
      <c r="H753" s="131" t="s">
        <v>139</v>
      </c>
      <c r="J753" s="220" t="str">
        <f>B768</f>
        <v>Obs: Foi adotado o item 94216 do SINAPI como base e por questão de similaridade ao que se pede em projeto, foram retirados os materiais e adicionado o material de Parafuso e o serviço de Telha Galvalume do item 07.03.136 do SP EDUCAÇÃO.</v>
      </c>
    </row>
    <row r="754" spans="1:10">
      <c r="A754" s="163"/>
      <c r="B754" s="628" t="s">
        <v>1301</v>
      </c>
      <c r="C754" s="628"/>
      <c r="D754" s="103" t="s">
        <v>579</v>
      </c>
      <c r="E754" s="103" t="s">
        <v>580</v>
      </c>
      <c r="F754" s="103" t="s">
        <v>581</v>
      </c>
      <c r="G754" s="103" t="s">
        <v>582</v>
      </c>
      <c r="H754" s="103" t="s">
        <v>583</v>
      </c>
    </row>
    <row r="755" spans="1:10">
      <c r="A755" s="163"/>
      <c r="B755" s="159">
        <v>93282</v>
      </c>
      <c r="C755" s="221" t="s">
        <v>1506</v>
      </c>
      <c r="D755" s="159" t="s">
        <v>119</v>
      </c>
      <c r="E755" s="159" t="s">
        <v>1304</v>
      </c>
      <c r="F755" s="174">
        <v>1.1999999999999999E-3</v>
      </c>
      <c r="G755" s="160">
        <v>26.48</v>
      </c>
      <c r="H755" s="160">
        <f>ROUND(ROUND(F755,8)*G755,2)</f>
        <v>0.03</v>
      </c>
    </row>
    <row r="756" spans="1:10">
      <c r="A756" s="163"/>
      <c r="B756" s="159">
        <v>93281</v>
      </c>
      <c r="C756" s="221" t="s">
        <v>1508</v>
      </c>
      <c r="D756" s="159" t="s">
        <v>119</v>
      </c>
      <c r="E756" s="159" t="s">
        <v>1307</v>
      </c>
      <c r="F756" s="174">
        <v>8.9999999999999998E-4</v>
      </c>
      <c r="G756" s="160">
        <v>27.3</v>
      </c>
      <c r="H756" s="160">
        <f>ROUND(ROUND(F756,8)*G756,2)</f>
        <v>0.02</v>
      </c>
    </row>
    <row r="757" spans="1:10">
      <c r="A757" s="163"/>
      <c r="B757" s="222"/>
      <c r="C757" s="222"/>
      <c r="D757" s="222"/>
      <c r="E757" s="222"/>
      <c r="F757" s="630" t="s">
        <v>1308</v>
      </c>
      <c r="G757" s="630"/>
      <c r="H757" s="102">
        <f>H755+H756</f>
        <v>0.05</v>
      </c>
    </row>
    <row r="758" spans="1:10">
      <c r="B758" s="628" t="s">
        <v>593</v>
      </c>
      <c r="C758" s="628"/>
      <c r="D758" s="103" t="s">
        <v>579</v>
      </c>
      <c r="E758" s="103" t="s">
        <v>580</v>
      </c>
      <c r="F758" s="103" t="s">
        <v>581</v>
      </c>
      <c r="G758" s="103" t="s">
        <v>582</v>
      </c>
      <c r="H758" s="103" t="s">
        <v>583</v>
      </c>
    </row>
    <row r="759" spans="1:10">
      <c r="B759" s="159" t="s">
        <v>1049</v>
      </c>
      <c r="C759" s="221" t="s">
        <v>1050</v>
      </c>
      <c r="D759" s="159" t="s">
        <v>1047</v>
      </c>
      <c r="E759" s="159" t="s">
        <v>1048</v>
      </c>
      <c r="F759" s="174">
        <v>4</v>
      </c>
      <c r="G759" s="160">
        <v>0.63</v>
      </c>
      <c r="H759" s="160">
        <f>ROUND(ROUND(F759,8)*G759,2)</f>
        <v>2.52</v>
      </c>
    </row>
    <row r="760" spans="1:10" ht="38.25">
      <c r="B760" s="173" t="s">
        <v>3385</v>
      </c>
      <c r="C760" s="221" t="s">
        <v>3386</v>
      </c>
      <c r="D760" s="159" t="s">
        <v>119</v>
      </c>
      <c r="E760" s="159" t="s">
        <v>139</v>
      </c>
      <c r="F760" s="174">
        <v>1</v>
      </c>
      <c r="G760" s="160">
        <v>189</v>
      </c>
      <c r="H760" s="160">
        <f>ROUND(ROUND(F760,8)*G760,2)</f>
        <v>189</v>
      </c>
    </row>
    <row r="761" spans="1:10">
      <c r="B761" s="222"/>
      <c r="C761" s="222"/>
      <c r="D761" s="222"/>
      <c r="E761" s="222"/>
      <c r="F761" s="630" t="s">
        <v>604</v>
      </c>
      <c r="G761" s="630"/>
      <c r="H761" s="102">
        <f>H760+H759</f>
        <v>191.52</v>
      </c>
    </row>
    <row r="762" spans="1:10">
      <c r="B762" s="628" t="s">
        <v>607</v>
      </c>
      <c r="C762" s="628"/>
      <c r="D762" s="103" t="s">
        <v>579</v>
      </c>
      <c r="E762" s="103" t="s">
        <v>580</v>
      </c>
      <c r="F762" s="103" t="s">
        <v>581</v>
      </c>
      <c r="G762" s="103" t="s">
        <v>582</v>
      </c>
      <c r="H762" s="103" t="s">
        <v>583</v>
      </c>
    </row>
    <row r="763" spans="1:10">
      <c r="B763" s="159">
        <v>88316</v>
      </c>
      <c r="C763" s="221" t="s">
        <v>626</v>
      </c>
      <c r="D763" s="159" t="s">
        <v>119</v>
      </c>
      <c r="E763" s="159" t="s">
        <v>121</v>
      </c>
      <c r="F763" s="174">
        <v>6.2E-2</v>
      </c>
      <c r="G763" s="160">
        <v>23.75</v>
      </c>
      <c r="H763" s="160">
        <f>ROUND(ROUND(F763,8)*G763,2)</f>
        <v>1.47</v>
      </c>
    </row>
    <row r="764" spans="1:10">
      <c r="B764" s="159">
        <v>88323</v>
      </c>
      <c r="C764" s="221" t="s">
        <v>1516</v>
      </c>
      <c r="D764" s="159" t="s">
        <v>119</v>
      </c>
      <c r="E764" s="159" t="s">
        <v>121</v>
      </c>
      <c r="F764" s="174">
        <v>5.6000000000000001E-2</v>
      </c>
      <c r="G764" s="160">
        <v>30.62</v>
      </c>
      <c r="H764" s="160">
        <f>ROUND(ROUND(F764,8)*G764,2)</f>
        <v>1.71</v>
      </c>
    </row>
    <row r="765" spans="1:10">
      <c r="B765" s="222"/>
      <c r="C765" s="222"/>
      <c r="D765" s="222"/>
      <c r="E765" s="222"/>
      <c r="F765" s="630" t="s">
        <v>604</v>
      </c>
      <c r="G765" s="630"/>
      <c r="H765" s="102">
        <f>H763+H764</f>
        <v>3.1799999999999997</v>
      </c>
    </row>
    <row r="766" spans="1:10">
      <c r="B766" s="222"/>
      <c r="C766" s="222"/>
      <c r="D766" s="222"/>
      <c r="E766" s="222"/>
      <c r="F766" s="630" t="s">
        <v>464</v>
      </c>
      <c r="G766" s="630"/>
      <c r="H766" s="102">
        <f>H765+H761+H757</f>
        <v>194.75000000000003</v>
      </c>
    </row>
    <row r="767" spans="1:10">
      <c r="B767" s="222"/>
      <c r="C767" s="222"/>
      <c r="D767" s="222"/>
      <c r="E767" s="222"/>
      <c r="F767" s="226"/>
      <c r="G767" s="226"/>
      <c r="H767" s="226"/>
    </row>
    <row r="768" spans="1:10">
      <c r="B768" s="245" t="s">
        <v>2610</v>
      </c>
    </row>
    <row r="769" spans="1:10">
      <c r="B769" s="222"/>
      <c r="C769" s="222"/>
      <c r="D769" s="222"/>
      <c r="E769" s="222"/>
      <c r="F769" s="111"/>
      <c r="G769" s="111"/>
      <c r="H769" s="228"/>
    </row>
    <row r="770" spans="1:10">
      <c r="A770" s="246" t="str">
        <f>'3 - PLAN. ORÇAMENTÁRIA'!A377</f>
        <v>4.4.3.1</v>
      </c>
      <c r="B770" s="178" t="str">
        <f>'3 - PLAN. ORÇAMENTÁRIA'!B377</f>
        <v>CCU 160</v>
      </c>
      <c r="C770" s="631" t="str">
        <f>'3 - PLAN. ORÇAMENTÁRIA'!C377</f>
        <v>CORRIMÃO DUPLO AÇO INOX FORNECIDO E INSTALADO NO GUARDA-CORPO DE VIDRO REF. 99859/SINAPI</v>
      </c>
      <c r="D770" s="632"/>
      <c r="E770" s="632"/>
      <c r="F770" s="632"/>
      <c r="G770" s="633"/>
      <c r="H770" s="131" t="s">
        <v>173</v>
      </c>
      <c r="J770" s="220" t="str">
        <f>B783</f>
        <v>Obs: Foi adotado o item 99859 do SINAPI como base e por questão de similaridade ao que se pede em projeto, foi substituído o material do corrimão pelo material I03339 do ORSE.</v>
      </c>
    </row>
    <row r="771" spans="1:10">
      <c r="B771" s="628" t="s">
        <v>593</v>
      </c>
      <c r="C771" s="628"/>
      <c r="D771" s="103" t="s">
        <v>579</v>
      </c>
      <c r="E771" s="103" t="s">
        <v>580</v>
      </c>
      <c r="F771" s="103" t="s">
        <v>581</v>
      </c>
      <c r="G771" s="103" t="s">
        <v>582</v>
      </c>
      <c r="H771" s="103" t="s">
        <v>583</v>
      </c>
    </row>
    <row r="772" spans="1:10">
      <c r="B772" s="173" t="s">
        <v>2613</v>
      </c>
      <c r="C772" s="221" t="s">
        <v>2614</v>
      </c>
      <c r="D772" s="159" t="s">
        <v>158</v>
      </c>
      <c r="E772" s="159" t="s">
        <v>173</v>
      </c>
      <c r="F772" s="174">
        <v>2.0579999999999998</v>
      </c>
      <c r="G772" s="160">
        <v>78.83</v>
      </c>
      <c r="H772" s="160">
        <f>ROUND(ROUND(F772,8)*G772,2)</f>
        <v>162.22999999999999</v>
      </c>
    </row>
    <row r="773" spans="1:10" ht="25.5">
      <c r="B773" s="173" t="s">
        <v>651</v>
      </c>
      <c r="C773" s="221" t="s">
        <v>652</v>
      </c>
      <c r="D773" s="159" t="s">
        <v>119</v>
      </c>
      <c r="E773" s="159" t="s">
        <v>1048</v>
      </c>
      <c r="F773" s="174">
        <v>4.3639999999999999</v>
      </c>
      <c r="G773" s="160">
        <v>1.1599999999999999</v>
      </c>
      <c r="H773" s="160">
        <f>ROUND(ROUND(F773,8)*G773,2)</f>
        <v>5.0599999999999996</v>
      </c>
    </row>
    <row r="774" spans="1:10">
      <c r="B774" s="173" t="s">
        <v>1549</v>
      </c>
      <c r="C774" s="221" t="s">
        <v>1550</v>
      </c>
      <c r="D774" s="159" t="s">
        <v>119</v>
      </c>
      <c r="E774" s="159" t="s">
        <v>200</v>
      </c>
      <c r="F774" s="174">
        <v>1E-3</v>
      </c>
      <c r="G774" s="160">
        <v>42.25</v>
      </c>
      <c r="H774" s="160">
        <f>ROUND(ROUND(F774,8)*G774,2)</f>
        <v>0.04</v>
      </c>
    </row>
    <row r="775" spans="1:10">
      <c r="B775" s="173" t="s">
        <v>1509</v>
      </c>
      <c r="C775" s="221" t="s">
        <v>1510</v>
      </c>
      <c r="D775" s="159" t="s">
        <v>119</v>
      </c>
      <c r="E775" s="159" t="s">
        <v>200</v>
      </c>
      <c r="F775" s="174">
        <v>4.0000000000000001E-3</v>
      </c>
      <c r="G775" s="160">
        <v>74.06</v>
      </c>
      <c r="H775" s="160">
        <f>ROUND(ROUND(F775,8)*G775,2)</f>
        <v>0.3</v>
      </c>
    </row>
    <row r="776" spans="1:10">
      <c r="B776" s="222"/>
      <c r="C776" s="222"/>
      <c r="D776" s="222"/>
      <c r="E776" s="222"/>
      <c r="F776" s="630" t="s">
        <v>604</v>
      </c>
      <c r="G776" s="630"/>
      <c r="H776" s="102">
        <f>SUM(H772:H775)</f>
        <v>167.63</v>
      </c>
    </row>
    <row r="777" spans="1:10">
      <c r="B777" s="628" t="s">
        <v>607</v>
      </c>
      <c r="C777" s="628"/>
      <c r="D777" s="103" t="s">
        <v>579</v>
      </c>
      <c r="E777" s="103" t="s">
        <v>580</v>
      </c>
      <c r="F777" s="103" t="s">
        <v>581</v>
      </c>
      <c r="G777" s="103" t="s">
        <v>582</v>
      </c>
      <c r="H777" s="103" t="s">
        <v>583</v>
      </c>
    </row>
    <row r="778" spans="1:10">
      <c r="B778" s="159">
        <v>88251</v>
      </c>
      <c r="C778" s="221" t="s">
        <v>667</v>
      </c>
      <c r="D778" s="159" t="s">
        <v>119</v>
      </c>
      <c r="E778" s="159" t="s">
        <v>121</v>
      </c>
      <c r="F778" s="174">
        <v>1.569</v>
      </c>
      <c r="G778" s="160">
        <v>24.57</v>
      </c>
      <c r="H778" s="160">
        <f>ROUND(ROUND(F778,8)*G778,2)</f>
        <v>38.549999999999997</v>
      </c>
    </row>
    <row r="779" spans="1:10">
      <c r="B779" s="159">
        <v>88315</v>
      </c>
      <c r="C779" s="221" t="s">
        <v>668</v>
      </c>
      <c r="D779" s="159" t="s">
        <v>119</v>
      </c>
      <c r="E779" s="159" t="s">
        <v>121</v>
      </c>
      <c r="F779" s="174">
        <v>1.91</v>
      </c>
      <c r="G779" s="160">
        <v>31.13</v>
      </c>
      <c r="H779" s="160">
        <f>ROUND(ROUND(F779,8)*G779,2)</f>
        <v>59.46</v>
      </c>
    </row>
    <row r="780" spans="1:10">
      <c r="B780" s="222"/>
      <c r="C780" s="222"/>
      <c r="D780" s="222"/>
      <c r="E780" s="222"/>
      <c r="F780" s="630" t="s">
        <v>587</v>
      </c>
      <c r="G780" s="630"/>
      <c r="H780" s="102">
        <f>H778+H779</f>
        <v>98.009999999999991</v>
      </c>
    </row>
    <row r="781" spans="1:10">
      <c r="B781" s="222"/>
      <c r="C781" s="222"/>
      <c r="D781" s="222"/>
      <c r="E781" s="222"/>
      <c r="F781" s="630" t="s">
        <v>464</v>
      </c>
      <c r="G781" s="630"/>
      <c r="H781" s="102">
        <f>H780+H776</f>
        <v>265.64</v>
      </c>
    </row>
    <row r="782" spans="1:10">
      <c r="B782" s="222"/>
      <c r="C782" s="222"/>
      <c r="D782" s="222"/>
      <c r="E782" s="222"/>
      <c r="F782" s="226"/>
      <c r="G782" s="226"/>
      <c r="H782" s="226"/>
    </row>
    <row r="783" spans="1:10">
      <c r="B783" s="245" t="s">
        <v>2615</v>
      </c>
    </row>
    <row r="784" spans="1:10">
      <c r="B784" s="222"/>
      <c r="C784" s="222"/>
      <c r="D784" s="222"/>
      <c r="E784" s="222"/>
      <c r="F784" s="111"/>
      <c r="G784" s="111"/>
      <c r="H784" s="228"/>
    </row>
    <row r="785" spans="1:10">
      <c r="A785" s="246" t="str">
        <f>'3 - PLAN. ORÇAMENTÁRIA'!A693</f>
        <v>8.2.1</v>
      </c>
      <c r="B785" s="178" t="str">
        <f>'3 - PLAN. ORÇAMENTÁRIA'!B693</f>
        <v>CCU 172</v>
      </c>
      <c r="C785" s="631" t="str">
        <f>'3 - PLAN. ORÇAMENTÁRIA'!C693</f>
        <v>EXTINTOR PORTATIL DE PO QUIMICO ABC CAPACIDADE 6 KG REF. 101909/SINAPI</v>
      </c>
      <c r="D785" s="632"/>
      <c r="E785" s="632"/>
      <c r="F785" s="632"/>
      <c r="G785" s="633"/>
      <c r="H785" s="131" t="s">
        <v>144</v>
      </c>
      <c r="J785" s="220" t="str">
        <f>B796</f>
        <v>Obs: Foi adotado o item 101909 do SINAPI como base e por questão de similaridade ao que se pede em projeto, foi alterado o material do Extintor para o do item 08.08.051 do SP EDUCAÇÃO</v>
      </c>
    </row>
    <row r="786" spans="1:10">
      <c r="B786" s="628" t="s">
        <v>593</v>
      </c>
      <c r="C786" s="628"/>
      <c r="D786" s="103" t="s">
        <v>579</v>
      </c>
      <c r="E786" s="103" t="s">
        <v>580</v>
      </c>
      <c r="F786" s="103" t="s">
        <v>581</v>
      </c>
      <c r="G786" s="103" t="s">
        <v>582</v>
      </c>
      <c r="H786" s="103" t="s">
        <v>583</v>
      </c>
    </row>
    <row r="787" spans="1:10">
      <c r="B787" s="159" t="s">
        <v>777</v>
      </c>
      <c r="C787" s="221" t="s">
        <v>778</v>
      </c>
      <c r="D787" s="159" t="s">
        <v>650</v>
      </c>
      <c r="E787" s="159" t="s">
        <v>144</v>
      </c>
      <c r="F787" s="174">
        <v>1</v>
      </c>
      <c r="G787" s="160">
        <v>252.38</v>
      </c>
      <c r="H787" s="160">
        <f>ROUND(ROUND(F787,8)*G787,2)</f>
        <v>252.38</v>
      </c>
    </row>
    <row r="788" spans="1:10" ht="25.5">
      <c r="B788" s="173" t="s">
        <v>1810</v>
      </c>
      <c r="C788" s="221" t="s">
        <v>1811</v>
      </c>
      <c r="D788" s="159" t="s">
        <v>119</v>
      </c>
      <c r="E788" s="159" t="s">
        <v>144</v>
      </c>
      <c r="F788" s="174">
        <v>2</v>
      </c>
      <c r="G788" s="160">
        <v>0.73</v>
      </c>
      <c r="H788" s="160">
        <f>ROUND(ROUND(F788,8)*G788,2)</f>
        <v>1.46</v>
      </c>
    </row>
    <row r="789" spans="1:10">
      <c r="B789" s="222"/>
      <c r="C789" s="222"/>
      <c r="D789" s="222"/>
      <c r="E789" s="222"/>
      <c r="F789" s="630" t="s">
        <v>604</v>
      </c>
      <c r="G789" s="630"/>
      <c r="H789" s="102">
        <f>H787+H788</f>
        <v>253.84</v>
      </c>
    </row>
    <row r="790" spans="1:10">
      <c r="B790" s="628" t="s">
        <v>607</v>
      </c>
      <c r="C790" s="628"/>
      <c r="D790" s="103" t="s">
        <v>579</v>
      </c>
      <c r="E790" s="103" t="s">
        <v>580</v>
      </c>
      <c r="F790" s="103" t="s">
        <v>581</v>
      </c>
      <c r="G790" s="103" t="s">
        <v>582</v>
      </c>
      <c r="H790" s="103" t="s">
        <v>583</v>
      </c>
    </row>
    <row r="791" spans="1:10">
      <c r="B791" s="159">
        <v>88248</v>
      </c>
      <c r="C791" s="221" t="s">
        <v>611</v>
      </c>
      <c r="D791" s="159" t="s">
        <v>119</v>
      </c>
      <c r="E791" s="159" t="s">
        <v>121</v>
      </c>
      <c r="F791" s="174">
        <v>0.45739999999999997</v>
      </c>
      <c r="G791" s="160">
        <v>24.02</v>
      </c>
      <c r="H791" s="160">
        <f>ROUND(ROUND(F791,8)*G791,2)</f>
        <v>10.99</v>
      </c>
    </row>
    <row r="792" spans="1:10">
      <c r="B792" s="159">
        <v>88267</v>
      </c>
      <c r="C792" s="221" t="s">
        <v>612</v>
      </c>
      <c r="D792" s="159" t="s">
        <v>119</v>
      </c>
      <c r="E792" s="159" t="s">
        <v>121</v>
      </c>
      <c r="F792" s="174">
        <v>0.45739999999999997</v>
      </c>
      <c r="G792" s="160">
        <v>30.62</v>
      </c>
      <c r="H792" s="160">
        <f>ROUND(ROUND(F792,8)*G792,2)</f>
        <v>14.01</v>
      </c>
    </row>
    <row r="793" spans="1:10">
      <c r="B793" s="222"/>
      <c r="C793" s="222"/>
      <c r="D793" s="222"/>
      <c r="E793" s="222"/>
      <c r="F793" s="630" t="s">
        <v>585</v>
      </c>
      <c r="G793" s="630"/>
      <c r="H793" s="102">
        <f>H792+H791</f>
        <v>25</v>
      </c>
    </row>
    <row r="794" spans="1:10">
      <c r="B794" s="222"/>
      <c r="C794" s="222"/>
      <c r="D794" s="222"/>
      <c r="E794" s="222"/>
      <c r="F794" s="630" t="s">
        <v>464</v>
      </c>
      <c r="G794" s="630"/>
      <c r="H794" s="102">
        <f>H789+H793</f>
        <v>278.84000000000003</v>
      </c>
    </row>
    <row r="796" spans="1:10">
      <c r="B796" s="245" t="s">
        <v>2642</v>
      </c>
    </row>
    <row r="797" spans="1:10">
      <c r="B797" s="222"/>
      <c r="C797" s="222"/>
      <c r="D797" s="222"/>
      <c r="E797" s="222"/>
      <c r="F797" s="111"/>
      <c r="G797" s="111"/>
      <c r="H797" s="228"/>
    </row>
    <row r="798" spans="1:10">
      <c r="A798" s="246" t="str">
        <f>'3 - PLAN. ORÇAMENTÁRIA'!A526</f>
        <v>6.1.1.9</v>
      </c>
      <c r="B798" s="178" t="str">
        <f>'3 - PLAN. ORÇAMENTÁRIA'!B526</f>
        <v>CCU 058</v>
      </c>
      <c r="C798" s="631" t="str">
        <f>'3 - PLAN. ORÇAMENTÁRIA'!C526</f>
        <v>ELETRODUTO GALVANIZADO A QUENTE CONFORME NBR5598 - 2´ COM ACESSÓRIOS REF. 104409/SINAPI</v>
      </c>
      <c r="D798" s="632"/>
      <c r="E798" s="632"/>
      <c r="F798" s="632"/>
      <c r="G798" s="633"/>
      <c r="H798" s="131" t="s">
        <v>173</v>
      </c>
      <c r="J798" s="220" t="str">
        <f>B811</f>
        <v>Obs: Foi adotado o item 104409 do SINAPI como base e por questão de similaridade ao que se pede em projeto, foi alterado o material do Eletroduto para o do item 38.06.120 do SP Obras</v>
      </c>
    </row>
    <row r="799" spans="1:10">
      <c r="B799" s="628" t="s">
        <v>593</v>
      </c>
      <c r="C799" s="628"/>
      <c r="D799" s="103" t="s">
        <v>579</v>
      </c>
      <c r="E799" s="103" t="s">
        <v>580</v>
      </c>
      <c r="F799" s="103" t="s">
        <v>581</v>
      </c>
      <c r="G799" s="103" t="s">
        <v>582</v>
      </c>
      <c r="H799" s="103" t="s">
        <v>583</v>
      </c>
    </row>
    <row r="800" spans="1:10">
      <c r="B800" s="159" t="s">
        <v>682</v>
      </c>
      <c r="C800" s="221" t="s">
        <v>683</v>
      </c>
      <c r="D800" s="159" t="s">
        <v>592</v>
      </c>
      <c r="E800" s="159" t="s">
        <v>173</v>
      </c>
      <c r="F800" s="174">
        <v>1.05</v>
      </c>
      <c r="G800" s="160">
        <v>42.57</v>
      </c>
      <c r="H800" s="160">
        <f>ROUND(ROUND(F800,8)*G800,2)</f>
        <v>44.7</v>
      </c>
    </row>
    <row r="801" spans="1:10">
      <c r="B801" s="222"/>
      <c r="C801" s="222"/>
      <c r="D801" s="222"/>
      <c r="E801" s="222"/>
      <c r="F801" s="630" t="s">
        <v>604</v>
      </c>
      <c r="G801" s="630"/>
      <c r="H801" s="102">
        <f>H800</f>
        <v>44.7</v>
      </c>
    </row>
    <row r="802" spans="1:10">
      <c r="B802" s="628" t="s">
        <v>607</v>
      </c>
      <c r="C802" s="628"/>
      <c r="D802" s="103" t="s">
        <v>579</v>
      </c>
      <c r="E802" s="103" t="s">
        <v>580</v>
      </c>
      <c r="F802" s="103" t="s">
        <v>581</v>
      </c>
      <c r="G802" s="103" t="s">
        <v>582</v>
      </c>
      <c r="H802" s="103" t="s">
        <v>583</v>
      </c>
    </row>
    <row r="803" spans="1:10">
      <c r="B803" s="159">
        <v>88247</v>
      </c>
      <c r="C803" s="221" t="s">
        <v>608</v>
      </c>
      <c r="D803" s="159" t="s">
        <v>119</v>
      </c>
      <c r="E803" s="159" t="s">
        <v>121</v>
      </c>
      <c r="F803" s="174">
        <v>0.33110000000000001</v>
      </c>
      <c r="G803" s="160">
        <v>25</v>
      </c>
      <c r="H803" s="160">
        <f>ROUND(ROUND(F803,8)*G803,2)</f>
        <v>8.2799999999999994</v>
      </c>
    </row>
    <row r="804" spans="1:10">
      <c r="B804" s="159">
        <v>88264</v>
      </c>
      <c r="C804" s="221" t="s">
        <v>609</v>
      </c>
      <c r="D804" s="159" t="s">
        <v>119</v>
      </c>
      <c r="E804" s="159" t="s">
        <v>121</v>
      </c>
      <c r="F804" s="174">
        <v>0.33110000000000001</v>
      </c>
      <c r="G804" s="160">
        <v>31.72</v>
      </c>
      <c r="H804" s="160">
        <f>ROUND(ROUND(F804,8)*G804,2)</f>
        <v>10.5</v>
      </c>
    </row>
    <row r="805" spans="1:10">
      <c r="B805" s="222"/>
      <c r="C805" s="222"/>
      <c r="D805" s="222"/>
      <c r="E805" s="222"/>
      <c r="F805" s="630" t="s">
        <v>585</v>
      </c>
      <c r="G805" s="630"/>
      <c r="H805" s="102">
        <f>H803+H804</f>
        <v>18.78</v>
      </c>
    </row>
    <row r="806" spans="1:10">
      <c r="B806" s="628" t="s">
        <v>797</v>
      </c>
      <c r="C806" s="628"/>
      <c r="D806" s="103" t="s">
        <v>579</v>
      </c>
      <c r="E806" s="103" t="s">
        <v>580</v>
      </c>
      <c r="F806" s="103" t="s">
        <v>581</v>
      </c>
      <c r="G806" s="103" t="s">
        <v>582</v>
      </c>
      <c r="H806" s="103" t="s">
        <v>583</v>
      </c>
    </row>
    <row r="807" spans="1:10" ht="38.25">
      <c r="B807" s="159">
        <v>91170</v>
      </c>
      <c r="C807" s="221" t="s">
        <v>2655</v>
      </c>
      <c r="D807" s="159" t="s">
        <v>119</v>
      </c>
      <c r="E807" s="159" t="s">
        <v>139</v>
      </c>
      <c r="F807" s="174">
        <v>1</v>
      </c>
      <c r="G807" s="160">
        <v>10.81</v>
      </c>
      <c r="H807" s="160">
        <f>ROUND(ROUND(F807,8)*G807,2)</f>
        <v>10.81</v>
      </c>
    </row>
    <row r="808" spans="1:10">
      <c r="B808" s="222"/>
      <c r="C808" s="222"/>
      <c r="D808" s="222"/>
      <c r="E808" s="222"/>
      <c r="F808" s="630" t="s">
        <v>587</v>
      </c>
      <c r="G808" s="630"/>
      <c r="H808" s="102">
        <f>H807</f>
        <v>10.81</v>
      </c>
    </row>
    <row r="809" spans="1:10">
      <c r="B809" s="222"/>
      <c r="C809" s="222"/>
      <c r="D809" s="222"/>
      <c r="E809" s="222"/>
      <c r="F809" s="630" t="s">
        <v>464</v>
      </c>
      <c r="G809" s="630"/>
      <c r="H809" s="102">
        <f>H801+H805+H808</f>
        <v>74.290000000000006</v>
      </c>
    </row>
    <row r="810" spans="1:10">
      <c r="B810" s="222"/>
      <c r="C810" s="222"/>
      <c r="D810" s="222"/>
      <c r="E810" s="222"/>
      <c r="F810" s="646"/>
      <c r="G810" s="646"/>
      <c r="H810" s="646"/>
    </row>
    <row r="811" spans="1:10">
      <c r="B811" s="245" t="s">
        <v>2641</v>
      </c>
    </row>
    <row r="812" spans="1:10">
      <c r="B812" s="222"/>
      <c r="C812" s="222"/>
      <c r="D812" s="222"/>
      <c r="E812" s="222"/>
      <c r="F812" s="111"/>
      <c r="G812" s="111"/>
      <c r="H812" s="228"/>
    </row>
    <row r="813" spans="1:10">
      <c r="A813" s="246" t="str">
        <f>'3 - PLAN. ORÇAMENTÁRIA'!A633</f>
        <v>6.4.1.11</v>
      </c>
      <c r="B813" s="178" t="str">
        <f>'3 - PLAN. ORÇAMENTÁRIA'!B633</f>
        <v>CCU 080</v>
      </c>
      <c r="C813" s="631" t="str">
        <f>'3 - PLAN. ORÇAMENTÁRIA'!C633</f>
        <v>ELETRODUTO GALVANIZADO A QUENTE CONFORME NBR6323 - 1 1/2´ COM ACESSÓRIOS REF. 104409/SINAPI</v>
      </c>
      <c r="D813" s="632"/>
      <c r="E813" s="632"/>
      <c r="F813" s="632"/>
      <c r="G813" s="633"/>
      <c r="H813" s="131" t="s">
        <v>173</v>
      </c>
      <c r="J813" s="220" t="str">
        <f>B826</f>
        <v>Obs: Foi adotado o item 104409 do SINAPI como base e por questão de similaridade ao que se pede em projeto, foi alterado o material do Eletroduto para o do item 38.05.100 do SP Obras</v>
      </c>
    </row>
    <row r="814" spans="1:10">
      <c r="B814" s="628" t="s">
        <v>593</v>
      </c>
      <c r="C814" s="628"/>
      <c r="D814" s="103" t="s">
        <v>579</v>
      </c>
      <c r="E814" s="103" t="s">
        <v>580</v>
      </c>
      <c r="F814" s="103" t="s">
        <v>581</v>
      </c>
      <c r="G814" s="103" t="s">
        <v>582</v>
      </c>
      <c r="H814" s="103" t="s">
        <v>583</v>
      </c>
    </row>
    <row r="815" spans="1:10">
      <c r="B815" s="130" t="s">
        <v>2299</v>
      </c>
      <c r="C815" s="229" t="s">
        <v>2300</v>
      </c>
      <c r="D815" s="130" t="s">
        <v>592</v>
      </c>
      <c r="E815" s="130" t="s">
        <v>144</v>
      </c>
      <c r="F815" s="230">
        <v>1.05</v>
      </c>
      <c r="G815" s="227">
        <v>42.57</v>
      </c>
      <c r="H815" s="160">
        <f>ROUND(ROUND(F815,8)*G815,2)</f>
        <v>44.7</v>
      </c>
    </row>
    <row r="816" spans="1:10">
      <c r="B816" s="222"/>
      <c r="C816" s="222"/>
      <c r="D816" s="222"/>
      <c r="E816" s="222"/>
      <c r="F816" s="630" t="s">
        <v>604</v>
      </c>
      <c r="G816" s="630"/>
      <c r="H816" s="102">
        <f>H815</f>
        <v>44.7</v>
      </c>
    </row>
    <row r="817" spans="1:10">
      <c r="B817" s="628" t="s">
        <v>607</v>
      </c>
      <c r="C817" s="628"/>
      <c r="D817" s="103" t="s">
        <v>579</v>
      </c>
      <c r="E817" s="103" t="s">
        <v>580</v>
      </c>
      <c r="F817" s="103" t="s">
        <v>581</v>
      </c>
      <c r="G817" s="103" t="s">
        <v>582</v>
      </c>
      <c r="H817" s="103" t="s">
        <v>583</v>
      </c>
    </row>
    <row r="818" spans="1:10">
      <c r="B818" s="159">
        <v>88247</v>
      </c>
      <c r="C818" s="221" t="s">
        <v>608</v>
      </c>
      <c r="D818" s="159" t="s">
        <v>119</v>
      </c>
      <c r="E818" s="159" t="s">
        <v>121</v>
      </c>
      <c r="F818" s="174">
        <v>0.33110000000000001</v>
      </c>
      <c r="G818" s="160">
        <v>25</v>
      </c>
      <c r="H818" s="160">
        <f>ROUND(ROUND(F818,8)*G818,2)</f>
        <v>8.2799999999999994</v>
      </c>
    </row>
    <row r="819" spans="1:10">
      <c r="B819" s="159">
        <v>88264</v>
      </c>
      <c r="C819" s="221" t="s">
        <v>609</v>
      </c>
      <c r="D819" s="159" t="s">
        <v>119</v>
      </c>
      <c r="E819" s="159" t="s">
        <v>121</v>
      </c>
      <c r="F819" s="174">
        <v>0.33110000000000001</v>
      </c>
      <c r="G819" s="160">
        <v>31.72</v>
      </c>
      <c r="H819" s="160">
        <f>ROUND(ROUND(F819,8)*G819,2)</f>
        <v>10.5</v>
      </c>
    </row>
    <row r="820" spans="1:10" ht="12.75" customHeight="1">
      <c r="B820" s="222"/>
      <c r="C820" s="222"/>
      <c r="D820" s="222"/>
      <c r="E820" s="222"/>
      <c r="F820" s="630" t="s">
        <v>585</v>
      </c>
      <c r="G820" s="630"/>
      <c r="H820" s="102">
        <f>H819+H818</f>
        <v>18.78</v>
      </c>
    </row>
    <row r="821" spans="1:10" ht="12.75" customHeight="1">
      <c r="B821" s="628" t="s">
        <v>797</v>
      </c>
      <c r="C821" s="628"/>
      <c r="D821" s="103" t="s">
        <v>579</v>
      </c>
      <c r="E821" s="103" t="s">
        <v>580</v>
      </c>
      <c r="F821" s="103" t="s">
        <v>581</v>
      </c>
      <c r="G821" s="103" t="s">
        <v>582</v>
      </c>
      <c r="H821" s="103" t="s">
        <v>583</v>
      </c>
    </row>
    <row r="822" spans="1:10" ht="38.25">
      <c r="B822" s="159">
        <v>91170</v>
      </c>
      <c r="C822" s="221" t="s">
        <v>2655</v>
      </c>
      <c r="D822" s="159" t="s">
        <v>119</v>
      </c>
      <c r="E822" s="159" t="s">
        <v>139</v>
      </c>
      <c r="F822" s="174">
        <v>1</v>
      </c>
      <c r="G822" s="160">
        <v>10.81</v>
      </c>
      <c r="H822" s="160">
        <f>ROUND(ROUND(F822,8)*G822,2)</f>
        <v>10.81</v>
      </c>
    </row>
    <row r="823" spans="1:10">
      <c r="B823" s="222"/>
      <c r="C823" s="222"/>
      <c r="D823" s="222"/>
      <c r="E823" s="222"/>
      <c r="F823" s="630" t="s">
        <v>587</v>
      </c>
      <c r="G823" s="630"/>
      <c r="H823" s="102">
        <f>H822</f>
        <v>10.81</v>
      </c>
    </row>
    <row r="824" spans="1:10">
      <c r="B824" s="222"/>
      <c r="C824" s="222"/>
      <c r="D824" s="222"/>
      <c r="E824" s="222"/>
      <c r="F824" s="630" t="s">
        <v>464</v>
      </c>
      <c r="G824" s="630"/>
      <c r="H824" s="102">
        <f>H823+H820+H816</f>
        <v>74.290000000000006</v>
      </c>
    </row>
    <row r="825" spans="1:10">
      <c r="B825" s="222"/>
      <c r="C825" s="222"/>
      <c r="D825" s="222"/>
      <c r="E825" s="222"/>
      <c r="F825" s="226"/>
      <c r="G825" s="226"/>
      <c r="H825" s="226"/>
    </row>
    <row r="826" spans="1:10">
      <c r="B826" s="245" t="s">
        <v>2654</v>
      </c>
    </row>
    <row r="827" spans="1:10">
      <c r="B827" s="222"/>
      <c r="C827" s="222"/>
      <c r="D827" s="222"/>
      <c r="E827" s="222"/>
      <c r="F827" s="111"/>
      <c r="G827" s="111"/>
      <c r="H827" s="228"/>
    </row>
    <row r="828" spans="1:10" ht="24.75" customHeight="1">
      <c r="A828" s="246" t="str">
        <f>'3 - PLAN. ORÇAMENTÁRIA'!A539</f>
        <v>6.1.2.11</v>
      </c>
      <c r="B828" s="178" t="str">
        <f>'3 - PLAN. ORÇAMENTÁRIA'!B539</f>
        <v>CCU 065</v>
      </c>
      <c r="C828" s="631" t="str">
        <f>'3 - PLAN. ORÇAMENTÁRIA'!C539</f>
        <v>CONDULETE DE ALUMÍNIO, TIPO C, PARA ELETRODUTO DE AÇO GALVANIZADO DN 50 MM (2''), APARENTE - FORNECIMENTO E INSTALAÇÃO. AF_10/2022 ref. 95784/SINAPI</v>
      </c>
      <c r="D828" s="632"/>
      <c r="E828" s="632"/>
      <c r="F828" s="632"/>
      <c r="G828" s="633"/>
      <c r="H828" s="131" t="str">
        <f>'3 - PLAN. ORÇAMENTÁRIA'!E539</f>
        <v>UN</v>
      </c>
      <c r="J828" s="220" t="str">
        <f>B839</f>
        <v>Obs: Foi adotado o item 95784 do SINAPI como base e por questão de similaridade, foi alterado o material do condulete para o do item 40.06.120 do SP Obras.</v>
      </c>
    </row>
    <row r="829" spans="1:10">
      <c r="B829" s="628" t="s">
        <v>593</v>
      </c>
      <c r="C829" s="628"/>
      <c r="D829" s="103" t="s">
        <v>579</v>
      </c>
      <c r="E829" s="103" t="s">
        <v>580</v>
      </c>
      <c r="F829" s="103" t="s">
        <v>581</v>
      </c>
      <c r="G829" s="103" t="s">
        <v>582</v>
      </c>
      <c r="H829" s="103" t="s">
        <v>583</v>
      </c>
    </row>
    <row r="830" spans="1:10" ht="25.5">
      <c r="B830" s="173" t="s">
        <v>2656</v>
      </c>
      <c r="C830" s="221" t="s">
        <v>2657</v>
      </c>
      <c r="D830" s="159" t="s">
        <v>119</v>
      </c>
      <c r="E830" s="159" t="s">
        <v>144</v>
      </c>
      <c r="F830" s="174">
        <v>2</v>
      </c>
      <c r="G830" s="160">
        <v>0.39</v>
      </c>
      <c r="H830" s="160">
        <f>ROUND(ROUND(F830,8)*G830,2)</f>
        <v>0.78</v>
      </c>
    </row>
    <row r="831" spans="1:10" ht="25.5">
      <c r="B831" s="159" t="s">
        <v>690</v>
      </c>
      <c r="C831" s="221" t="s">
        <v>691</v>
      </c>
      <c r="D831" s="159" t="s">
        <v>592</v>
      </c>
      <c r="E831" s="159" t="s">
        <v>144</v>
      </c>
      <c r="F831" s="174">
        <v>0.33110000000000001</v>
      </c>
      <c r="G831" s="160">
        <v>77.14</v>
      </c>
      <c r="H831" s="160">
        <f>ROUND(ROUND(F831,8)*G831,2)</f>
        <v>25.54</v>
      </c>
    </row>
    <row r="832" spans="1:10">
      <c r="B832" s="222"/>
      <c r="C832" s="222"/>
      <c r="D832" s="222"/>
      <c r="E832" s="222"/>
      <c r="F832" s="630" t="s">
        <v>604</v>
      </c>
      <c r="G832" s="630"/>
      <c r="H832" s="102">
        <f>H830+H831</f>
        <v>26.32</v>
      </c>
    </row>
    <row r="833" spans="1:10">
      <c r="B833" s="628" t="s">
        <v>607</v>
      </c>
      <c r="C833" s="628"/>
      <c r="D833" s="103" t="s">
        <v>579</v>
      </c>
      <c r="E833" s="103" t="s">
        <v>580</v>
      </c>
      <c r="F833" s="103" t="s">
        <v>581</v>
      </c>
      <c r="G833" s="103" t="s">
        <v>582</v>
      </c>
      <c r="H833" s="103" t="s">
        <v>583</v>
      </c>
    </row>
    <row r="834" spans="1:10">
      <c r="B834" s="159">
        <v>88247</v>
      </c>
      <c r="C834" s="221" t="s">
        <v>608</v>
      </c>
      <c r="D834" s="159" t="s">
        <v>119</v>
      </c>
      <c r="E834" s="159" t="s">
        <v>121</v>
      </c>
      <c r="F834" s="174">
        <v>0.39229999999999998</v>
      </c>
      <c r="G834" s="160">
        <v>25</v>
      </c>
      <c r="H834" s="160">
        <f>ROUND(ROUND(F834,8)*G834,2)</f>
        <v>9.81</v>
      </c>
    </row>
    <row r="835" spans="1:10">
      <c r="B835" s="159">
        <v>88264</v>
      </c>
      <c r="C835" s="221" t="s">
        <v>609</v>
      </c>
      <c r="D835" s="159" t="s">
        <v>119</v>
      </c>
      <c r="E835" s="159" t="s">
        <v>121</v>
      </c>
      <c r="F835" s="174">
        <v>0.39229999999999998</v>
      </c>
      <c r="G835" s="160">
        <v>31.72</v>
      </c>
      <c r="H835" s="160">
        <f>ROUND(ROUND(F835,8)*G835,2)</f>
        <v>12.44</v>
      </c>
    </row>
    <row r="836" spans="1:10">
      <c r="B836" s="222"/>
      <c r="C836" s="222"/>
      <c r="D836" s="222"/>
      <c r="E836" s="222"/>
      <c r="F836" s="630" t="s">
        <v>585</v>
      </c>
      <c r="G836" s="630"/>
      <c r="H836" s="102">
        <f>H835+H834</f>
        <v>22.25</v>
      </c>
    </row>
    <row r="837" spans="1:10">
      <c r="B837" s="222"/>
      <c r="C837" s="222"/>
      <c r="D837" s="222"/>
      <c r="E837" s="222"/>
      <c r="F837" s="630" t="s">
        <v>464</v>
      </c>
      <c r="G837" s="630"/>
      <c r="H837" s="102">
        <f>H836+H832</f>
        <v>48.57</v>
      </c>
    </row>
    <row r="838" spans="1:10">
      <c r="B838" s="222"/>
      <c r="C838" s="222"/>
      <c r="D838" s="222"/>
      <c r="E838" s="222"/>
      <c r="F838" s="646"/>
      <c r="G838" s="646"/>
      <c r="H838" s="646"/>
    </row>
    <row r="839" spans="1:10">
      <c r="B839" s="245" t="s">
        <v>2658</v>
      </c>
    </row>
    <row r="840" spans="1:10">
      <c r="B840" s="222"/>
      <c r="C840" s="222"/>
      <c r="D840" s="222"/>
      <c r="E840" s="222"/>
      <c r="F840" s="111"/>
      <c r="G840" s="111"/>
      <c r="H840" s="228"/>
    </row>
    <row r="841" spans="1:10" ht="24.75" customHeight="1">
      <c r="A841" s="246" t="str">
        <f>'3 - PLAN. ORÇAMENTÁRIA'!A540</f>
        <v>6.1.2.12</v>
      </c>
      <c r="B841" s="178" t="str">
        <f>'3 - PLAN. ORÇAMENTÁRIA'!B540</f>
        <v>CCU 067</v>
      </c>
      <c r="C841" s="631" t="str">
        <f>'3 - PLAN. ORÇAMENTÁRIA'!C540</f>
        <v>CONDULETE DE ALUMÍNIO, TIPO T, PARA ELETRODUTO DE AÇO GALVANIZADO DN 50 MM (2''), APARENTE - FORNECIMENTO E INSTALAÇÃO. AF_10/2022 ref. 95797/SINAPI</v>
      </c>
      <c r="D841" s="632"/>
      <c r="E841" s="632"/>
      <c r="F841" s="632"/>
      <c r="G841" s="633"/>
      <c r="H841" s="131" t="str">
        <f>'3 - PLAN. ORÇAMENTÁRIA'!E540</f>
        <v>UN</v>
      </c>
      <c r="J841" s="220" t="str">
        <f>B852</f>
        <v>Obs: Foi adotado o item 95797 do SINAPI como base e por questão de similaridade, foi alterado o material do condulete para o do item 40.06.120 do SP Obras.</v>
      </c>
    </row>
    <row r="842" spans="1:10">
      <c r="B842" s="628" t="s">
        <v>593</v>
      </c>
      <c r="C842" s="628"/>
      <c r="D842" s="103" t="s">
        <v>579</v>
      </c>
      <c r="E842" s="103" t="s">
        <v>580</v>
      </c>
      <c r="F842" s="103" t="s">
        <v>581</v>
      </c>
      <c r="G842" s="103" t="s">
        <v>582</v>
      </c>
      <c r="H842" s="103" t="s">
        <v>583</v>
      </c>
    </row>
    <row r="843" spans="1:10" ht="25.5">
      <c r="B843" s="173" t="s">
        <v>2656</v>
      </c>
      <c r="C843" s="221" t="s">
        <v>2657</v>
      </c>
      <c r="D843" s="159" t="s">
        <v>119</v>
      </c>
      <c r="E843" s="159" t="s">
        <v>144</v>
      </c>
      <c r="F843" s="174">
        <v>2</v>
      </c>
      <c r="G843" s="160">
        <v>0.39</v>
      </c>
      <c r="H843" s="160">
        <f>ROUND(ROUND(F843,8)*G843,2)</f>
        <v>0.78</v>
      </c>
    </row>
    <row r="844" spans="1:10" ht="25.5">
      <c r="B844" s="159" t="s">
        <v>690</v>
      </c>
      <c r="C844" s="221" t="s">
        <v>691</v>
      </c>
      <c r="D844" s="159" t="s">
        <v>592</v>
      </c>
      <c r="E844" s="159" t="s">
        <v>144</v>
      </c>
      <c r="F844" s="174">
        <v>1</v>
      </c>
      <c r="G844" s="160">
        <v>77.14</v>
      </c>
      <c r="H844" s="160">
        <f>ROUND(ROUND(F844,8)*G844,2)</f>
        <v>77.14</v>
      </c>
    </row>
    <row r="845" spans="1:10">
      <c r="B845" s="222"/>
      <c r="C845" s="222"/>
      <c r="D845" s="222"/>
      <c r="E845" s="222"/>
      <c r="F845" s="630" t="s">
        <v>604</v>
      </c>
      <c r="G845" s="630"/>
      <c r="H845" s="102">
        <f>H843+H844</f>
        <v>77.92</v>
      </c>
    </row>
    <row r="846" spans="1:10">
      <c r="B846" s="628" t="s">
        <v>607</v>
      </c>
      <c r="C846" s="628"/>
      <c r="D846" s="103" t="s">
        <v>579</v>
      </c>
      <c r="E846" s="103" t="s">
        <v>580</v>
      </c>
      <c r="F846" s="103" t="s">
        <v>581</v>
      </c>
      <c r="G846" s="103" t="s">
        <v>582</v>
      </c>
      <c r="H846" s="103" t="s">
        <v>583</v>
      </c>
    </row>
    <row r="847" spans="1:10">
      <c r="B847" s="159">
        <v>88247</v>
      </c>
      <c r="C847" s="221" t="s">
        <v>608</v>
      </c>
      <c r="D847" s="159" t="s">
        <v>119</v>
      </c>
      <c r="E847" s="159" t="s">
        <v>121</v>
      </c>
      <c r="F847" s="174">
        <v>0.59730000000000005</v>
      </c>
      <c r="G847" s="160">
        <v>25</v>
      </c>
      <c r="H847" s="160">
        <f>ROUND(ROUND(F847,8)*G847,2)</f>
        <v>14.93</v>
      </c>
    </row>
    <row r="848" spans="1:10">
      <c r="B848" s="159">
        <v>88264</v>
      </c>
      <c r="C848" s="221" t="s">
        <v>609</v>
      </c>
      <c r="D848" s="159" t="s">
        <v>119</v>
      </c>
      <c r="E848" s="159" t="s">
        <v>121</v>
      </c>
      <c r="F848" s="174">
        <v>0.59730000000000005</v>
      </c>
      <c r="G848" s="160">
        <v>31.72</v>
      </c>
      <c r="H848" s="160">
        <f>ROUND(ROUND(F848,8)*G848,2)</f>
        <v>18.95</v>
      </c>
    </row>
    <row r="849" spans="1:10" ht="12.75" customHeight="1">
      <c r="B849" s="222"/>
      <c r="C849" s="222"/>
      <c r="D849" s="222"/>
      <c r="E849" s="222"/>
      <c r="F849" s="630" t="s">
        <v>585</v>
      </c>
      <c r="G849" s="630"/>
      <c r="H849" s="102">
        <f>H848+H847</f>
        <v>33.879999999999995</v>
      </c>
    </row>
    <row r="850" spans="1:10" ht="12.75" customHeight="1">
      <c r="B850" s="222"/>
      <c r="C850" s="222"/>
      <c r="D850" s="222"/>
      <c r="E850" s="222"/>
      <c r="F850" s="630" t="s">
        <v>464</v>
      </c>
      <c r="G850" s="630"/>
      <c r="H850" s="102">
        <f>H845+H849</f>
        <v>111.8</v>
      </c>
    </row>
    <row r="851" spans="1:10">
      <c r="B851" s="222"/>
      <c r="C851" s="222"/>
      <c r="D851" s="222"/>
      <c r="E851" s="222"/>
      <c r="F851" s="646"/>
      <c r="G851" s="646"/>
      <c r="H851" s="646"/>
    </row>
    <row r="852" spans="1:10">
      <c r="B852" s="245" t="s">
        <v>2664</v>
      </c>
    </row>
    <row r="853" spans="1:10">
      <c r="B853" s="222"/>
      <c r="C853" s="222"/>
      <c r="D853" s="222"/>
      <c r="E853" s="222"/>
      <c r="F853" s="111"/>
      <c r="G853" s="111"/>
      <c r="H853" s="228"/>
    </row>
    <row r="854" spans="1:10">
      <c r="A854" s="246" t="str">
        <f>'3 - PLAN. ORÇAMENTÁRIA'!A310</f>
        <v>4.3.3</v>
      </c>
      <c r="B854" s="242" t="str">
        <f>'3 - PLAN. ORÇAMENTÁRIA'!B310</f>
        <v>CCU 137</v>
      </c>
      <c r="C854" s="631" t="str">
        <f>'3 - PLAN. ORÇAMENTÁRIA'!C310</f>
        <v>PLANTIO DE GRAMA AMENDOIM, EM PLACAS. AF_07/2024 REF. 103946</v>
      </c>
      <c r="D854" s="632"/>
      <c r="E854" s="632"/>
      <c r="F854" s="632"/>
      <c r="G854" s="633"/>
      <c r="H854" s="131" t="str">
        <f>'3 - PLAN. ORÇAMENTÁRIA'!E310</f>
        <v>M2</v>
      </c>
      <c r="J854" s="220" t="str">
        <f>B864</f>
        <v>Obs: Foi adotado o item 103946 do SINAPI como base e por questão de similaridade, foi alterado o material da grama para o material 3.84.78 do SP EDUCAÇÃO.</v>
      </c>
    </row>
    <row r="855" spans="1:10">
      <c r="A855" s="106"/>
      <c r="B855" s="628" t="s">
        <v>593</v>
      </c>
      <c r="C855" s="628"/>
      <c r="D855" s="103" t="s">
        <v>579</v>
      </c>
      <c r="E855" s="103" t="s">
        <v>580</v>
      </c>
      <c r="F855" s="103" t="s">
        <v>581</v>
      </c>
      <c r="G855" s="103" t="s">
        <v>582</v>
      </c>
      <c r="H855" s="103" t="s">
        <v>583</v>
      </c>
    </row>
    <row r="856" spans="1:10" ht="28.5" customHeight="1">
      <c r="A856" s="106"/>
      <c r="B856" s="159" t="s">
        <v>2755</v>
      </c>
      <c r="C856" s="221" t="s">
        <v>2753</v>
      </c>
      <c r="D856" s="130" t="s">
        <v>2756</v>
      </c>
      <c r="E856" s="159" t="s">
        <v>139</v>
      </c>
      <c r="F856" s="174">
        <v>1</v>
      </c>
      <c r="G856" s="160">
        <v>112.93</v>
      </c>
      <c r="H856" s="160">
        <f t="shared" ref="H856" si="10">ROUND(ROUND(F856,8)*G856,2)</f>
        <v>112.93</v>
      </c>
    </row>
    <row r="857" spans="1:10">
      <c r="A857" s="106"/>
      <c r="B857" s="105"/>
      <c r="C857" s="105"/>
      <c r="D857" s="105"/>
      <c r="E857" s="105"/>
      <c r="F857" s="629" t="s">
        <v>604</v>
      </c>
      <c r="G857" s="629"/>
      <c r="H857" s="247">
        <f>H856</f>
        <v>112.93</v>
      </c>
    </row>
    <row r="858" spans="1:10">
      <c r="A858" s="106"/>
      <c r="B858" s="628" t="s">
        <v>607</v>
      </c>
      <c r="C858" s="628"/>
      <c r="D858" s="103" t="s">
        <v>579</v>
      </c>
      <c r="E858" s="103" t="s">
        <v>580</v>
      </c>
      <c r="F858" s="103" t="s">
        <v>581</v>
      </c>
      <c r="G858" s="103" t="s">
        <v>582</v>
      </c>
      <c r="H858" s="103" t="s">
        <v>583</v>
      </c>
    </row>
    <row r="859" spans="1:10">
      <c r="A859" s="106"/>
      <c r="B859" s="130" t="s">
        <v>1341</v>
      </c>
      <c r="C859" s="229" t="s">
        <v>634</v>
      </c>
      <c r="D859" s="130" t="s">
        <v>119</v>
      </c>
      <c r="E859" s="130" t="s">
        <v>121</v>
      </c>
      <c r="F859" s="230">
        <v>2.7699999999999999E-2</v>
      </c>
      <c r="G859" s="227">
        <v>28</v>
      </c>
      <c r="H859" s="160">
        <f t="shared" ref="H859:H860" si="11">ROUND(ROUND(F859,8)*G859,2)</f>
        <v>0.78</v>
      </c>
    </row>
    <row r="860" spans="1:10">
      <c r="A860" s="106"/>
      <c r="B860" s="130" t="s">
        <v>625</v>
      </c>
      <c r="C860" s="229" t="s">
        <v>626</v>
      </c>
      <c r="D860" s="130" t="s">
        <v>119</v>
      </c>
      <c r="E860" s="130" t="s">
        <v>121</v>
      </c>
      <c r="F860" s="230">
        <v>0.1386</v>
      </c>
      <c r="G860" s="227">
        <v>23.75</v>
      </c>
      <c r="H860" s="160">
        <f t="shared" si="11"/>
        <v>3.29</v>
      </c>
    </row>
    <row r="861" spans="1:10">
      <c r="A861" s="106"/>
      <c r="B861" s="105"/>
      <c r="C861" s="105"/>
      <c r="D861" s="105"/>
      <c r="E861" s="105"/>
      <c r="F861" s="629" t="s">
        <v>610</v>
      </c>
      <c r="G861" s="629"/>
      <c r="H861" s="247">
        <f>H860+H859</f>
        <v>4.07</v>
      </c>
    </row>
    <row r="862" spans="1:10">
      <c r="A862" s="106"/>
      <c r="B862" s="105"/>
      <c r="C862" s="105"/>
      <c r="D862" s="105"/>
      <c r="E862" s="105"/>
      <c r="F862" s="630" t="s">
        <v>464</v>
      </c>
      <c r="G862" s="630"/>
      <c r="H862" s="102">
        <f>H861+H857</f>
        <v>117</v>
      </c>
    </row>
    <row r="864" spans="1:10">
      <c r="B864" s="245" t="s">
        <v>2758</v>
      </c>
    </row>
    <row r="865" spans="1:10">
      <c r="B865" s="222"/>
      <c r="C865" s="222"/>
      <c r="D865" s="222"/>
      <c r="E865" s="222"/>
      <c r="F865" s="111"/>
      <c r="G865" s="111"/>
      <c r="H865" s="228"/>
    </row>
    <row r="866" spans="1:10">
      <c r="A866" s="246" t="str">
        <f>'3 - PLAN. ORÇAMENTÁRIA'!A421</f>
        <v>5.1.3.5</v>
      </c>
      <c r="B866" s="178" t="str">
        <f>'3 - PLAN. ORÇAMENTÁRIA'!B421</f>
        <v>CCU 123</v>
      </c>
      <c r="C866" s="631" t="str">
        <f>'3 - PLAN. ORÇAMENTÁRIA'!C421</f>
        <v>TORNEIRA CROMADA, 1/2", REF.1153 C39, DECA OU SIMILAR REF. S03682/ORSE</v>
      </c>
      <c r="D866" s="632"/>
      <c r="E866" s="632"/>
      <c r="F866" s="632"/>
      <c r="G866" s="633"/>
      <c r="H866" s="131" t="str">
        <f>'3 - PLAN. ORÇAMENTÁRIA'!E421</f>
        <v>UN</v>
      </c>
    </row>
    <row r="867" spans="1:10">
      <c r="B867" s="628" t="s">
        <v>593</v>
      </c>
      <c r="C867" s="628"/>
      <c r="D867" s="103" t="s">
        <v>579</v>
      </c>
      <c r="E867" s="103" t="s">
        <v>580</v>
      </c>
      <c r="F867" s="103" t="s">
        <v>581</v>
      </c>
      <c r="G867" s="103" t="s">
        <v>582</v>
      </c>
      <c r="H867" s="103" t="s">
        <v>583</v>
      </c>
    </row>
    <row r="868" spans="1:10">
      <c r="B868" s="173" t="s">
        <v>1544</v>
      </c>
      <c r="C868" s="221" t="s">
        <v>1017</v>
      </c>
      <c r="D868" s="159" t="s">
        <v>119</v>
      </c>
      <c r="E868" s="159" t="s">
        <v>1048</v>
      </c>
      <c r="F868" s="174">
        <v>4.2000000000000003E-2</v>
      </c>
      <c r="G868" s="160">
        <v>3.9</v>
      </c>
      <c r="H868" s="160">
        <f>ROUND(ROUND(F868,8)*G868,2)</f>
        <v>0.16</v>
      </c>
    </row>
    <row r="869" spans="1:10" ht="25.5">
      <c r="B869" s="159" t="s">
        <v>1146</v>
      </c>
      <c r="C869" s="221" t="s">
        <v>1145</v>
      </c>
      <c r="D869" s="159" t="s">
        <v>158</v>
      </c>
      <c r="E869" s="159" t="s">
        <v>1048</v>
      </c>
      <c r="F869" s="174">
        <v>1</v>
      </c>
      <c r="G869" s="160">
        <v>54.21</v>
      </c>
      <c r="H869" s="160">
        <f>ROUND(ROUND(F869,8)*G869,2)</f>
        <v>54.21</v>
      </c>
    </row>
    <row r="870" spans="1:10">
      <c r="F870" s="630" t="s">
        <v>604</v>
      </c>
      <c r="G870" s="630"/>
      <c r="H870" s="102">
        <f>SUM(H868:H869)</f>
        <v>54.37</v>
      </c>
    </row>
    <row r="871" spans="1:10">
      <c r="B871" s="628" t="s">
        <v>607</v>
      </c>
      <c r="C871" s="628"/>
      <c r="D871" s="103" t="s">
        <v>579</v>
      </c>
      <c r="E871" s="103" t="s">
        <v>580</v>
      </c>
      <c r="F871" s="103" t="s">
        <v>581</v>
      </c>
      <c r="G871" s="103" t="s">
        <v>582</v>
      </c>
      <c r="H871" s="103" t="s">
        <v>583</v>
      </c>
    </row>
    <row r="872" spans="1:10">
      <c r="B872" s="159">
        <v>88267</v>
      </c>
      <c r="C872" s="221" t="s">
        <v>612</v>
      </c>
      <c r="D872" s="159" t="s">
        <v>119</v>
      </c>
      <c r="E872" s="159" t="s">
        <v>121</v>
      </c>
      <c r="F872" s="174">
        <v>0.46300000000000002</v>
      </c>
      <c r="G872" s="160">
        <v>30.62</v>
      </c>
      <c r="H872" s="160">
        <f>ROUND(ROUND(F872,8)*G872,2)</f>
        <v>14.18</v>
      </c>
    </row>
    <row r="873" spans="1:10">
      <c r="B873" s="159">
        <v>88316</v>
      </c>
      <c r="C873" s="221" t="s">
        <v>626</v>
      </c>
      <c r="D873" s="159" t="s">
        <v>119</v>
      </c>
      <c r="E873" s="159" t="s">
        <v>121</v>
      </c>
      <c r="F873" s="174">
        <v>0.1459</v>
      </c>
      <c r="G873" s="160">
        <v>23.75</v>
      </c>
      <c r="H873" s="160">
        <f>ROUND(ROUND(F873,8)*G873,2)</f>
        <v>3.47</v>
      </c>
    </row>
    <row r="874" spans="1:10">
      <c r="B874" s="222"/>
      <c r="C874" s="222"/>
      <c r="D874" s="222"/>
      <c r="E874" s="222"/>
      <c r="F874" s="630" t="s">
        <v>585</v>
      </c>
      <c r="G874" s="630"/>
      <c r="H874" s="102">
        <f>H872+H873</f>
        <v>17.649999999999999</v>
      </c>
    </row>
    <row r="875" spans="1:10">
      <c r="B875" s="222"/>
      <c r="C875" s="222"/>
      <c r="D875" s="222"/>
      <c r="E875" s="222"/>
      <c r="F875" s="630" t="s">
        <v>464</v>
      </c>
      <c r="G875" s="630"/>
      <c r="H875" s="102">
        <f>H874+H870</f>
        <v>72.02</v>
      </c>
    </row>
    <row r="877" spans="1:10">
      <c r="B877" s="245" t="s">
        <v>2592</v>
      </c>
    </row>
    <row r="878" spans="1:10">
      <c r="B878" s="222"/>
      <c r="C878" s="222"/>
      <c r="D878" s="222"/>
      <c r="E878" s="222"/>
      <c r="F878" s="111"/>
      <c r="G878" s="111"/>
      <c r="H878" s="228"/>
    </row>
    <row r="879" spans="1:10">
      <c r="A879" s="246" t="str">
        <f>'3 - PLAN. ORÇAMENTÁRIA'!A94</f>
        <v>3.2.1.5</v>
      </c>
      <c r="B879" s="178" t="str">
        <f>'3 - PLAN. ORÇAMENTÁRIA'!B94</f>
        <v>CCU 009</v>
      </c>
      <c r="C879" s="631" t="str">
        <f>'3 - PLAN. ORÇAMENTÁRIA'!C94</f>
        <v>ESCADA TIPO MARINHEIRO EM TUBO ACO GALVANIZADO 1 1/2", SEM GUARDA-CORPO, FIXADA COM CHUMBADOR MECÂNICO. AF_11/2020</v>
      </c>
      <c r="D879" s="632"/>
      <c r="E879" s="632"/>
      <c r="F879" s="632"/>
      <c r="G879" s="633"/>
      <c r="H879" s="276" t="str">
        <f>'3 - PLAN. ORÇAMENTÁRIA'!E94</f>
        <v>M</v>
      </c>
      <c r="J879" s="220" t="str">
        <f>B890</f>
        <v>Obs: Foi adotado o item 102081 do SINAPI como base e por similaridade ao que se pede em projeto, susbtituído o material da Escada pelo material H.04.000.031375 do SP OBRAS</v>
      </c>
    </row>
    <row r="880" spans="1:10">
      <c r="B880" s="628" t="s">
        <v>593</v>
      </c>
      <c r="C880" s="628"/>
      <c r="D880" s="103" t="s">
        <v>579</v>
      </c>
      <c r="E880" s="103" t="s">
        <v>580</v>
      </c>
      <c r="F880" s="103" t="s">
        <v>581</v>
      </c>
      <c r="G880" s="103" t="s">
        <v>582</v>
      </c>
      <c r="H880" s="103" t="s">
        <v>583</v>
      </c>
    </row>
    <row r="881" spans="1:8">
      <c r="B881" s="173" t="s">
        <v>2814</v>
      </c>
      <c r="C881" s="221" t="s">
        <v>2816</v>
      </c>
      <c r="D881" s="159" t="s">
        <v>119</v>
      </c>
      <c r="E881" s="159" t="s">
        <v>1048</v>
      </c>
      <c r="F881" s="174">
        <v>4</v>
      </c>
      <c r="G881" s="160">
        <v>27.15</v>
      </c>
      <c r="H881" s="160">
        <f>ROUND(ROUND(F881,8)*G881,2)</f>
        <v>108.6</v>
      </c>
    </row>
    <row r="882" spans="1:8">
      <c r="B882" s="159" t="s">
        <v>2815</v>
      </c>
      <c r="C882" s="221" t="s">
        <v>2817</v>
      </c>
      <c r="D882" s="159" t="s">
        <v>592</v>
      </c>
      <c r="E882" s="159" t="s">
        <v>1048</v>
      </c>
      <c r="F882" s="174">
        <v>1</v>
      </c>
      <c r="G882" s="160">
        <v>824.95</v>
      </c>
      <c r="H882" s="160">
        <f>ROUND(ROUND(F882,8)*G882,2)</f>
        <v>824.95</v>
      </c>
    </row>
    <row r="883" spans="1:8">
      <c r="F883" s="630" t="s">
        <v>604</v>
      </c>
      <c r="G883" s="630"/>
      <c r="H883" s="102">
        <f>SUM(H881:H882)</f>
        <v>933.55000000000007</v>
      </c>
    </row>
    <row r="884" spans="1:8">
      <c r="B884" s="628" t="s">
        <v>607</v>
      </c>
      <c r="C884" s="628"/>
      <c r="D884" s="103" t="s">
        <v>579</v>
      </c>
      <c r="E884" s="103" t="s">
        <v>580</v>
      </c>
      <c r="F884" s="103" t="s">
        <v>581</v>
      </c>
      <c r="G884" s="103" t="s">
        <v>582</v>
      </c>
      <c r="H884" s="103" t="s">
        <v>583</v>
      </c>
    </row>
    <row r="885" spans="1:8">
      <c r="B885" s="159">
        <v>88315</v>
      </c>
      <c r="C885" s="221" t="s">
        <v>668</v>
      </c>
      <c r="D885" s="159" t="s">
        <v>119</v>
      </c>
      <c r="E885" s="159" t="s">
        <v>121</v>
      </c>
      <c r="F885" s="174">
        <v>1.01</v>
      </c>
      <c r="G885" s="160">
        <v>31.13</v>
      </c>
      <c r="H885" s="160">
        <f>ROUND(ROUND(F885,8)*G885,2)</f>
        <v>31.44</v>
      </c>
    </row>
    <row r="886" spans="1:8">
      <c r="B886" s="159">
        <v>88316</v>
      </c>
      <c r="C886" s="221" t="s">
        <v>626</v>
      </c>
      <c r="D886" s="159" t="s">
        <v>119</v>
      </c>
      <c r="E886" s="159" t="s">
        <v>121</v>
      </c>
      <c r="F886" s="174">
        <v>0.5</v>
      </c>
      <c r="G886" s="160">
        <v>23.75</v>
      </c>
      <c r="H886" s="160">
        <f>ROUND(ROUND(F886,8)*G886,2)</f>
        <v>11.88</v>
      </c>
    </row>
    <row r="887" spans="1:8">
      <c r="B887" s="222"/>
      <c r="C887" s="222"/>
      <c r="D887" s="222"/>
      <c r="E887" s="222"/>
      <c r="F887" s="630" t="s">
        <v>585</v>
      </c>
      <c r="G887" s="630"/>
      <c r="H887" s="102">
        <f>H885+H886</f>
        <v>43.32</v>
      </c>
    </row>
    <row r="888" spans="1:8">
      <c r="B888" s="222"/>
      <c r="C888" s="222"/>
      <c r="D888" s="222"/>
      <c r="E888" s="222"/>
      <c r="F888" s="630" t="s">
        <v>464</v>
      </c>
      <c r="G888" s="630"/>
      <c r="H888" s="102">
        <f>H887+H883</f>
        <v>976.87000000000012</v>
      </c>
    </row>
    <row r="890" spans="1:8">
      <c r="B890" s="245" t="s">
        <v>2818</v>
      </c>
    </row>
    <row r="891" spans="1:8">
      <c r="B891" s="222"/>
      <c r="C891" s="222"/>
      <c r="D891" s="222"/>
      <c r="E891" s="222"/>
      <c r="F891" s="275"/>
      <c r="G891" s="275"/>
      <c r="H891" s="277"/>
    </row>
    <row r="892" spans="1:8">
      <c r="A892" s="246" t="str">
        <f>'[13]3 - PLAN. ORÇAMENTÁRIA'!A278</f>
        <v>4.1.6.1.22</v>
      </c>
      <c r="B892" s="178" t="str">
        <f>'[13]3 - PLAN. ORÇAMENTÁRIA'!B278</f>
        <v>CCU 033</v>
      </c>
      <c r="C892" s="631" t="str">
        <f>'[13]3 - PLAN. ORÇAMENTÁRIA'!C278</f>
        <v>SISTEMA DE ALARME PNE COM INDICADOR AUDIOVISUAL, SISTEMA SEM FIO (WIRELESS), PARA PESSOAS COM MOBILIDADE REDUZIDA OU CADEIRANTE REF. 30.06.064/SP OBRAS</v>
      </c>
      <c r="D892" s="632"/>
      <c r="E892" s="632"/>
      <c r="F892" s="632"/>
      <c r="G892" s="633"/>
      <c r="H892" s="282" t="str">
        <f>'[13]3 - PLAN. ORÇAMENTÁRIA'!E278</f>
        <v>CJ</v>
      </c>
    </row>
    <row r="893" spans="1:8">
      <c r="B893" s="628" t="s">
        <v>593</v>
      </c>
      <c r="C893" s="628"/>
      <c r="D893" s="103" t="s">
        <v>579</v>
      </c>
      <c r="E893" s="103" t="s">
        <v>580</v>
      </c>
      <c r="F893" s="103" t="s">
        <v>581</v>
      </c>
      <c r="G893" s="103" t="s">
        <v>582</v>
      </c>
      <c r="H893" s="103" t="s">
        <v>583</v>
      </c>
    </row>
    <row r="894" spans="1:8" ht="25.5">
      <c r="B894" s="173" t="s">
        <v>1502</v>
      </c>
      <c r="C894" s="221" t="s">
        <v>1503</v>
      </c>
      <c r="D894" s="159" t="s">
        <v>119</v>
      </c>
      <c r="E894" s="159" t="s">
        <v>1048</v>
      </c>
      <c r="F894" s="174">
        <v>8</v>
      </c>
      <c r="G894" s="160">
        <v>19.260000000000002</v>
      </c>
      <c r="H894" s="160">
        <f>ROUND(ROUND(F894,8)*G894,2)</f>
        <v>154.08000000000001</v>
      </c>
    </row>
    <row r="895" spans="1:8">
      <c r="B895" s="159" t="str">
        <f>'6 - COTAÇÃO MERCADO'!B92</f>
        <v>COT 01.011</v>
      </c>
      <c r="C895" s="221" t="str">
        <f>'6 - COTAÇÃO MERCADO'!C92</f>
        <v>TROCADOR DE FRALDAS ARTICULADO CI-100 SMART AIR OU EQUIVALENTE</v>
      </c>
      <c r="D895" s="159" t="s">
        <v>3280</v>
      </c>
      <c r="E895" s="159" t="str">
        <f>'6 - COTAÇÃO MERCADO'!E92</f>
        <v>UN</v>
      </c>
      <c r="F895" s="174">
        <v>1</v>
      </c>
      <c r="G895" s="160">
        <f>'6 - COTAÇÃO MERCADO'!D92</f>
        <v>1299</v>
      </c>
      <c r="H895" s="160">
        <f>ROUND(ROUND(F895,8)*G895,2)</f>
        <v>1299</v>
      </c>
    </row>
    <row r="896" spans="1:8">
      <c r="F896" s="630" t="s">
        <v>604</v>
      </c>
      <c r="G896" s="630"/>
      <c r="H896" s="102">
        <f>SUM(H894:H895)</f>
        <v>1453.08</v>
      </c>
    </row>
    <row r="897" spans="1:10">
      <c r="B897" s="628" t="s">
        <v>607</v>
      </c>
      <c r="C897" s="628"/>
      <c r="D897" s="103" t="s">
        <v>579</v>
      </c>
      <c r="E897" s="103" t="s">
        <v>580</v>
      </c>
      <c r="F897" s="103" t="s">
        <v>581</v>
      </c>
      <c r="G897" s="103" t="s">
        <v>582</v>
      </c>
      <c r="H897" s="103" t="s">
        <v>583</v>
      </c>
    </row>
    <row r="898" spans="1:10">
      <c r="B898" s="159">
        <v>88267</v>
      </c>
      <c r="C898" s="221" t="s">
        <v>612</v>
      </c>
      <c r="D898" s="159" t="s">
        <v>119</v>
      </c>
      <c r="E898" s="159" t="s">
        <v>121</v>
      </c>
      <c r="F898" s="174">
        <v>1.2646999999999999</v>
      </c>
      <c r="G898" s="160">
        <v>30.62</v>
      </c>
      <c r="H898" s="160">
        <f>ROUND(ROUND(F898,8)*G898,2)</f>
        <v>38.729999999999997</v>
      </c>
    </row>
    <row r="899" spans="1:10">
      <c r="B899" s="159">
        <v>88316</v>
      </c>
      <c r="C899" s="221" t="s">
        <v>626</v>
      </c>
      <c r="D899" s="159" t="s">
        <v>119</v>
      </c>
      <c r="E899" s="159" t="s">
        <v>121</v>
      </c>
      <c r="F899" s="174">
        <v>0.39850000000000002</v>
      </c>
      <c r="G899" s="160">
        <v>23.75</v>
      </c>
      <c r="H899" s="160">
        <f>ROUND(ROUND(F899,8)*G899,2)</f>
        <v>9.4600000000000009</v>
      </c>
    </row>
    <row r="900" spans="1:10">
      <c r="B900" s="222"/>
      <c r="C900" s="222"/>
      <c r="D900" s="222"/>
      <c r="E900" s="222"/>
      <c r="F900" s="630" t="s">
        <v>585</v>
      </c>
      <c r="G900" s="630"/>
      <c r="H900" s="102">
        <f>H898+H899</f>
        <v>48.19</v>
      </c>
    </row>
    <row r="901" spans="1:10">
      <c r="B901" s="222"/>
      <c r="C901" s="222"/>
      <c r="D901" s="222"/>
      <c r="E901" s="222"/>
      <c r="F901" s="630" t="s">
        <v>464</v>
      </c>
      <c r="G901" s="630"/>
      <c r="H901" s="102">
        <f>H900+H896</f>
        <v>1501.27</v>
      </c>
    </row>
    <row r="903" spans="1:10">
      <c r="B903" s="245" t="s">
        <v>2843</v>
      </c>
    </row>
    <row r="904" spans="1:10">
      <c r="B904" s="245"/>
    </row>
    <row r="905" spans="1:10">
      <c r="A905" s="246" t="str">
        <f>'3 - PLAN. ORÇAMENTÁRIA'!A417</f>
        <v>5.1.3.1</v>
      </c>
      <c r="B905" s="178" t="str">
        <f>'3 - PLAN. ORÇAMENTÁRIA'!B417</f>
        <v>CCU 059</v>
      </c>
      <c r="C905" s="631" t="str">
        <f>'3 - PLAN. ORÇAMENTÁRIA'!C417</f>
        <v>CAIXA D´ÁGUA EM POLIETILENO, 100 LITROS - FORNECIMENTO E INSTALAÇÃO. AF_06/2021 REF. 102605/SINAPI</v>
      </c>
      <c r="D905" s="632"/>
      <c r="E905" s="632"/>
      <c r="F905" s="632"/>
      <c r="G905" s="633"/>
      <c r="H905" s="301" t="str">
        <f>'3 - PLAN. ORÇAMENTÁRIA'!E417</f>
        <v>UN</v>
      </c>
      <c r="J905" s="220" t="str">
        <f>B915</f>
        <v>Obs: Foi adotado o item 102605 do SINAPI como base por similaridade ao que pede em projeto e alterado apenas o material por uma cotação própria</v>
      </c>
    </row>
    <row r="906" spans="1:10">
      <c r="B906" s="628" t="s">
        <v>593</v>
      </c>
      <c r="C906" s="628"/>
      <c r="D906" s="103" t="s">
        <v>579</v>
      </c>
      <c r="E906" s="103" t="s">
        <v>580</v>
      </c>
      <c r="F906" s="103" t="s">
        <v>581</v>
      </c>
      <c r="G906" s="103" t="s">
        <v>582</v>
      </c>
      <c r="H906" s="103" t="s">
        <v>583</v>
      </c>
    </row>
    <row r="907" spans="1:10">
      <c r="B907" s="159" t="str">
        <f>'6 - COTAÇÃO MERCADO'!B156</f>
        <v>COT 01.018</v>
      </c>
      <c r="C907" s="221" t="str">
        <f>'6 - COTAÇÃO MERCADO'!C156</f>
        <v xml:space="preserve">CAIXA D'ÁGUA EM POLIETILENO 100L - FORTLEV OU EQUIVALENTE </v>
      </c>
      <c r="D907" s="159" t="s">
        <v>3280</v>
      </c>
      <c r="E907" s="159" t="s">
        <v>580</v>
      </c>
      <c r="F907" s="174">
        <v>1</v>
      </c>
      <c r="G907" s="160">
        <f>'6 - COTAÇÃO MERCADO'!D156</f>
        <v>186.9</v>
      </c>
      <c r="H907" s="160">
        <f>ROUND(ROUND(F907,8)*G907,2)</f>
        <v>186.9</v>
      </c>
    </row>
    <row r="908" spans="1:10">
      <c r="B908" s="222"/>
      <c r="C908" s="222"/>
      <c r="D908" s="222"/>
      <c r="E908" s="222"/>
      <c r="F908" s="630" t="s">
        <v>604</v>
      </c>
      <c r="G908" s="630"/>
      <c r="H908" s="102">
        <f>H907</f>
        <v>186.9</v>
      </c>
    </row>
    <row r="909" spans="1:10">
      <c r="B909" s="641" t="s">
        <v>607</v>
      </c>
      <c r="C909" s="642"/>
      <c r="D909" s="103" t="s">
        <v>579</v>
      </c>
      <c r="E909" s="103" t="s">
        <v>580</v>
      </c>
      <c r="F909" s="103" t="s">
        <v>581</v>
      </c>
      <c r="G909" s="103" t="s">
        <v>582</v>
      </c>
      <c r="H909" s="103" t="s">
        <v>583</v>
      </c>
    </row>
    <row r="910" spans="1:10">
      <c r="B910" s="159">
        <v>88248</v>
      </c>
      <c r="C910" s="221" t="s">
        <v>611</v>
      </c>
      <c r="D910" s="159" t="s">
        <v>119</v>
      </c>
      <c r="E910" s="159" t="s">
        <v>121</v>
      </c>
      <c r="F910" s="174">
        <v>0.1052</v>
      </c>
      <c r="G910" s="160">
        <v>24.02</v>
      </c>
      <c r="H910" s="160">
        <f>ROUND(ROUND(F910,8)*G910,2)</f>
        <v>2.5299999999999998</v>
      </c>
    </row>
    <row r="911" spans="1:10">
      <c r="B911" s="159">
        <v>88267</v>
      </c>
      <c r="C911" s="221" t="s">
        <v>612</v>
      </c>
      <c r="D911" s="159" t="s">
        <v>119</v>
      </c>
      <c r="E911" s="159" t="s">
        <v>121</v>
      </c>
      <c r="F911" s="174">
        <v>0.1052</v>
      </c>
      <c r="G911" s="160">
        <v>30.62</v>
      </c>
      <c r="H911" s="160">
        <f>ROUND(ROUND(F911,8)*G911,2)</f>
        <v>3.22</v>
      </c>
    </row>
    <row r="912" spans="1:10">
      <c r="B912" s="222"/>
      <c r="C912" s="222"/>
      <c r="D912" s="222"/>
      <c r="E912" s="222"/>
      <c r="F912" s="630" t="s">
        <v>585</v>
      </c>
      <c r="G912" s="630"/>
      <c r="H912" s="102">
        <f>H910+H911</f>
        <v>5.75</v>
      </c>
    </row>
    <row r="913" spans="1:10">
      <c r="B913" s="222"/>
      <c r="C913" s="222"/>
      <c r="D913" s="222"/>
      <c r="E913" s="222"/>
      <c r="F913" s="630" t="s">
        <v>464</v>
      </c>
      <c r="G913" s="630"/>
      <c r="H913" s="102">
        <f>H908+H912</f>
        <v>192.65</v>
      </c>
    </row>
    <row r="914" spans="1:10">
      <c r="B914" s="222"/>
      <c r="C914" s="222"/>
      <c r="D914" s="222"/>
      <c r="E914" s="222"/>
      <c r="F914" s="300"/>
      <c r="G914" s="300"/>
      <c r="H914" s="302"/>
    </row>
    <row r="915" spans="1:10">
      <c r="B915" s="245" t="s">
        <v>2889</v>
      </c>
      <c r="C915" s="222"/>
      <c r="D915" s="222"/>
      <c r="E915" s="222"/>
      <c r="F915" s="300"/>
      <c r="G915" s="300"/>
      <c r="H915" s="302"/>
    </row>
    <row r="916" spans="1:10">
      <c r="B916" s="245"/>
      <c r="C916" s="222"/>
      <c r="D916" s="222"/>
      <c r="E916" s="222"/>
      <c r="F916" s="306"/>
      <c r="G916" s="306"/>
      <c r="H916" s="308"/>
    </row>
    <row r="917" spans="1:10" ht="24.75" customHeight="1">
      <c r="A917" s="246" t="str">
        <f>'3 - PLAN. ORÇAMENTÁRIA'!A578</f>
        <v>6.1.4.16</v>
      </c>
      <c r="B917" s="178" t="str">
        <f>'3 - PLAN. ORÇAMENTÁRIA'!B578</f>
        <v>CCU 063</v>
      </c>
      <c r="C917" s="631" t="str">
        <f>'3 - PLAN. ORÇAMENTÁRIA'!C578</f>
        <v>LUMINÁRIA TIPO BALIZADOR PARA AMBIENTE ABERTO, 50 CM / 25W - FORNECIMENTO E INSTALAÇÃO REF. 103313/SINAPI</v>
      </c>
      <c r="D917" s="632"/>
      <c r="E917" s="632"/>
      <c r="F917" s="632"/>
      <c r="G917" s="633"/>
      <c r="H917" s="307" t="str">
        <f>'3 - PLAN. ORÇAMENTÁRIA'!E578</f>
        <v>UN</v>
      </c>
      <c r="J917" s="220" t="str">
        <f>B928</f>
        <v>Obs: Foi adotado o item 103313 do SINAPI como base por similaridade ao que pede em projeto e alterado apenas o material para uma cotação de mercado e a lâmpada da fonte GOINFRA</v>
      </c>
    </row>
    <row r="918" spans="1:10">
      <c r="B918" s="628" t="s">
        <v>593</v>
      </c>
      <c r="C918" s="628"/>
      <c r="D918" s="103" t="s">
        <v>579</v>
      </c>
      <c r="E918" s="103" t="s">
        <v>580</v>
      </c>
      <c r="F918" s="103" t="s">
        <v>581</v>
      </c>
      <c r="G918" s="103" t="s">
        <v>582</v>
      </c>
      <c r="H918" s="103" t="s">
        <v>583</v>
      </c>
    </row>
    <row r="919" spans="1:10">
      <c r="B919" s="159" t="str">
        <f>'6 - COTAÇÃO MERCADO'!B172</f>
        <v>COT 01.020</v>
      </c>
      <c r="C919" s="221" t="str">
        <f>'6 - COTAÇÃO MERCADO'!C172</f>
        <v>POSTE BALIZADOR EXTERNO - 50CM / 25W</v>
      </c>
      <c r="D919" s="159" t="s">
        <v>3280</v>
      </c>
      <c r="E919" s="159" t="str">
        <f>'6 - COTAÇÃO MERCADO'!E172</f>
        <v>UN</v>
      </c>
      <c r="F919" s="174">
        <v>1</v>
      </c>
      <c r="G919" s="160">
        <v>142</v>
      </c>
      <c r="H919" s="160">
        <f>ROUND(ROUND(F919,8)*G919,2)</f>
        <v>142</v>
      </c>
    </row>
    <row r="920" spans="1:10">
      <c r="B920" s="159">
        <v>4052</v>
      </c>
      <c r="C920" s="221" t="s">
        <v>3546</v>
      </c>
      <c r="D920" s="159" t="s">
        <v>3396</v>
      </c>
      <c r="E920" s="159" t="s">
        <v>144</v>
      </c>
      <c r="F920" s="174">
        <v>1</v>
      </c>
      <c r="G920" s="160">
        <v>24.69</v>
      </c>
      <c r="H920" s="160">
        <f>ROUND(ROUND(F920,8)*G920,2)</f>
        <v>24.69</v>
      </c>
    </row>
    <row r="921" spans="1:10">
      <c r="B921" s="222"/>
      <c r="C921" s="222"/>
      <c r="D921" s="222"/>
      <c r="E921" s="222"/>
      <c r="F921" s="630" t="s">
        <v>604</v>
      </c>
      <c r="G921" s="630"/>
      <c r="H921" s="102">
        <f>H920+H919</f>
        <v>166.69</v>
      </c>
    </row>
    <row r="922" spans="1:10">
      <c r="B922" s="641" t="s">
        <v>607</v>
      </c>
      <c r="C922" s="642"/>
      <c r="D922" s="103" t="s">
        <v>579</v>
      </c>
      <c r="E922" s="103" t="s">
        <v>580</v>
      </c>
      <c r="F922" s="103" t="s">
        <v>581</v>
      </c>
      <c r="G922" s="103" t="s">
        <v>582</v>
      </c>
      <c r="H922" s="103" t="s">
        <v>583</v>
      </c>
    </row>
    <row r="923" spans="1:10">
      <c r="B923" s="159">
        <v>88309</v>
      </c>
      <c r="C923" s="221" t="s">
        <v>640</v>
      </c>
      <c r="D923" s="159" t="s">
        <v>119</v>
      </c>
      <c r="E923" s="159" t="s">
        <v>121</v>
      </c>
      <c r="F923" s="174">
        <v>0.76910000000000001</v>
      </c>
      <c r="G923" s="160">
        <v>31.34</v>
      </c>
      <c r="H923" s="160">
        <f>ROUND(ROUND(F923,8)*G923,2)</f>
        <v>24.1</v>
      </c>
    </row>
    <row r="924" spans="1:10">
      <c r="B924" s="159">
        <v>88316</v>
      </c>
      <c r="C924" s="221" t="s">
        <v>626</v>
      </c>
      <c r="D924" s="159" t="s">
        <v>119</v>
      </c>
      <c r="E924" s="159" t="s">
        <v>121</v>
      </c>
      <c r="F924" s="174">
        <v>0.51270000000000004</v>
      </c>
      <c r="G924" s="160">
        <v>23.75</v>
      </c>
      <c r="H924" s="160">
        <f>ROUND(ROUND(F924,8)*G924,2)</f>
        <v>12.18</v>
      </c>
    </row>
    <row r="925" spans="1:10">
      <c r="B925" s="222"/>
      <c r="C925" s="222"/>
      <c r="D925" s="222"/>
      <c r="E925" s="222"/>
      <c r="F925" s="630" t="s">
        <v>585</v>
      </c>
      <c r="G925" s="630"/>
      <c r="H925" s="102">
        <f>H923+H924</f>
        <v>36.28</v>
      </c>
    </row>
    <row r="926" spans="1:10">
      <c r="B926" s="222"/>
      <c r="C926" s="222"/>
      <c r="D926" s="222"/>
      <c r="E926" s="222"/>
      <c r="F926" s="630" t="s">
        <v>464</v>
      </c>
      <c r="G926" s="630"/>
      <c r="H926" s="102">
        <f>H921+H925</f>
        <v>202.97</v>
      </c>
    </row>
    <row r="927" spans="1:10">
      <c r="B927" s="222"/>
      <c r="C927" s="222"/>
      <c r="D927" s="222"/>
      <c r="E927" s="222"/>
      <c r="F927" s="306"/>
      <c r="G927" s="306"/>
      <c r="H927" s="308"/>
    </row>
    <row r="928" spans="1:10">
      <c r="B928" s="245" t="s">
        <v>3547</v>
      </c>
      <c r="C928" s="222"/>
      <c r="D928" s="222"/>
      <c r="E928" s="222"/>
      <c r="F928" s="306"/>
      <c r="G928" s="306"/>
      <c r="H928" s="308"/>
    </row>
    <row r="929" spans="1:10">
      <c r="B929" s="222"/>
      <c r="C929" s="222"/>
      <c r="D929" s="222"/>
      <c r="E929" s="222"/>
      <c r="F929" s="280"/>
      <c r="G929" s="280"/>
      <c r="H929" s="283"/>
    </row>
    <row r="930" spans="1:10" ht="25.5" customHeight="1">
      <c r="A930" s="246" t="str">
        <f>'3 - PLAN. ORÇAMENTÁRIA'!A532</f>
        <v>6.1.2.4</v>
      </c>
      <c r="B930" s="178" t="str">
        <f>'3 - PLAN. ORÇAMENTÁRIA'!B532</f>
        <v>CCU 064</v>
      </c>
      <c r="C930" s="631" t="str">
        <f>'3 - PLAN. ORÇAMENTÁRIA'!C532</f>
        <v>QUADRO DE DISTRIBUIÇÃO DE ENERGIA EM CHAPA DE AÇO GALVANIZADO, DE EMBUTIR, COM BARRAMENTO TRIFÁSICO, PARA ATÉ 70 DISJUNTORES DIN 100A - FORNECIMENTO E INSTALAÇÃO. AF_10/2020 REF. 101881/SINAPI</v>
      </c>
      <c r="D930" s="632"/>
      <c r="E930" s="632"/>
      <c r="F930" s="632"/>
      <c r="G930" s="633"/>
      <c r="H930" s="312" t="str">
        <f>'3 - PLAN. ORÇAMENTÁRIA'!E532</f>
        <v>UN</v>
      </c>
      <c r="J930" s="220" t="str">
        <f>B943</f>
        <v>Obs: Foi adotado o item 101881 do SINAPI como base por similaridade ao que pede em projeto e alterado apenas o material para o material I08261 do ORSE e alterado o coeficiente do serviço 87367 do SINAPI para o do item S12233 do ORSE para atender ao quadro</v>
      </c>
    </row>
    <row r="931" spans="1:10">
      <c r="B931" s="628" t="s">
        <v>593</v>
      </c>
      <c r="C931" s="628"/>
      <c r="D931" s="103" t="s">
        <v>579</v>
      </c>
      <c r="E931" s="103" t="s">
        <v>580</v>
      </c>
      <c r="F931" s="103" t="s">
        <v>581</v>
      </c>
      <c r="G931" s="103" t="s">
        <v>582</v>
      </c>
      <c r="H931" s="103" t="s">
        <v>583</v>
      </c>
    </row>
    <row r="932" spans="1:10">
      <c r="B932" s="159" t="s">
        <v>2956</v>
      </c>
      <c r="C932" s="221" t="s">
        <v>2957</v>
      </c>
      <c r="D932" s="159" t="s">
        <v>158</v>
      </c>
      <c r="E932" s="159" t="s">
        <v>1048</v>
      </c>
      <c r="F932" s="174">
        <v>1</v>
      </c>
      <c r="G932" s="160">
        <v>2093</v>
      </c>
      <c r="H932" s="160">
        <f>ROUND(ROUND(F932,8)*G932,2)</f>
        <v>2093</v>
      </c>
    </row>
    <row r="933" spans="1:10">
      <c r="B933" s="222"/>
      <c r="C933" s="222"/>
      <c r="D933" s="222"/>
      <c r="E933" s="222"/>
      <c r="F933" s="630" t="s">
        <v>604</v>
      </c>
      <c r="G933" s="630"/>
      <c r="H933" s="102">
        <f>H932</f>
        <v>2093</v>
      </c>
    </row>
    <row r="934" spans="1:10">
      <c r="B934" s="641" t="s">
        <v>607</v>
      </c>
      <c r="C934" s="642"/>
      <c r="D934" s="103" t="s">
        <v>579</v>
      </c>
      <c r="E934" s="103" t="s">
        <v>580</v>
      </c>
      <c r="F934" s="103" t="s">
        <v>581</v>
      </c>
      <c r="G934" s="103" t="s">
        <v>582</v>
      </c>
      <c r="H934" s="103" t="s">
        <v>583</v>
      </c>
    </row>
    <row r="935" spans="1:10">
      <c r="B935" s="159">
        <v>88247</v>
      </c>
      <c r="C935" s="221" t="s">
        <v>608</v>
      </c>
      <c r="D935" s="159" t="s">
        <v>119</v>
      </c>
      <c r="E935" s="159" t="s">
        <v>121</v>
      </c>
      <c r="F935" s="174">
        <v>0.63839999999999997</v>
      </c>
      <c r="G935" s="160">
        <v>25</v>
      </c>
      <c r="H935" s="160">
        <f>ROUND(ROUND(F935,8)*G935,2)</f>
        <v>15.96</v>
      </c>
    </row>
    <row r="936" spans="1:10">
      <c r="B936" s="159">
        <v>88264</v>
      </c>
      <c r="C936" s="221" t="s">
        <v>609</v>
      </c>
      <c r="D936" s="159" t="s">
        <v>119</v>
      </c>
      <c r="E936" s="159" t="s">
        <v>121</v>
      </c>
      <c r="F936" s="174">
        <v>0.63839999999999997</v>
      </c>
      <c r="G936" s="160">
        <v>31.72</v>
      </c>
      <c r="H936" s="160">
        <f>ROUND(ROUND(F936,8)*G936,2)</f>
        <v>20.25</v>
      </c>
    </row>
    <row r="937" spans="1:10">
      <c r="B937" s="222"/>
      <c r="C937" s="222"/>
      <c r="D937" s="222"/>
      <c r="E937" s="222"/>
      <c r="F937" s="630" t="s">
        <v>585</v>
      </c>
      <c r="G937" s="630"/>
      <c r="H937" s="102">
        <f>H935+H936</f>
        <v>36.21</v>
      </c>
    </row>
    <row r="938" spans="1:10">
      <c r="B938" s="628" t="s">
        <v>586</v>
      </c>
      <c r="C938" s="628"/>
      <c r="D938" s="103" t="s">
        <v>579</v>
      </c>
      <c r="E938" s="103" t="s">
        <v>580</v>
      </c>
      <c r="F938" s="103" t="s">
        <v>581</v>
      </c>
      <c r="G938" s="103" t="s">
        <v>582</v>
      </c>
      <c r="H938" s="103" t="s">
        <v>583</v>
      </c>
    </row>
    <row r="939" spans="1:10" ht="25.5">
      <c r="B939" s="159">
        <v>87367</v>
      </c>
      <c r="C939" s="221" t="s">
        <v>1259</v>
      </c>
      <c r="D939" s="159" t="s">
        <v>119</v>
      </c>
      <c r="E939" s="159" t="s">
        <v>167</v>
      </c>
      <c r="F939" s="174">
        <v>2.4E-2</v>
      </c>
      <c r="G939" s="160">
        <v>730.44</v>
      </c>
      <c r="H939" s="160">
        <f>ROUND(ROUND(F939,8)*G939,2)</f>
        <v>17.53</v>
      </c>
    </row>
    <row r="940" spans="1:10">
      <c r="B940" s="222"/>
      <c r="C940" s="222"/>
      <c r="D940" s="222"/>
      <c r="E940" s="222"/>
      <c r="F940" s="630" t="s">
        <v>587</v>
      </c>
      <c r="G940" s="630"/>
      <c r="H940" s="102">
        <f>H939</f>
        <v>17.53</v>
      </c>
    </row>
    <row r="941" spans="1:10">
      <c r="B941" s="222"/>
      <c r="C941" s="222"/>
      <c r="D941" s="222"/>
      <c r="E941" s="222"/>
      <c r="F941" s="630" t="s">
        <v>464</v>
      </c>
      <c r="G941" s="630"/>
      <c r="H941" s="102">
        <f>H940+H937+H933</f>
        <v>2146.7399999999998</v>
      </c>
    </row>
    <row r="942" spans="1:10">
      <c r="B942" s="222"/>
      <c r="C942" s="222"/>
      <c r="D942" s="222"/>
      <c r="E942" s="222"/>
      <c r="F942" s="310"/>
      <c r="G942" s="310"/>
      <c r="H942" s="313"/>
    </row>
    <row r="943" spans="1:10">
      <c r="B943" s="245" t="s">
        <v>2958</v>
      </c>
      <c r="C943" s="222"/>
      <c r="D943" s="222"/>
      <c r="E943" s="222"/>
      <c r="F943" s="310"/>
      <c r="G943" s="310"/>
      <c r="H943" s="313"/>
    </row>
    <row r="944" spans="1:10">
      <c r="B944" s="222"/>
      <c r="C944" s="222"/>
      <c r="D944" s="222"/>
      <c r="E944" s="222"/>
      <c r="F944" s="310"/>
      <c r="G944" s="310"/>
      <c r="H944" s="313"/>
    </row>
    <row r="945" spans="1:10">
      <c r="A945" s="246" t="str">
        <f>'3 - PLAN. ORÇAMENTÁRIA'!A364</f>
        <v>4.4.1.4.2</v>
      </c>
      <c r="B945" s="178" t="str">
        <f>'3 - PLAN. ORÇAMENTÁRIA'!B364</f>
        <v>CCU 092</v>
      </c>
      <c r="C945" s="631" t="str">
        <f>'3 - PLAN. ORÇAMENTÁRIA'!C364</f>
        <v>PISO PODOTÁTIL DE ALERTA OU DIRECIONAL, DE CONCRETO, *25 X 25* CM, ASSENTADO SOBRE ARGAMASSA. AF_03/2024 REF. 104658/SINAPI</v>
      </c>
      <c r="D945" s="632"/>
      <c r="E945" s="632"/>
      <c r="F945" s="632"/>
      <c r="G945" s="633"/>
      <c r="H945" s="312" t="str">
        <f>'3 - PLAN. ORÇAMENTÁRIA'!E364</f>
        <v>M2</v>
      </c>
      <c r="J945" s="220" t="str">
        <f>B957</f>
        <v>Obs: Foi adotado o item 104658 do SINAPI como base e por similaridade ao que se pede em projeto, susbtituído o material do piso tátil de 40x40 para o material de 25x25 e alterado o coeficiente, visto que o novo material adotado possui unidade por m².</v>
      </c>
    </row>
    <row r="946" spans="1:10">
      <c r="B946" s="628" t="s">
        <v>593</v>
      </c>
      <c r="C946" s="628"/>
      <c r="D946" s="103" t="s">
        <v>579</v>
      </c>
      <c r="E946" s="103" t="s">
        <v>580</v>
      </c>
      <c r="F946" s="103" t="s">
        <v>581</v>
      </c>
      <c r="G946" s="103" t="s">
        <v>582</v>
      </c>
      <c r="H946" s="103" t="s">
        <v>583</v>
      </c>
    </row>
    <row r="947" spans="1:10">
      <c r="B947" s="173" t="s">
        <v>2959</v>
      </c>
      <c r="C947" s="221" t="s">
        <v>1590</v>
      </c>
      <c r="D947" s="159" t="s">
        <v>119</v>
      </c>
      <c r="E947" s="159" t="s">
        <v>1048</v>
      </c>
      <c r="F947" s="174">
        <v>8.6199999999999992</v>
      </c>
      <c r="G947" s="160">
        <v>1.26</v>
      </c>
      <c r="H947" s="160">
        <f t="shared" ref="H947:H949" si="12">ROUND(ROUND(F947,8)*G947,2)</f>
        <v>10.86</v>
      </c>
    </row>
    <row r="948" spans="1:10" ht="25.5">
      <c r="B948" s="173" t="s">
        <v>2960</v>
      </c>
      <c r="C948" s="221" t="s">
        <v>2961</v>
      </c>
      <c r="D948" s="159" t="s">
        <v>119</v>
      </c>
      <c r="E948" s="159" t="s">
        <v>139</v>
      </c>
      <c r="F948" s="174">
        <v>1</v>
      </c>
      <c r="G948" s="160">
        <v>108.38</v>
      </c>
      <c r="H948" s="160">
        <f t="shared" si="12"/>
        <v>108.38</v>
      </c>
    </row>
    <row r="949" spans="1:10">
      <c r="B949" s="173" t="s">
        <v>1593</v>
      </c>
      <c r="C949" s="221" t="s">
        <v>1594</v>
      </c>
      <c r="D949" s="159" t="s">
        <v>119</v>
      </c>
      <c r="E949" s="159" t="s">
        <v>200</v>
      </c>
      <c r="F949" s="174">
        <v>0.24</v>
      </c>
      <c r="G949" s="160">
        <v>3.99</v>
      </c>
      <c r="H949" s="160">
        <f t="shared" si="12"/>
        <v>0.96</v>
      </c>
    </row>
    <row r="950" spans="1:10">
      <c r="F950" s="630" t="s">
        <v>604</v>
      </c>
      <c r="G950" s="630"/>
      <c r="H950" s="102">
        <f>SUM(H947:H949)</f>
        <v>120.19999999999999</v>
      </c>
    </row>
    <row r="951" spans="1:10">
      <c r="B951" s="628" t="s">
        <v>607</v>
      </c>
      <c r="C951" s="628"/>
      <c r="D951" s="103" t="s">
        <v>579</v>
      </c>
      <c r="E951" s="103" t="s">
        <v>580</v>
      </c>
      <c r="F951" s="103" t="s">
        <v>581</v>
      </c>
      <c r="G951" s="103" t="s">
        <v>582</v>
      </c>
      <c r="H951" s="103" t="s">
        <v>583</v>
      </c>
    </row>
    <row r="952" spans="1:10">
      <c r="B952" s="159">
        <v>88309</v>
      </c>
      <c r="C952" s="221" t="s">
        <v>640</v>
      </c>
      <c r="D952" s="159" t="s">
        <v>119</v>
      </c>
      <c r="E952" s="159" t="s">
        <v>121</v>
      </c>
      <c r="F952" s="174">
        <v>0.63900000000000001</v>
      </c>
      <c r="G952" s="160">
        <v>31.34</v>
      </c>
      <c r="H952" s="160">
        <f>ROUND(ROUND(F952,8)*G952,2)</f>
        <v>20.03</v>
      </c>
    </row>
    <row r="953" spans="1:10">
      <c r="B953" s="159">
        <v>88316</v>
      </c>
      <c r="C953" s="221" t="s">
        <v>626</v>
      </c>
      <c r="D953" s="159" t="s">
        <v>119</v>
      </c>
      <c r="E953" s="159" t="s">
        <v>121</v>
      </c>
      <c r="F953" s="174">
        <v>1.2789999999999999</v>
      </c>
      <c r="G953" s="160">
        <v>23.75</v>
      </c>
      <c r="H953" s="160">
        <f>ROUND(ROUND(F953,8)*G953,2)</f>
        <v>30.38</v>
      </c>
    </row>
    <row r="954" spans="1:10">
      <c r="B954" s="222"/>
      <c r="C954" s="222"/>
      <c r="D954" s="222"/>
      <c r="E954" s="222"/>
      <c r="F954" s="630" t="s">
        <v>585</v>
      </c>
      <c r="G954" s="630"/>
      <c r="H954" s="102">
        <f>H952+H953</f>
        <v>50.41</v>
      </c>
    </row>
    <row r="955" spans="1:10">
      <c r="B955" s="222"/>
      <c r="C955" s="222"/>
      <c r="D955" s="222"/>
      <c r="E955" s="222"/>
      <c r="F955" s="630" t="s">
        <v>464</v>
      </c>
      <c r="G955" s="630"/>
      <c r="H955" s="102">
        <f>H954+H950</f>
        <v>170.60999999999999</v>
      </c>
    </row>
    <row r="957" spans="1:10">
      <c r="B957" s="245" t="s">
        <v>2962</v>
      </c>
    </row>
    <row r="958" spans="1:10">
      <c r="B958" s="222"/>
      <c r="C958" s="222"/>
      <c r="D958" s="222"/>
      <c r="E958" s="222"/>
      <c r="F958" s="310"/>
      <c r="G958" s="310"/>
      <c r="H958" s="313"/>
    </row>
    <row r="959" spans="1:10">
      <c r="A959" s="246" t="str">
        <f>'3 - PLAN. ORÇAMENTÁRIA'!A181</f>
        <v>4.1.2.1.8</v>
      </c>
      <c r="B959" s="178" t="str">
        <f>'3 - PLAN. ORÇAMENTÁRIA'!B181</f>
        <v>CCU 098</v>
      </c>
      <c r="C959" s="631" t="str">
        <f>'3 - PLAN. ORÇAMENTÁRIA'!C181</f>
        <v>PORTA DE ABRIR EM ALUMÍNIO COM PINTURA ELETROSTÁTICA, SOB MEDIDA - COR BRANCA REF. 25.02.300/SP OBRAS</v>
      </c>
      <c r="D959" s="632"/>
      <c r="E959" s="632"/>
      <c r="F959" s="632"/>
      <c r="G959" s="633"/>
      <c r="H959" s="348" t="str">
        <f>'3 - PLAN. ORÇAMENTÁRIA'!E181</f>
        <v>UN</v>
      </c>
      <c r="J959" s="220" t="str">
        <f>B972</f>
        <v>Obs: Foi adotado o item 102184 do SINAPI como base e retirado o material do vidro por já estar contemplado separadamente em um item específico somente do vidro.</v>
      </c>
    </row>
    <row r="960" spans="1:10">
      <c r="A960" s="106"/>
      <c r="B960" s="628" t="s">
        <v>593</v>
      </c>
      <c r="C960" s="628"/>
      <c r="D960" s="103" t="s">
        <v>579</v>
      </c>
      <c r="E960" s="103" t="s">
        <v>580</v>
      </c>
      <c r="F960" s="103" t="s">
        <v>581</v>
      </c>
      <c r="G960" s="103" t="s">
        <v>582</v>
      </c>
      <c r="H960" s="103" t="s">
        <v>583</v>
      </c>
    </row>
    <row r="961" spans="1:10">
      <c r="A961" s="106"/>
      <c r="B961" s="173" t="s">
        <v>3357</v>
      </c>
      <c r="C961" s="221" t="s">
        <v>3358</v>
      </c>
      <c r="D961" s="159" t="s">
        <v>158</v>
      </c>
      <c r="E961" s="159" t="s">
        <v>167</v>
      </c>
      <c r="F961" s="174">
        <v>7.1999999999999998E-3</v>
      </c>
      <c r="G961" s="160">
        <v>102.5</v>
      </c>
      <c r="H961" s="160">
        <f>ROUND(ROUND(F961,8)*G961,2)</f>
        <v>0.74</v>
      </c>
    </row>
    <row r="962" spans="1:10">
      <c r="A962" s="106"/>
      <c r="B962" s="173" t="s">
        <v>646</v>
      </c>
      <c r="C962" s="221" t="s">
        <v>647</v>
      </c>
      <c r="D962" s="159" t="s">
        <v>119</v>
      </c>
      <c r="E962" s="159" t="s">
        <v>200</v>
      </c>
      <c r="F962" s="174">
        <v>2.0299999999999998</v>
      </c>
      <c r="G962" s="160">
        <v>0.65</v>
      </c>
      <c r="H962" s="160">
        <f>ROUND(ROUND(F962,8)*G962,2)</f>
        <v>1.32</v>
      </c>
    </row>
    <row r="963" spans="1:10">
      <c r="A963" s="106"/>
      <c r="B963" s="173" t="s">
        <v>3362</v>
      </c>
      <c r="C963" s="221" t="s">
        <v>3363</v>
      </c>
      <c r="D963" s="159" t="s">
        <v>119</v>
      </c>
      <c r="E963" s="159" t="s">
        <v>139</v>
      </c>
      <c r="F963" s="174">
        <v>1</v>
      </c>
      <c r="G963" s="160">
        <v>1328.45</v>
      </c>
      <c r="H963" s="160">
        <f>ROUND(ROUND(F963,8)*G963,2)</f>
        <v>1328.45</v>
      </c>
    </row>
    <row r="964" spans="1:10">
      <c r="A964" s="106"/>
      <c r="B964" s="173" t="s">
        <v>3890</v>
      </c>
      <c r="C964" s="221" t="s">
        <v>3891</v>
      </c>
      <c r="D964" s="159" t="s">
        <v>119</v>
      </c>
      <c r="E964" s="159" t="s">
        <v>1048</v>
      </c>
      <c r="F964" s="174">
        <v>1</v>
      </c>
      <c r="G964" s="160">
        <v>70.45</v>
      </c>
      <c r="H964" s="160">
        <f>ROUND(ROUND(F964,8)*G964,2)</f>
        <v>70.45</v>
      </c>
    </row>
    <row r="965" spans="1:10">
      <c r="A965" s="106"/>
      <c r="B965" s="105"/>
      <c r="C965" s="105"/>
      <c r="D965" s="105"/>
      <c r="E965" s="105"/>
      <c r="F965" s="629" t="s">
        <v>604</v>
      </c>
      <c r="G965" s="629"/>
      <c r="H965" s="346">
        <f>SUM(H961:H964)</f>
        <v>1400.96</v>
      </c>
    </row>
    <row r="966" spans="1:10">
      <c r="A966" s="106"/>
      <c r="B966" s="628" t="s">
        <v>607</v>
      </c>
      <c r="C966" s="628"/>
      <c r="D966" s="103" t="s">
        <v>579</v>
      </c>
      <c r="E966" s="103" t="s">
        <v>580</v>
      </c>
      <c r="F966" s="103" t="s">
        <v>581</v>
      </c>
      <c r="G966" s="103" t="s">
        <v>582</v>
      </c>
      <c r="H966" s="103" t="s">
        <v>583</v>
      </c>
    </row>
    <row r="967" spans="1:10">
      <c r="A967" s="106"/>
      <c r="B967" s="130">
        <v>88309</v>
      </c>
      <c r="C967" s="229" t="s">
        <v>640</v>
      </c>
      <c r="D967" s="130" t="s">
        <v>119</v>
      </c>
      <c r="E967" s="130" t="s">
        <v>121</v>
      </c>
      <c r="F967" s="230">
        <v>3</v>
      </c>
      <c r="G967" s="347">
        <v>31.34</v>
      </c>
      <c r="H967" s="160">
        <f>ROUND(ROUND(F967,8)*G967,2)</f>
        <v>94.02</v>
      </c>
    </row>
    <row r="968" spans="1:10">
      <c r="A968" s="106"/>
      <c r="B968" s="130">
        <v>88316</v>
      </c>
      <c r="C968" s="229" t="s">
        <v>626</v>
      </c>
      <c r="D968" s="130" t="s">
        <v>119</v>
      </c>
      <c r="E968" s="130" t="s">
        <v>121</v>
      </c>
      <c r="F968" s="230">
        <v>3</v>
      </c>
      <c r="G968" s="347">
        <v>23.75</v>
      </c>
      <c r="H968" s="160">
        <f>ROUND(ROUND(F968,8)*G968,2)</f>
        <v>71.25</v>
      </c>
    </row>
    <row r="969" spans="1:10">
      <c r="A969" s="106"/>
      <c r="B969" s="105"/>
      <c r="C969" s="105"/>
      <c r="D969" s="105"/>
      <c r="E969" s="105"/>
      <c r="F969" s="629" t="s">
        <v>610</v>
      </c>
      <c r="G969" s="629"/>
      <c r="H969" s="346">
        <f>SUM(H967:H968)</f>
        <v>165.26999999999998</v>
      </c>
    </row>
    <row r="970" spans="1:10">
      <c r="A970" s="106"/>
      <c r="B970" s="105"/>
      <c r="C970" s="105"/>
      <c r="D970" s="105"/>
      <c r="E970" s="105"/>
      <c r="F970" s="630" t="s">
        <v>464</v>
      </c>
      <c r="G970" s="630"/>
      <c r="H970" s="102">
        <f>H969+H965</f>
        <v>1566.23</v>
      </c>
    </row>
    <row r="971" spans="1:10">
      <c r="B971" s="222"/>
      <c r="C971" s="222"/>
      <c r="D971" s="222"/>
      <c r="E971" s="222"/>
      <c r="F971" s="345"/>
      <c r="G971" s="345"/>
      <c r="H971" s="349"/>
    </row>
    <row r="972" spans="1:10">
      <c r="B972" s="245" t="s">
        <v>2991</v>
      </c>
      <c r="C972" s="222"/>
      <c r="D972" s="222"/>
      <c r="E972" s="222"/>
      <c r="F972" s="345"/>
      <c r="G972" s="345"/>
      <c r="H972" s="349"/>
    </row>
    <row r="973" spans="1:10">
      <c r="B973" s="245"/>
      <c r="C973" s="222"/>
      <c r="D973" s="222"/>
      <c r="E973" s="222"/>
      <c r="F973" s="345"/>
      <c r="G973" s="345"/>
      <c r="H973" s="349"/>
    </row>
    <row r="974" spans="1:10">
      <c r="A974" s="246" t="str">
        <f>'3 - PLAN. ORÇAMENTÁRIA'!A187</f>
        <v>4.1.2.1.14</v>
      </c>
      <c r="B974" s="178" t="str">
        <f>'3 - PLAN. ORÇAMENTÁRIA'!B187</f>
        <v>CCU 097</v>
      </c>
      <c r="C974" s="631" t="str">
        <f>'3 - PLAN. ORÇAMENTÁRIA'!C187</f>
        <v>VIDRO LAMINADO INCOLOR DE 8 MM (PORTAS INTERNAS) REF. 102176/SINAPI</v>
      </c>
      <c r="D974" s="632"/>
      <c r="E974" s="632"/>
      <c r="F974" s="632"/>
      <c r="G974" s="633"/>
      <c r="H974" s="325" t="str">
        <f>'3 - PLAN. ORÇAMENTÁRIA'!E187</f>
        <v>M2</v>
      </c>
      <c r="J974" s="220" t="str">
        <f>B987</f>
        <v>Obs: Foi adotado o item 102176 do SINAPI como base e por similiaridade ao que se pede em projeto, alterado os materiais do Vidro e Silicone para os materiais 00034391 do SINAPI e S.03.000.028010 do SP OBRAS</v>
      </c>
    </row>
    <row r="975" spans="1:10">
      <c r="B975" s="628" t="s">
        <v>593</v>
      </c>
      <c r="C975" s="628"/>
      <c r="D975" s="103" t="s">
        <v>579</v>
      </c>
      <c r="E975" s="103" t="s">
        <v>580</v>
      </c>
      <c r="F975" s="103" t="s">
        <v>581</v>
      </c>
      <c r="G975" s="103" t="s">
        <v>582</v>
      </c>
      <c r="H975" s="103" t="s">
        <v>583</v>
      </c>
    </row>
    <row r="976" spans="1:10">
      <c r="B976" s="173" t="s">
        <v>2560</v>
      </c>
      <c r="C976" s="221" t="s">
        <v>1483</v>
      </c>
      <c r="D976" s="159" t="s">
        <v>119</v>
      </c>
      <c r="E976" s="159" t="s">
        <v>2993</v>
      </c>
      <c r="F976" s="174">
        <v>2.992</v>
      </c>
      <c r="G976" s="160">
        <v>2.42</v>
      </c>
      <c r="H976" s="160">
        <f t="shared" ref="H976:H979" si="13">ROUND(ROUND(F976,8)*G976,2)</f>
        <v>7.24</v>
      </c>
    </row>
    <row r="977" spans="1:10">
      <c r="B977" s="173" t="s">
        <v>1556</v>
      </c>
      <c r="C977" s="221" t="s">
        <v>1557</v>
      </c>
      <c r="D977" s="159" t="s">
        <v>119</v>
      </c>
      <c r="E977" s="159" t="s">
        <v>173</v>
      </c>
      <c r="F977" s="174">
        <v>3.4159999999999999</v>
      </c>
      <c r="G977" s="160">
        <v>13.3</v>
      </c>
      <c r="H977" s="160">
        <f t="shared" si="13"/>
        <v>45.43</v>
      </c>
    </row>
    <row r="978" spans="1:10">
      <c r="B978" s="173" t="s">
        <v>2141</v>
      </c>
      <c r="C978" s="221" t="s">
        <v>2142</v>
      </c>
      <c r="D978" s="159" t="s">
        <v>592</v>
      </c>
      <c r="E978" s="159" t="s">
        <v>1048</v>
      </c>
      <c r="F978" s="174">
        <v>0.26500000000000001</v>
      </c>
      <c r="G978" s="160">
        <v>22.72</v>
      </c>
      <c r="H978" s="160">
        <f t="shared" si="13"/>
        <v>6.02</v>
      </c>
    </row>
    <row r="979" spans="1:10">
      <c r="B979" s="173" t="s">
        <v>1560</v>
      </c>
      <c r="C979" s="221" t="s">
        <v>1561</v>
      </c>
      <c r="D979" s="159" t="s">
        <v>119</v>
      </c>
      <c r="E979" s="159" t="s">
        <v>139</v>
      </c>
      <c r="F979" s="174">
        <v>1</v>
      </c>
      <c r="G979" s="160">
        <v>706.15</v>
      </c>
      <c r="H979" s="160">
        <f t="shared" si="13"/>
        <v>706.15</v>
      </c>
    </row>
    <row r="980" spans="1:10">
      <c r="F980" s="630" t="s">
        <v>604</v>
      </c>
      <c r="G980" s="630"/>
      <c r="H980" s="102">
        <f>SUM(H976:H979)</f>
        <v>764.83999999999992</v>
      </c>
    </row>
    <row r="981" spans="1:10">
      <c r="B981" s="628" t="s">
        <v>607</v>
      </c>
      <c r="C981" s="628"/>
      <c r="D981" s="103" t="s">
        <v>579</v>
      </c>
      <c r="E981" s="103" t="s">
        <v>580</v>
      </c>
      <c r="F981" s="103" t="s">
        <v>581</v>
      </c>
      <c r="G981" s="103" t="s">
        <v>582</v>
      </c>
      <c r="H981" s="103" t="s">
        <v>583</v>
      </c>
    </row>
    <row r="982" spans="1:10">
      <c r="B982" s="159">
        <v>88316</v>
      </c>
      <c r="C982" s="221" t="s">
        <v>626</v>
      </c>
      <c r="D982" s="159" t="s">
        <v>119</v>
      </c>
      <c r="E982" s="159" t="s">
        <v>121</v>
      </c>
      <c r="F982" s="174">
        <v>1.619</v>
      </c>
      <c r="G982" s="160">
        <v>23.75</v>
      </c>
      <c r="H982" s="160">
        <f>ROUND(ROUND(F982,8)*G982,2)</f>
        <v>38.450000000000003</v>
      </c>
    </row>
    <row r="983" spans="1:10">
      <c r="B983" s="159">
        <v>88325</v>
      </c>
      <c r="C983" s="221" t="s">
        <v>656</v>
      </c>
      <c r="D983" s="159" t="s">
        <v>119</v>
      </c>
      <c r="E983" s="159" t="s">
        <v>121</v>
      </c>
      <c r="F983" s="174">
        <v>1.6659999999999999</v>
      </c>
      <c r="G983" s="160">
        <v>28.95</v>
      </c>
      <c r="H983" s="160">
        <f>ROUND(ROUND(F983,8)*G983,2)</f>
        <v>48.23</v>
      </c>
    </row>
    <row r="984" spans="1:10">
      <c r="B984" s="222"/>
      <c r="C984" s="222"/>
      <c r="D984" s="222"/>
      <c r="E984" s="222"/>
      <c r="F984" s="630" t="s">
        <v>585</v>
      </c>
      <c r="G984" s="630"/>
      <c r="H984" s="102">
        <f>H982+H983</f>
        <v>86.68</v>
      </c>
    </row>
    <row r="985" spans="1:10">
      <c r="B985" s="222"/>
      <c r="C985" s="222"/>
      <c r="D985" s="222"/>
      <c r="E985" s="222"/>
      <c r="F985" s="630" t="s">
        <v>464</v>
      </c>
      <c r="G985" s="630"/>
      <c r="H985" s="102">
        <f>H984+H980</f>
        <v>851.52</v>
      </c>
    </row>
    <row r="986" spans="1:10">
      <c r="B986" s="245"/>
      <c r="C986" s="222"/>
      <c r="D986" s="222"/>
      <c r="E986" s="222"/>
      <c r="F986" s="314"/>
      <c r="G986" s="314"/>
      <c r="H986" s="316"/>
    </row>
    <row r="987" spans="1:10">
      <c r="B987" s="245" t="s">
        <v>2994</v>
      </c>
      <c r="C987" s="222"/>
      <c r="D987" s="222"/>
      <c r="E987" s="222"/>
      <c r="F987" s="314"/>
      <c r="G987" s="314"/>
      <c r="H987" s="316"/>
    </row>
    <row r="988" spans="1:10">
      <c r="B988" s="245"/>
      <c r="C988" s="222"/>
      <c r="D988" s="222"/>
      <c r="E988" s="222"/>
      <c r="F988" s="327"/>
      <c r="G988" s="327"/>
      <c r="H988" s="329"/>
    </row>
    <row r="989" spans="1:10">
      <c r="A989" s="246" t="str">
        <f>'[14]3 - PLAN. ORÇAMENTÁRIA'!A528</f>
        <v>6.1.4.14</v>
      </c>
      <c r="B989" s="178" t="str">
        <f>'[14]3 - PLAN. ORÇAMENTÁRIA'!B528</f>
        <v>CCU 114</v>
      </c>
      <c r="C989" s="631" t="str">
        <f>'[14]3 - PLAN. ORÇAMENTÁRIA'!C528</f>
        <v>LUMINÁRIA PLAFON (EMBUTIR) - 24 W REF. 103788/SINAPI</v>
      </c>
      <c r="D989" s="632"/>
      <c r="E989" s="632"/>
      <c r="F989" s="632"/>
      <c r="G989" s="633"/>
      <c r="H989" s="328" t="str">
        <f>'[14]3 - PLAN. ORÇAMENTÁRIA'!E528</f>
        <v>UN</v>
      </c>
      <c r="J989" s="220" t="str">
        <f>B999</f>
        <v>Obs: Foi adotado o item 103788 do SINAPI como base por similaridade ao que pede em projeto e alterado apenas o material para o material I14478 do ORSE</v>
      </c>
    </row>
    <row r="990" spans="1:10">
      <c r="B990" s="628" t="s">
        <v>593</v>
      </c>
      <c r="C990" s="628"/>
      <c r="D990" s="103" t="s">
        <v>579</v>
      </c>
      <c r="E990" s="103" t="s">
        <v>580</v>
      </c>
      <c r="F990" s="103" t="s">
        <v>581</v>
      </c>
      <c r="G990" s="103" t="s">
        <v>582</v>
      </c>
      <c r="H990" s="103" t="s">
        <v>583</v>
      </c>
    </row>
    <row r="991" spans="1:10">
      <c r="B991" s="159" t="s">
        <v>3264</v>
      </c>
      <c r="C991" s="221" t="s">
        <v>2923</v>
      </c>
      <c r="D991" s="159" t="s">
        <v>158</v>
      </c>
      <c r="E991" s="159" t="s">
        <v>1048</v>
      </c>
      <c r="F991" s="174">
        <v>1</v>
      </c>
      <c r="G991" s="160">
        <v>70.45</v>
      </c>
      <c r="H991" s="160">
        <f>ROUND(ROUND(F991,8)*G991,2)</f>
        <v>70.45</v>
      </c>
    </row>
    <row r="992" spans="1:10">
      <c r="B992" s="222"/>
      <c r="C992" s="222"/>
      <c r="D992" s="222"/>
      <c r="E992" s="222"/>
      <c r="F992" s="630" t="s">
        <v>604</v>
      </c>
      <c r="G992" s="630"/>
      <c r="H992" s="102">
        <f>H991</f>
        <v>70.45</v>
      </c>
    </row>
    <row r="993" spans="1:10">
      <c r="B993" s="641" t="s">
        <v>607</v>
      </c>
      <c r="C993" s="642"/>
      <c r="D993" s="103" t="s">
        <v>579</v>
      </c>
      <c r="E993" s="103" t="s">
        <v>580</v>
      </c>
      <c r="F993" s="103" t="s">
        <v>581</v>
      </c>
      <c r="G993" s="103" t="s">
        <v>582</v>
      </c>
      <c r="H993" s="103" t="s">
        <v>583</v>
      </c>
    </row>
    <row r="994" spans="1:10">
      <c r="B994" s="159">
        <v>88247</v>
      </c>
      <c r="C994" s="221" t="s">
        <v>608</v>
      </c>
      <c r="D994" s="159" t="s">
        <v>119</v>
      </c>
      <c r="E994" s="159" t="s">
        <v>121</v>
      </c>
      <c r="F994" s="174">
        <v>0.2013268</v>
      </c>
      <c r="G994" s="160">
        <v>25</v>
      </c>
      <c r="H994" s="160">
        <f>ROUND(ROUND(F994,8)*G994,2)</f>
        <v>5.03</v>
      </c>
    </row>
    <row r="995" spans="1:10">
      <c r="B995" s="159">
        <v>88264</v>
      </c>
      <c r="C995" s="221" t="s">
        <v>609</v>
      </c>
      <c r="D995" s="159" t="s">
        <v>119</v>
      </c>
      <c r="E995" s="159" t="s">
        <v>121</v>
      </c>
      <c r="F995" s="174">
        <v>0.64424570000000003</v>
      </c>
      <c r="G995" s="160">
        <v>31.72</v>
      </c>
      <c r="H995" s="160">
        <f>ROUND(ROUND(F995,8)*G995,2)</f>
        <v>20.440000000000001</v>
      </c>
    </row>
    <row r="996" spans="1:10">
      <c r="B996" s="222"/>
      <c r="C996" s="222"/>
      <c r="D996" s="222"/>
      <c r="E996" s="222"/>
      <c r="F996" s="630" t="s">
        <v>585</v>
      </c>
      <c r="G996" s="630"/>
      <c r="H996" s="102">
        <f>H994+H995</f>
        <v>25.470000000000002</v>
      </c>
    </row>
    <row r="997" spans="1:10">
      <c r="B997" s="222"/>
      <c r="C997" s="222"/>
      <c r="D997" s="222"/>
      <c r="E997" s="222"/>
      <c r="F997" s="630" t="s">
        <v>464</v>
      </c>
      <c r="G997" s="630"/>
      <c r="H997" s="102">
        <f>H992+H996</f>
        <v>95.92</v>
      </c>
    </row>
    <row r="998" spans="1:10">
      <c r="B998" s="222"/>
      <c r="C998" s="222"/>
      <c r="D998" s="222"/>
      <c r="E998" s="222"/>
      <c r="F998" s="327"/>
      <c r="G998" s="327"/>
      <c r="H998" s="329"/>
    </row>
    <row r="999" spans="1:10">
      <c r="B999" s="245" t="s">
        <v>3265</v>
      </c>
      <c r="C999" s="222"/>
      <c r="D999" s="222"/>
      <c r="E999" s="222"/>
      <c r="F999" s="327"/>
      <c r="G999" s="327"/>
      <c r="H999" s="329"/>
    </row>
    <row r="1000" spans="1:10">
      <c r="B1000" s="245"/>
      <c r="C1000" s="222"/>
      <c r="D1000" s="222"/>
      <c r="E1000" s="222"/>
      <c r="F1000" s="327"/>
      <c r="G1000" s="327"/>
      <c r="H1000" s="329"/>
    </row>
    <row r="1001" spans="1:10">
      <c r="A1001" s="246" t="str">
        <f>'[14]3 - PLAN. ORÇAMENTÁRIA'!A531</f>
        <v>6.1.4.17</v>
      </c>
      <c r="B1001" s="178" t="str">
        <f>'[14]3 - PLAN. ORÇAMENTÁRIA'!B531</f>
        <v>CCU 130</v>
      </c>
      <c r="C1001" s="631" t="str">
        <f>'[14]3 - PLAN. ORÇAMENTÁRIA'!C531</f>
        <v>LUMINÁRIA TIPO SPOT LED PARA PISO REF. 105546/SINAPI</v>
      </c>
      <c r="D1001" s="632"/>
      <c r="E1001" s="632"/>
      <c r="F1001" s="632"/>
      <c r="G1001" s="633"/>
      <c r="H1001" s="328" t="str">
        <f>'[14]3 - PLAN. ORÇAMENTÁRIA'!E531</f>
        <v>UN</v>
      </c>
      <c r="J1001" s="220" t="str">
        <f>B1011</f>
        <v>Obs: Foi adotado o item 105546 do SINAPI como base por similaridade ao que pede em projeto e alterado apenas o material para o material I12920 do ORSE</v>
      </c>
    </row>
    <row r="1002" spans="1:10">
      <c r="B1002" s="628" t="s">
        <v>593</v>
      </c>
      <c r="C1002" s="628"/>
      <c r="D1002" s="103" t="s">
        <v>579</v>
      </c>
      <c r="E1002" s="103" t="s">
        <v>580</v>
      </c>
      <c r="F1002" s="103" t="s">
        <v>581</v>
      </c>
      <c r="G1002" s="103" t="s">
        <v>582</v>
      </c>
      <c r="H1002" s="103" t="s">
        <v>583</v>
      </c>
    </row>
    <row r="1003" spans="1:10">
      <c r="B1003" s="159" t="str">
        <f>'6 - COTAÇÃO MERCADO'!B180</f>
        <v>COT 01.021</v>
      </c>
      <c r="C1003" s="221" t="str">
        <f>'6 - COTAÇÃO MERCADO'!C180</f>
        <v>LUMINÁRIA SPOT LED PARA PISO 20W</v>
      </c>
      <c r="D1003" s="159" t="s">
        <v>3280</v>
      </c>
      <c r="E1003" s="159" t="str">
        <f>'6 - COTAÇÃO MERCADO'!E180</f>
        <v>UN</v>
      </c>
      <c r="F1003" s="174">
        <v>1</v>
      </c>
      <c r="G1003" s="160">
        <f>'6 - COTAÇÃO MERCADO'!D180</f>
        <v>278.60000000000002</v>
      </c>
      <c r="H1003" s="160">
        <f>ROUND(ROUND(F1003,8)*G1003,2)</f>
        <v>278.60000000000002</v>
      </c>
    </row>
    <row r="1004" spans="1:10">
      <c r="B1004" s="222"/>
      <c r="C1004" s="222"/>
      <c r="D1004" s="222"/>
      <c r="E1004" s="222"/>
      <c r="F1004" s="630" t="s">
        <v>604</v>
      </c>
      <c r="G1004" s="630"/>
      <c r="H1004" s="102">
        <f>H1003</f>
        <v>278.60000000000002</v>
      </c>
    </row>
    <row r="1005" spans="1:10">
      <c r="B1005" s="641" t="s">
        <v>607</v>
      </c>
      <c r="C1005" s="642"/>
      <c r="D1005" s="103" t="s">
        <v>579</v>
      </c>
      <c r="E1005" s="103" t="s">
        <v>580</v>
      </c>
      <c r="F1005" s="103" t="s">
        <v>581</v>
      </c>
      <c r="G1005" s="103" t="s">
        <v>582</v>
      </c>
      <c r="H1005" s="103" t="s">
        <v>583</v>
      </c>
    </row>
    <row r="1006" spans="1:10">
      <c r="B1006" s="159">
        <v>88247</v>
      </c>
      <c r="C1006" s="221" t="s">
        <v>608</v>
      </c>
      <c r="D1006" s="159" t="s">
        <v>119</v>
      </c>
      <c r="E1006" s="159" t="s">
        <v>121</v>
      </c>
      <c r="F1006" s="174">
        <v>0.16998450000000001</v>
      </c>
      <c r="G1006" s="160">
        <v>25</v>
      </c>
      <c r="H1006" s="160">
        <f>ROUND(ROUND(F1006,8)*G1006,2)</f>
        <v>4.25</v>
      </c>
    </row>
    <row r="1007" spans="1:10">
      <c r="B1007" s="159">
        <v>88264</v>
      </c>
      <c r="C1007" s="221" t="s">
        <v>609</v>
      </c>
      <c r="D1007" s="159" t="s">
        <v>119</v>
      </c>
      <c r="E1007" s="159" t="s">
        <v>121</v>
      </c>
      <c r="F1007" s="174">
        <v>0.54395039999999995</v>
      </c>
      <c r="G1007" s="160">
        <v>31.72</v>
      </c>
      <c r="H1007" s="160">
        <f>ROUND(ROUND(F1007,8)*G1007,2)</f>
        <v>17.25</v>
      </c>
    </row>
    <row r="1008" spans="1:10">
      <c r="B1008" s="222"/>
      <c r="C1008" s="222"/>
      <c r="D1008" s="222"/>
      <c r="E1008" s="222"/>
      <c r="F1008" s="630" t="s">
        <v>585</v>
      </c>
      <c r="G1008" s="630"/>
      <c r="H1008" s="102">
        <f>H1006+H1007</f>
        <v>21.5</v>
      </c>
    </row>
    <row r="1009" spans="1:8">
      <c r="B1009" s="222"/>
      <c r="C1009" s="222"/>
      <c r="D1009" s="222"/>
      <c r="E1009" s="222"/>
      <c r="F1009" s="630" t="s">
        <v>464</v>
      </c>
      <c r="G1009" s="630"/>
      <c r="H1009" s="102">
        <f>H1004+H1008</f>
        <v>300.10000000000002</v>
      </c>
    </row>
    <row r="1010" spans="1:8">
      <c r="B1010" s="222"/>
      <c r="C1010" s="222"/>
      <c r="D1010" s="222"/>
      <c r="E1010" s="222"/>
      <c r="F1010" s="327"/>
      <c r="G1010" s="327"/>
      <c r="H1010" s="329"/>
    </row>
    <row r="1011" spans="1:8">
      <c r="B1011" s="245" t="s">
        <v>3266</v>
      </c>
      <c r="C1011" s="222"/>
      <c r="D1011" s="222"/>
      <c r="E1011" s="222"/>
      <c r="F1011" s="327"/>
      <c r="G1011" s="327"/>
      <c r="H1011" s="329"/>
    </row>
    <row r="1012" spans="1:8">
      <c r="B1012" s="222"/>
      <c r="C1012" s="222"/>
      <c r="D1012" s="222"/>
      <c r="E1012" s="222"/>
      <c r="F1012" s="314"/>
      <c r="G1012" s="314"/>
      <c r="H1012" s="316"/>
    </row>
    <row r="1013" spans="1:8">
      <c r="A1013" s="246" t="str">
        <f>'3 - PLAN. ORÇAMENTÁRIA'!A657</f>
        <v>6.5.3.2</v>
      </c>
      <c r="B1013" s="178" t="str">
        <f>'3 - PLAN. ORÇAMENTÁRIA'!B657</f>
        <v>CCU 136</v>
      </c>
      <c r="C1013" s="631" t="str">
        <f>'3 - PLAN. ORÇAMENTÁRIA'!C657</f>
        <v>CABO P10 XLR REF. 100553/SINAPI</v>
      </c>
      <c r="D1013" s="632"/>
      <c r="E1013" s="632"/>
      <c r="F1013" s="632"/>
      <c r="G1013" s="633"/>
      <c r="H1013" s="333" t="str">
        <f>'3 - PLAN. ORÇAMENTÁRIA'!E657</f>
        <v>M</v>
      </c>
    </row>
    <row r="1014" spans="1:8">
      <c r="B1014" s="628" t="s">
        <v>593</v>
      </c>
      <c r="C1014" s="628"/>
      <c r="D1014" s="103" t="s">
        <v>579</v>
      </c>
      <c r="E1014" s="103" t="s">
        <v>580</v>
      </c>
      <c r="F1014" s="103" t="s">
        <v>581</v>
      </c>
      <c r="G1014" s="103" t="s">
        <v>582</v>
      </c>
      <c r="H1014" s="103" t="s">
        <v>583</v>
      </c>
    </row>
    <row r="1015" spans="1:8">
      <c r="B1015" s="159" t="str">
        <f>'6 - COTAÇÃO MERCADO'!B164</f>
        <v>COT 01.019</v>
      </c>
      <c r="C1015" s="221" t="str">
        <f>'6 - COTAÇÃO MERCADO'!C164</f>
        <v>CABO P10 XLR</v>
      </c>
      <c r="D1015" s="159" t="s">
        <v>3280</v>
      </c>
      <c r="E1015" s="159" t="s">
        <v>1048</v>
      </c>
      <c r="F1015" s="174">
        <v>1</v>
      </c>
      <c r="G1015" s="160">
        <f>'6 - COTAÇÃO MERCADO'!D164</f>
        <v>28.99</v>
      </c>
      <c r="H1015" s="160">
        <f>ROUND(ROUND(F1015,8)*G1015,2)</f>
        <v>28.99</v>
      </c>
    </row>
    <row r="1016" spans="1:8">
      <c r="B1016" s="222"/>
      <c r="C1016" s="222"/>
      <c r="D1016" s="222"/>
      <c r="E1016" s="222"/>
      <c r="F1016" s="630" t="s">
        <v>604</v>
      </c>
      <c r="G1016" s="630"/>
      <c r="H1016" s="102">
        <f>H1015</f>
        <v>28.99</v>
      </c>
    </row>
    <row r="1017" spans="1:8">
      <c r="B1017" s="641" t="s">
        <v>607</v>
      </c>
      <c r="C1017" s="642"/>
      <c r="D1017" s="103" t="s">
        <v>579</v>
      </c>
      <c r="E1017" s="103" t="s">
        <v>580</v>
      </c>
      <c r="F1017" s="103" t="s">
        <v>581</v>
      </c>
      <c r="G1017" s="103" t="s">
        <v>582</v>
      </c>
      <c r="H1017" s="103" t="s">
        <v>583</v>
      </c>
    </row>
    <row r="1018" spans="1:8">
      <c r="B1018" s="159">
        <v>88247</v>
      </c>
      <c r="C1018" s="221" t="s">
        <v>608</v>
      </c>
      <c r="D1018" s="159" t="s">
        <v>119</v>
      </c>
      <c r="E1018" s="159" t="s">
        <v>121</v>
      </c>
      <c r="F1018" s="174">
        <v>7.5999999999999998E-2</v>
      </c>
      <c r="G1018" s="160">
        <v>25</v>
      </c>
      <c r="H1018" s="160">
        <f>ROUND(ROUND(F1018,8)*G1018,2)</f>
        <v>1.9</v>
      </c>
    </row>
    <row r="1019" spans="1:8">
      <c r="B1019" s="159">
        <v>88264</v>
      </c>
      <c r="C1019" s="221" t="s">
        <v>609</v>
      </c>
      <c r="D1019" s="159" t="s">
        <v>119</v>
      </c>
      <c r="E1019" s="159" t="s">
        <v>121</v>
      </c>
      <c r="F1019" s="174">
        <v>7.5999999999999998E-2</v>
      </c>
      <c r="G1019" s="160">
        <v>31.72</v>
      </c>
      <c r="H1019" s="160">
        <f>ROUND(ROUND(F1019,8)*G1019,2)</f>
        <v>2.41</v>
      </c>
    </row>
    <row r="1020" spans="1:8">
      <c r="B1020" s="222"/>
      <c r="C1020" s="222"/>
      <c r="D1020" s="222"/>
      <c r="E1020" s="222"/>
      <c r="F1020" s="630" t="s">
        <v>585</v>
      </c>
      <c r="G1020" s="630"/>
      <c r="H1020" s="102">
        <f>H1018+H1019</f>
        <v>4.3100000000000005</v>
      </c>
    </row>
    <row r="1021" spans="1:8">
      <c r="B1021" s="222"/>
      <c r="C1021" s="222"/>
      <c r="D1021" s="222"/>
      <c r="E1021" s="222"/>
      <c r="F1021" s="630" t="s">
        <v>464</v>
      </c>
      <c r="G1021" s="630"/>
      <c r="H1021" s="102">
        <f>H1016+H1020</f>
        <v>33.299999999999997</v>
      </c>
    </row>
    <row r="1022" spans="1:8">
      <c r="B1022" s="245"/>
      <c r="C1022" s="222"/>
      <c r="D1022" s="222"/>
      <c r="E1022" s="222"/>
      <c r="F1022" s="332"/>
      <c r="G1022" s="332"/>
      <c r="H1022" s="334"/>
    </row>
    <row r="1023" spans="1:8">
      <c r="A1023" s="246" t="str">
        <f>'3 - PLAN. ORÇAMENTÁRIA'!A361</f>
        <v>4.4.1.3.4</v>
      </c>
      <c r="B1023" s="178" t="str">
        <f>'3 - PLAN. ORÇAMENTÁRIA'!B361</f>
        <v>CCU 105</v>
      </c>
      <c r="C1023" s="631" t="str">
        <f>'3 - PLAN. ORÇAMENTÁRIA'!C361</f>
        <v>PISO FULGET (GRANITO LAVADO) 40 X 40 CM ASSENTADO SOBRE ARGAMASSA 1:3 (CIMENTO E AREIA). AF_09/2020 REF. 101732/SINAPI</v>
      </c>
      <c r="D1023" s="632"/>
      <c r="E1023" s="632"/>
      <c r="F1023" s="632"/>
      <c r="G1023" s="633"/>
      <c r="H1023" s="333" t="str">
        <f>'3 - PLAN. ORÇAMENTÁRIA'!E361</f>
        <v>M2</v>
      </c>
    </row>
    <row r="1024" spans="1:8">
      <c r="B1024" s="628" t="s">
        <v>593</v>
      </c>
      <c r="C1024" s="628"/>
      <c r="D1024" s="103" t="s">
        <v>579</v>
      </c>
      <c r="E1024" s="103" t="s">
        <v>580</v>
      </c>
      <c r="F1024" s="103" t="s">
        <v>581</v>
      </c>
      <c r="G1024" s="103" t="s">
        <v>582</v>
      </c>
      <c r="H1024" s="103" t="s">
        <v>583</v>
      </c>
    </row>
    <row r="1025" spans="1:10">
      <c r="B1025" s="173" t="s">
        <v>3281</v>
      </c>
      <c r="C1025" s="221" t="s">
        <v>3282</v>
      </c>
      <c r="D1025" s="159" t="s">
        <v>119</v>
      </c>
      <c r="E1025" s="159" t="s">
        <v>139</v>
      </c>
      <c r="F1025" s="174">
        <v>1</v>
      </c>
      <c r="G1025" s="160">
        <v>156.24</v>
      </c>
      <c r="H1025" s="160">
        <f>ROUND(ROUND(F1025,8)*G1025,2)</f>
        <v>156.24</v>
      </c>
    </row>
    <row r="1026" spans="1:10">
      <c r="B1026" s="173" t="s">
        <v>1593</v>
      </c>
      <c r="C1026" s="221" t="s">
        <v>1594</v>
      </c>
      <c r="D1026" s="159" t="s">
        <v>119</v>
      </c>
      <c r="E1026" s="159" t="s">
        <v>621</v>
      </c>
      <c r="F1026" s="174">
        <v>0.24</v>
      </c>
      <c r="G1026" s="160">
        <v>3.99</v>
      </c>
      <c r="H1026" s="160">
        <f>ROUND(ROUND(F1026,8)*G1026,2)</f>
        <v>0.96</v>
      </c>
    </row>
    <row r="1027" spans="1:10">
      <c r="B1027" s="222"/>
      <c r="C1027" s="222"/>
      <c r="D1027" s="222"/>
      <c r="E1027" s="222"/>
      <c r="F1027" s="630" t="s">
        <v>604</v>
      </c>
      <c r="G1027" s="630"/>
      <c r="H1027" s="102">
        <f>H1026+H1025</f>
        <v>157.20000000000002</v>
      </c>
    </row>
    <row r="1028" spans="1:10">
      <c r="B1028" s="641" t="s">
        <v>607</v>
      </c>
      <c r="C1028" s="642"/>
      <c r="D1028" s="103" t="s">
        <v>579</v>
      </c>
      <c r="E1028" s="103" t="s">
        <v>580</v>
      </c>
      <c r="F1028" s="103" t="s">
        <v>581</v>
      </c>
      <c r="G1028" s="103" t="s">
        <v>582</v>
      </c>
      <c r="H1028" s="103" t="s">
        <v>583</v>
      </c>
    </row>
    <row r="1029" spans="1:10">
      <c r="B1029" s="159">
        <v>88309</v>
      </c>
      <c r="C1029" s="221" t="s">
        <v>640</v>
      </c>
      <c r="D1029" s="159" t="s">
        <v>119</v>
      </c>
      <c r="E1029" s="159" t="s">
        <v>121</v>
      </c>
      <c r="F1029" s="174">
        <v>0.66</v>
      </c>
      <c r="G1029" s="160">
        <v>31.34</v>
      </c>
      <c r="H1029" s="160">
        <f>ROUND(ROUND(F1029,8)*G1029,2)</f>
        <v>20.68</v>
      </c>
    </row>
    <row r="1030" spans="1:10">
      <c r="B1030" s="159">
        <v>88316</v>
      </c>
      <c r="C1030" s="221" t="s">
        <v>626</v>
      </c>
      <c r="D1030" s="159" t="s">
        <v>119</v>
      </c>
      <c r="E1030" s="159" t="s">
        <v>121</v>
      </c>
      <c r="F1030" s="174">
        <v>0.66</v>
      </c>
      <c r="G1030" s="160">
        <v>23.75</v>
      </c>
      <c r="H1030" s="160">
        <f>ROUND(ROUND(F1030,8)*G1030,2)</f>
        <v>15.68</v>
      </c>
    </row>
    <row r="1031" spans="1:10">
      <c r="B1031" s="222"/>
      <c r="C1031" s="222"/>
      <c r="D1031" s="222"/>
      <c r="E1031" s="222"/>
      <c r="F1031" s="630" t="s">
        <v>585</v>
      </c>
      <c r="G1031" s="630"/>
      <c r="H1031" s="102">
        <f>H1029+H1030</f>
        <v>36.36</v>
      </c>
    </row>
    <row r="1032" spans="1:10">
      <c r="B1032" s="628" t="s">
        <v>586</v>
      </c>
      <c r="C1032" s="628"/>
      <c r="D1032" s="103" t="s">
        <v>579</v>
      </c>
      <c r="E1032" s="103" t="s">
        <v>580</v>
      </c>
      <c r="F1032" s="103" t="s">
        <v>581</v>
      </c>
      <c r="G1032" s="103" t="s">
        <v>582</v>
      </c>
      <c r="H1032" s="103" t="s">
        <v>583</v>
      </c>
    </row>
    <row r="1033" spans="1:10" ht="25.5">
      <c r="B1033" s="159">
        <v>87298</v>
      </c>
      <c r="C1033" s="221" t="s">
        <v>1571</v>
      </c>
      <c r="D1033" s="159" t="s">
        <v>119</v>
      </c>
      <c r="E1033" s="159" t="s">
        <v>167</v>
      </c>
      <c r="F1033" s="174">
        <v>3.0700000000000002E-2</v>
      </c>
      <c r="G1033" s="160">
        <v>620.96</v>
      </c>
      <c r="H1033" s="160">
        <f>ROUND(ROUND(F1033,8)*G1033,2)</f>
        <v>19.059999999999999</v>
      </c>
    </row>
    <row r="1034" spans="1:10">
      <c r="B1034" s="222"/>
      <c r="C1034" s="222"/>
      <c r="D1034" s="222"/>
      <c r="E1034" s="222"/>
      <c r="F1034" s="630" t="s">
        <v>587</v>
      </c>
      <c r="G1034" s="630"/>
      <c r="H1034" s="102">
        <f>H1033</f>
        <v>19.059999999999999</v>
      </c>
    </row>
    <row r="1035" spans="1:10">
      <c r="B1035" s="222"/>
      <c r="C1035" s="222"/>
      <c r="D1035" s="222"/>
      <c r="E1035" s="222"/>
      <c r="F1035" s="630" t="s">
        <v>464</v>
      </c>
      <c r="G1035" s="630"/>
      <c r="H1035" s="102">
        <f>H1034+H1031+H1027</f>
        <v>212.62</v>
      </c>
    </row>
    <row r="1036" spans="1:10">
      <c r="B1036" s="222"/>
      <c r="C1036" s="222"/>
      <c r="D1036" s="222"/>
      <c r="E1036" s="222"/>
      <c r="F1036" s="332"/>
      <c r="G1036" s="332"/>
      <c r="H1036" s="334"/>
    </row>
    <row r="1037" spans="1:10" ht="26.25" customHeight="1">
      <c r="A1037" s="246" t="str">
        <f>'3 - PLAN. ORÇAMENTÁRIA'!A354</f>
        <v>4.4.1.2.2</v>
      </c>
      <c r="B1037" s="242" t="str">
        <f>'3 - PLAN. ORÇAMENTÁRIA'!B354</f>
        <v>CCU 143</v>
      </c>
      <c r="C1037" s="631" t="str">
        <f>'3 - PLAN. ORÇAMENTÁRIA'!C354</f>
        <v>EXECUÇÃO DE PAVIMENTO EM PISO INTERTRAVADO, COM BLOCO RETANGULAR DE 20 X 10 CM, ESPESSURA 10 CM (INCLUSO LASTRO DE AREIA E PÓ DE PEDRA 6CM) REF. 92400/SINAPI</v>
      </c>
      <c r="D1037" s="632"/>
      <c r="E1037" s="632"/>
      <c r="F1037" s="632"/>
      <c r="G1037" s="633"/>
      <c r="H1037" s="354" t="str">
        <f>'3 - PLAN. ORÇAMENTÁRIA'!E354</f>
        <v>M2</v>
      </c>
      <c r="J1037" s="220" t="str">
        <f>B1055</f>
        <v>Obs: Foi adotado o item 92400 do SINAPI como base por similaridade ao que pede em projeto e alterado apenas os coeficientes e materiais referentes a areia e pó de pedra do item</v>
      </c>
    </row>
    <row r="1038" spans="1:10">
      <c r="A1038" s="106"/>
      <c r="B1038" s="628" t="s">
        <v>1301</v>
      </c>
      <c r="C1038" s="628"/>
      <c r="D1038" s="103" t="s">
        <v>579</v>
      </c>
      <c r="E1038" s="103" t="s">
        <v>580</v>
      </c>
      <c r="F1038" s="103" t="s">
        <v>581</v>
      </c>
      <c r="G1038" s="103" t="s">
        <v>582</v>
      </c>
      <c r="H1038" s="103" t="s">
        <v>583</v>
      </c>
    </row>
    <row r="1039" spans="1:10" ht="25.5">
      <c r="A1039" s="106"/>
      <c r="B1039" s="130" t="s">
        <v>1595</v>
      </c>
      <c r="C1039" s="229" t="s">
        <v>1596</v>
      </c>
      <c r="D1039" s="130" t="s">
        <v>119</v>
      </c>
      <c r="E1039" s="130" t="s">
        <v>1304</v>
      </c>
      <c r="F1039" s="230">
        <v>0.15870000000000001</v>
      </c>
      <c r="G1039" s="351">
        <v>1.1000000000000001</v>
      </c>
      <c r="H1039" s="160">
        <f t="shared" ref="H1039:H1042" si="14">ROUND(ROUND(F1039,8)*G1039,2)</f>
        <v>0.17</v>
      </c>
    </row>
    <row r="1040" spans="1:10" ht="25.5">
      <c r="A1040" s="106"/>
      <c r="B1040" s="130" t="s">
        <v>1597</v>
      </c>
      <c r="C1040" s="229" t="s">
        <v>1598</v>
      </c>
      <c r="D1040" s="130" t="s">
        <v>119</v>
      </c>
      <c r="E1040" s="130" t="s">
        <v>1307</v>
      </c>
      <c r="F1040" s="230">
        <v>3.8E-3</v>
      </c>
      <c r="G1040" s="351">
        <v>10.87</v>
      </c>
      <c r="H1040" s="160">
        <f t="shared" si="14"/>
        <v>0.04</v>
      </c>
    </row>
    <row r="1041" spans="1:8" ht="25.5">
      <c r="A1041" s="106"/>
      <c r="B1041" s="130" t="s">
        <v>1517</v>
      </c>
      <c r="C1041" s="229" t="s">
        <v>1518</v>
      </c>
      <c r="D1041" s="130" t="s">
        <v>119</v>
      </c>
      <c r="E1041" s="130" t="s">
        <v>1304</v>
      </c>
      <c r="F1041" s="230">
        <v>0.15559999999999999</v>
      </c>
      <c r="G1041" s="351">
        <v>0.72</v>
      </c>
      <c r="H1041" s="160">
        <f t="shared" si="14"/>
        <v>0.11</v>
      </c>
    </row>
    <row r="1042" spans="1:8" ht="25.5">
      <c r="A1042" s="106"/>
      <c r="B1042" s="130" t="s">
        <v>1519</v>
      </c>
      <c r="C1042" s="229" t="s">
        <v>1520</v>
      </c>
      <c r="D1042" s="130" t="s">
        <v>119</v>
      </c>
      <c r="E1042" s="130" t="s">
        <v>1307</v>
      </c>
      <c r="F1042" s="230">
        <v>6.8999999999999999E-3</v>
      </c>
      <c r="G1042" s="351">
        <v>10.01</v>
      </c>
      <c r="H1042" s="160">
        <f t="shared" si="14"/>
        <v>7.0000000000000007E-2</v>
      </c>
    </row>
    <row r="1043" spans="1:8">
      <c r="A1043" s="106"/>
      <c r="B1043" s="105"/>
      <c r="C1043" s="105"/>
      <c r="D1043" s="105"/>
      <c r="E1043" s="105"/>
      <c r="F1043" s="629" t="s">
        <v>1308</v>
      </c>
      <c r="G1043" s="629"/>
      <c r="H1043" s="353">
        <f>SUM(H1039:H1042)</f>
        <v>0.39</v>
      </c>
    </row>
    <row r="1044" spans="1:8">
      <c r="A1044" s="106"/>
      <c r="B1044" s="628" t="s">
        <v>593</v>
      </c>
      <c r="C1044" s="628"/>
      <c r="D1044" s="103" t="s">
        <v>579</v>
      </c>
      <c r="E1044" s="103" t="s">
        <v>580</v>
      </c>
      <c r="F1044" s="103" t="s">
        <v>581</v>
      </c>
      <c r="G1044" s="103" t="s">
        <v>582</v>
      </c>
      <c r="H1044" s="103" t="s">
        <v>583</v>
      </c>
    </row>
    <row r="1045" spans="1:8">
      <c r="A1045" s="106"/>
      <c r="B1045" s="130" t="s">
        <v>3357</v>
      </c>
      <c r="C1045" s="229" t="s">
        <v>3358</v>
      </c>
      <c r="D1045" s="130" t="s">
        <v>158</v>
      </c>
      <c r="E1045" s="130" t="s">
        <v>167</v>
      </c>
      <c r="F1045" s="230">
        <v>0.03</v>
      </c>
      <c r="G1045" s="351">
        <v>102.5</v>
      </c>
      <c r="H1045" s="160">
        <f t="shared" ref="H1045:H1047" si="15">ROUND(ROUND(F1045,8)*G1045,2)</f>
        <v>3.08</v>
      </c>
    </row>
    <row r="1046" spans="1:8" ht="38.25">
      <c r="A1046" s="106"/>
      <c r="B1046" s="130" t="s">
        <v>2444</v>
      </c>
      <c r="C1046" s="229" t="s">
        <v>2445</v>
      </c>
      <c r="D1046" s="130" t="s">
        <v>119</v>
      </c>
      <c r="E1046" s="130" t="s">
        <v>139</v>
      </c>
      <c r="F1046" s="230">
        <v>1.0041</v>
      </c>
      <c r="G1046" s="351">
        <v>102.81</v>
      </c>
      <c r="H1046" s="160">
        <f t="shared" si="15"/>
        <v>103.23</v>
      </c>
    </row>
    <row r="1047" spans="1:8">
      <c r="A1047" s="106"/>
      <c r="B1047" s="130" t="s">
        <v>3369</v>
      </c>
      <c r="C1047" s="229" t="s">
        <v>3370</v>
      </c>
      <c r="D1047" s="130" t="s">
        <v>158</v>
      </c>
      <c r="E1047" s="130" t="s">
        <v>167</v>
      </c>
      <c r="F1047" s="230">
        <v>0.03</v>
      </c>
      <c r="G1047" s="351">
        <v>136</v>
      </c>
      <c r="H1047" s="160">
        <f t="shared" si="15"/>
        <v>4.08</v>
      </c>
    </row>
    <row r="1048" spans="1:8">
      <c r="A1048" s="106"/>
      <c r="B1048" s="105"/>
      <c r="C1048" s="105"/>
      <c r="D1048" s="105"/>
      <c r="E1048" s="105"/>
      <c r="F1048" s="629" t="s">
        <v>604</v>
      </c>
      <c r="G1048" s="629"/>
      <c r="H1048" s="353">
        <f>SUM(H1045:H1047)</f>
        <v>110.39</v>
      </c>
    </row>
    <row r="1049" spans="1:8">
      <c r="A1049" s="106"/>
      <c r="B1049" s="628" t="s">
        <v>607</v>
      </c>
      <c r="C1049" s="628"/>
      <c r="D1049" s="103" t="s">
        <v>579</v>
      </c>
      <c r="E1049" s="103" t="s">
        <v>580</v>
      </c>
      <c r="F1049" s="103" t="s">
        <v>581</v>
      </c>
      <c r="G1049" s="103" t="s">
        <v>582</v>
      </c>
      <c r="H1049" s="103" t="s">
        <v>583</v>
      </c>
    </row>
    <row r="1050" spans="1:8">
      <c r="A1050" s="106"/>
      <c r="B1050" s="130" t="s">
        <v>1599</v>
      </c>
      <c r="C1050" s="229" t="s">
        <v>1600</v>
      </c>
      <c r="D1050" s="130" t="s">
        <v>119</v>
      </c>
      <c r="E1050" s="130" t="s">
        <v>121</v>
      </c>
      <c r="F1050" s="230">
        <v>0.32490000000000002</v>
      </c>
      <c r="G1050" s="351">
        <v>29.04</v>
      </c>
      <c r="H1050" s="160">
        <f t="shared" ref="H1050:H1051" si="16">ROUND(ROUND(F1050,8)*G1050,2)</f>
        <v>9.44</v>
      </c>
    </row>
    <row r="1051" spans="1:8">
      <c r="A1051" s="106"/>
      <c r="B1051" s="130" t="s">
        <v>625</v>
      </c>
      <c r="C1051" s="229" t="s">
        <v>626</v>
      </c>
      <c r="D1051" s="130" t="s">
        <v>119</v>
      </c>
      <c r="E1051" s="130" t="s">
        <v>121</v>
      </c>
      <c r="F1051" s="230">
        <v>0.32490000000000002</v>
      </c>
      <c r="G1051" s="351">
        <v>23.75</v>
      </c>
      <c r="H1051" s="160">
        <f t="shared" si="16"/>
        <v>7.72</v>
      </c>
    </row>
    <row r="1052" spans="1:8">
      <c r="A1052" s="106"/>
      <c r="B1052" s="105"/>
      <c r="C1052" s="105"/>
      <c r="D1052" s="105"/>
      <c r="E1052" s="105"/>
      <c r="F1052" s="629" t="s">
        <v>610</v>
      </c>
      <c r="G1052" s="629"/>
      <c r="H1052" s="353">
        <f>H1051+H1050</f>
        <v>17.16</v>
      </c>
    </row>
    <row r="1053" spans="1:8">
      <c r="A1053" s="106"/>
      <c r="B1053" s="105"/>
      <c r="C1053" s="105"/>
      <c r="D1053" s="105"/>
      <c r="E1053" s="105"/>
      <c r="F1053" s="630" t="s">
        <v>464</v>
      </c>
      <c r="G1053" s="630"/>
      <c r="H1053" s="102">
        <f>H1043+H1048+H1052</f>
        <v>127.94</v>
      </c>
    </row>
    <row r="1054" spans="1:8">
      <c r="B1054" s="222"/>
      <c r="C1054" s="222"/>
      <c r="D1054" s="222"/>
      <c r="E1054" s="222"/>
      <c r="F1054" s="352"/>
      <c r="G1054" s="352"/>
      <c r="H1054" s="355"/>
    </row>
    <row r="1055" spans="1:8">
      <c r="B1055" s="245" t="s">
        <v>3371</v>
      </c>
      <c r="C1055" s="222"/>
      <c r="D1055" s="222"/>
      <c r="E1055" s="222"/>
      <c r="F1055" s="352"/>
      <c r="G1055" s="352"/>
      <c r="H1055" s="355"/>
    </row>
    <row r="1056" spans="1:8">
      <c r="B1056" s="245"/>
      <c r="C1056" s="222"/>
      <c r="D1056" s="222"/>
      <c r="E1056" s="222"/>
      <c r="F1056" s="352"/>
      <c r="G1056" s="352"/>
      <c r="H1056" s="355"/>
    </row>
    <row r="1057" spans="1:8" ht="29.25" customHeight="1">
      <c r="A1057" s="246" t="str">
        <f>'3 - PLAN. ORÇAMENTÁRIA'!A355</f>
        <v>4.4.1.2.3</v>
      </c>
      <c r="B1057" s="242" t="str">
        <f>'3 - PLAN. ORÇAMENTÁRIA'!B355</f>
        <v>CCU 145</v>
      </c>
      <c r="C1057" s="631" t="str">
        <f>'3 - PLAN. ORÇAMENTÁRIA'!C355</f>
        <v>EXECUÇÃO DE PAVIMENTO EM PISO INTERTRAVADO, COM BLOCO PISOGRAMA DE 60 X 45 CM, ESPESSURA 8 CM (INCLUSO LASTRO DE AREIA E PÓ DE PEDRA 6CM) REF. 92392/SINAPI</v>
      </c>
      <c r="D1057" s="632"/>
      <c r="E1057" s="632"/>
      <c r="F1057" s="632"/>
      <c r="G1057" s="633"/>
      <c r="H1057" s="354" t="str">
        <f>'3 - PLAN. ORÇAMENTÁRIA'!E355</f>
        <v>M2</v>
      </c>
    </row>
    <row r="1058" spans="1:8">
      <c r="A1058" s="106"/>
      <c r="B1058" s="628" t="s">
        <v>1301</v>
      </c>
      <c r="C1058" s="628"/>
      <c r="D1058" s="103" t="s">
        <v>579</v>
      </c>
      <c r="E1058" s="103" t="s">
        <v>580</v>
      </c>
      <c r="F1058" s="103" t="s">
        <v>581</v>
      </c>
      <c r="G1058" s="103" t="s">
        <v>582</v>
      </c>
      <c r="H1058" s="103" t="s">
        <v>583</v>
      </c>
    </row>
    <row r="1059" spans="1:8" ht="25.5">
      <c r="A1059" s="106"/>
      <c r="B1059" s="130" t="s">
        <v>1595</v>
      </c>
      <c r="C1059" s="229" t="s">
        <v>1596</v>
      </c>
      <c r="D1059" s="130" t="s">
        <v>119</v>
      </c>
      <c r="E1059" s="130" t="s">
        <v>1304</v>
      </c>
      <c r="F1059" s="230">
        <v>5.0299999999999997E-2</v>
      </c>
      <c r="G1059" s="351">
        <v>1.1000000000000001</v>
      </c>
      <c r="H1059" s="160">
        <f t="shared" ref="H1059:H1062" si="17">ROUND(ROUND(F1059,8)*G1059,2)</f>
        <v>0.06</v>
      </c>
    </row>
    <row r="1060" spans="1:8" ht="25.5">
      <c r="A1060" s="106"/>
      <c r="B1060" s="130" t="s">
        <v>1597</v>
      </c>
      <c r="C1060" s="229" t="s">
        <v>1598</v>
      </c>
      <c r="D1060" s="130" t="s">
        <v>119</v>
      </c>
      <c r="E1060" s="130" t="s">
        <v>1307</v>
      </c>
      <c r="F1060" s="230">
        <v>3.8E-3</v>
      </c>
      <c r="G1060" s="351">
        <v>10.87</v>
      </c>
      <c r="H1060" s="160">
        <f t="shared" si="17"/>
        <v>0.04</v>
      </c>
    </row>
    <row r="1061" spans="1:8" ht="25.5">
      <c r="A1061" s="106"/>
      <c r="B1061" s="130" t="s">
        <v>1517</v>
      </c>
      <c r="C1061" s="229" t="s">
        <v>1518</v>
      </c>
      <c r="D1061" s="130" t="s">
        <v>119</v>
      </c>
      <c r="E1061" s="130" t="s">
        <v>1304</v>
      </c>
      <c r="F1061" s="230">
        <v>4.8599999999999997E-2</v>
      </c>
      <c r="G1061" s="351">
        <v>0.72</v>
      </c>
      <c r="H1061" s="160">
        <f t="shared" si="17"/>
        <v>0.03</v>
      </c>
    </row>
    <row r="1062" spans="1:8" ht="25.5">
      <c r="A1062" s="106"/>
      <c r="B1062" s="130" t="s">
        <v>1519</v>
      </c>
      <c r="C1062" s="229" t="s">
        <v>1520</v>
      </c>
      <c r="D1062" s="130" t="s">
        <v>119</v>
      </c>
      <c r="E1062" s="130" t="s">
        <v>1307</v>
      </c>
      <c r="F1062" s="230">
        <v>5.4999999999999997E-3</v>
      </c>
      <c r="G1062" s="351">
        <v>10.01</v>
      </c>
      <c r="H1062" s="160">
        <f t="shared" si="17"/>
        <v>0.06</v>
      </c>
    </row>
    <row r="1063" spans="1:8">
      <c r="A1063" s="106"/>
      <c r="B1063" s="105"/>
      <c r="C1063" s="105"/>
      <c r="D1063" s="105"/>
      <c r="E1063" s="105"/>
      <c r="F1063" s="629" t="s">
        <v>1308</v>
      </c>
      <c r="G1063" s="629"/>
      <c r="H1063" s="353">
        <f>SUM(H1059:H1062)</f>
        <v>0.19</v>
      </c>
    </row>
    <row r="1064" spans="1:8">
      <c r="A1064" s="106"/>
      <c r="B1064" s="628" t="s">
        <v>593</v>
      </c>
      <c r="C1064" s="628"/>
      <c r="D1064" s="103" t="s">
        <v>579</v>
      </c>
      <c r="E1064" s="103" t="s">
        <v>580</v>
      </c>
      <c r="F1064" s="103" t="s">
        <v>581</v>
      </c>
      <c r="G1064" s="103" t="s">
        <v>582</v>
      </c>
      <c r="H1064" s="103" t="s">
        <v>583</v>
      </c>
    </row>
    <row r="1065" spans="1:8">
      <c r="A1065" s="106"/>
      <c r="B1065" s="130" t="s">
        <v>3357</v>
      </c>
      <c r="C1065" s="229" t="s">
        <v>3358</v>
      </c>
      <c r="D1065" s="130" t="s">
        <v>158</v>
      </c>
      <c r="E1065" s="130" t="s">
        <v>167</v>
      </c>
      <c r="F1065" s="230">
        <v>5.6800000000000003E-2</v>
      </c>
      <c r="G1065" s="351">
        <v>102.5</v>
      </c>
      <c r="H1065" s="160">
        <f t="shared" ref="H1065:H1067" si="18">ROUND(ROUND(F1065,8)*G1065,2)</f>
        <v>5.82</v>
      </c>
    </row>
    <row r="1066" spans="1:8" ht="25.5">
      <c r="A1066" s="106"/>
      <c r="B1066" s="239" t="s">
        <v>3226</v>
      </c>
      <c r="C1066" s="229" t="s">
        <v>3225</v>
      </c>
      <c r="D1066" s="130" t="s">
        <v>119</v>
      </c>
      <c r="E1066" s="130" t="s">
        <v>139</v>
      </c>
      <c r="F1066" s="230">
        <v>1.0044999999999999</v>
      </c>
      <c r="G1066" s="351">
        <v>164.5</v>
      </c>
      <c r="H1066" s="160">
        <f t="shared" si="18"/>
        <v>165.24</v>
      </c>
    </row>
    <row r="1067" spans="1:8">
      <c r="A1067" s="106"/>
      <c r="B1067" s="130" t="s">
        <v>3369</v>
      </c>
      <c r="C1067" s="229" t="s">
        <v>3370</v>
      </c>
      <c r="D1067" s="130" t="s">
        <v>158</v>
      </c>
      <c r="E1067" s="130" t="s">
        <v>167</v>
      </c>
      <c r="F1067" s="230">
        <v>1.1000000000000001E-3</v>
      </c>
      <c r="G1067" s="351">
        <v>136</v>
      </c>
      <c r="H1067" s="160">
        <f t="shared" si="18"/>
        <v>0.15</v>
      </c>
    </row>
    <row r="1068" spans="1:8">
      <c r="A1068" s="106"/>
      <c r="B1068" s="105"/>
      <c r="C1068" s="105"/>
      <c r="D1068" s="105"/>
      <c r="E1068" s="105"/>
      <c r="F1068" s="629" t="s">
        <v>604</v>
      </c>
      <c r="G1068" s="629"/>
      <c r="H1068" s="353">
        <f>SUM(H1065:H1067)</f>
        <v>171.21</v>
      </c>
    </row>
    <row r="1069" spans="1:8">
      <c r="A1069" s="106"/>
      <c r="B1069" s="628" t="s">
        <v>607</v>
      </c>
      <c r="C1069" s="628"/>
      <c r="D1069" s="103" t="s">
        <v>579</v>
      </c>
      <c r="E1069" s="103" t="s">
        <v>580</v>
      </c>
      <c r="F1069" s="103" t="s">
        <v>581</v>
      </c>
      <c r="G1069" s="103" t="s">
        <v>582</v>
      </c>
      <c r="H1069" s="103" t="s">
        <v>583</v>
      </c>
    </row>
    <row r="1070" spans="1:8">
      <c r="A1070" s="106"/>
      <c r="B1070" s="130" t="s">
        <v>1599</v>
      </c>
      <c r="C1070" s="229" t="s">
        <v>1600</v>
      </c>
      <c r="D1070" s="130" t="s">
        <v>119</v>
      </c>
      <c r="E1070" s="130" t="s">
        <v>121</v>
      </c>
      <c r="F1070" s="230">
        <v>0.1081</v>
      </c>
      <c r="G1070" s="351">
        <v>29.04</v>
      </c>
      <c r="H1070" s="160">
        <f t="shared" ref="H1070:H1071" si="19">ROUND(ROUND(F1070,8)*G1070,2)</f>
        <v>3.14</v>
      </c>
    </row>
    <row r="1071" spans="1:8">
      <c r="A1071" s="106"/>
      <c r="B1071" s="130" t="s">
        <v>625</v>
      </c>
      <c r="C1071" s="229" t="s">
        <v>626</v>
      </c>
      <c r="D1071" s="130" t="s">
        <v>119</v>
      </c>
      <c r="E1071" s="130" t="s">
        <v>121</v>
      </c>
      <c r="F1071" s="230">
        <v>0.1081</v>
      </c>
      <c r="G1071" s="351">
        <v>23.75</v>
      </c>
      <c r="H1071" s="160">
        <f t="shared" si="19"/>
        <v>2.57</v>
      </c>
    </row>
    <row r="1072" spans="1:8">
      <c r="A1072" s="106"/>
      <c r="B1072" s="105"/>
      <c r="C1072" s="105"/>
      <c r="D1072" s="105"/>
      <c r="E1072" s="105"/>
      <c r="F1072" s="629" t="s">
        <v>610</v>
      </c>
      <c r="G1072" s="629"/>
      <c r="H1072" s="353">
        <f>SUM(H1070:H1071)</f>
        <v>5.71</v>
      </c>
    </row>
    <row r="1073" spans="1:8">
      <c r="A1073" s="106"/>
      <c r="B1073" s="105"/>
      <c r="C1073" s="105"/>
      <c r="D1073" s="105"/>
      <c r="E1073" s="105"/>
      <c r="F1073" s="630" t="s">
        <v>464</v>
      </c>
      <c r="G1073" s="630"/>
      <c r="H1073" s="102">
        <f>H1072+H1068+H1063</f>
        <v>177.11</v>
      </c>
    </row>
    <row r="1074" spans="1:8">
      <c r="B1074" s="245"/>
      <c r="C1074" s="222"/>
      <c r="D1074" s="222"/>
      <c r="E1074" s="222"/>
      <c r="F1074" s="352"/>
      <c r="G1074" s="352"/>
      <c r="H1074" s="355"/>
    </row>
    <row r="1075" spans="1:8">
      <c r="B1075" s="245" t="s">
        <v>3372</v>
      </c>
      <c r="C1075" s="222"/>
      <c r="D1075" s="222"/>
      <c r="E1075" s="222"/>
      <c r="F1075" s="352"/>
      <c r="G1075" s="352"/>
      <c r="H1075" s="355"/>
    </row>
    <row r="1076" spans="1:8">
      <c r="B1076" s="245"/>
      <c r="C1076" s="222"/>
      <c r="D1076" s="222"/>
      <c r="E1076" s="222"/>
      <c r="F1076" s="352"/>
      <c r="G1076" s="352"/>
      <c r="H1076" s="355"/>
    </row>
    <row r="1077" spans="1:8" ht="26.25" customHeight="1">
      <c r="A1077" s="246" t="str">
        <f>'3 - PLAN. ORÇAMENTÁRIA'!A367</f>
        <v>4.4.1.4.5</v>
      </c>
      <c r="B1077" s="242" t="str">
        <f>'3 - PLAN. ORÇAMENTÁRIA'!B367</f>
        <v>CCU 153</v>
      </c>
      <c r="C1077" s="631" t="str">
        <f>'3 - PLAN. ORÇAMENTÁRIA'!C367</f>
        <v>ASSENTAMENTO DE GUIA (MEIO-FIO) EM TRECHO RETO, CONFECCIONADA EM CONCRETO PRÉ-FABRICADO, DIMENSÕES 100X15X12X30 CM (COMPRIMENTO X BASE INFERIOR X BASE SUPERIOR X ALTURA). AF_01/2024 REF. 94273/SINAPI</v>
      </c>
      <c r="D1077" s="632"/>
      <c r="E1077" s="632"/>
      <c r="F1077" s="632"/>
      <c r="G1077" s="633"/>
      <c r="H1077" s="354" t="str">
        <f>'3 - PLAN. ORÇAMENTÁRIA'!E367</f>
        <v>M</v>
      </c>
    </row>
    <row r="1078" spans="1:8">
      <c r="A1078" s="106"/>
      <c r="B1078" s="628" t="s">
        <v>593</v>
      </c>
      <c r="C1078" s="628"/>
      <c r="D1078" s="103" t="s">
        <v>579</v>
      </c>
      <c r="E1078" s="103" t="s">
        <v>580</v>
      </c>
      <c r="F1078" s="103" t="s">
        <v>581</v>
      </c>
      <c r="G1078" s="103" t="s">
        <v>582</v>
      </c>
      <c r="H1078" s="103" t="s">
        <v>583</v>
      </c>
    </row>
    <row r="1079" spans="1:8">
      <c r="A1079" s="106"/>
      <c r="B1079" s="130" t="s">
        <v>3357</v>
      </c>
      <c r="C1079" s="229" t="s">
        <v>3358</v>
      </c>
      <c r="D1079" s="130" t="s">
        <v>158</v>
      </c>
      <c r="E1079" s="130" t="s">
        <v>167</v>
      </c>
      <c r="F1079" s="230">
        <v>6.6E-3</v>
      </c>
      <c r="G1079" s="351">
        <v>102.5</v>
      </c>
      <c r="H1079" s="160">
        <f t="shared" ref="H1079:H1080" si="20">ROUND(ROUND(F1079,8)*G1079,2)</f>
        <v>0.68</v>
      </c>
    </row>
    <row r="1080" spans="1:8">
      <c r="A1080" s="106"/>
      <c r="B1080" s="239" t="s">
        <v>3267</v>
      </c>
      <c r="C1080" s="229" t="s">
        <v>3373</v>
      </c>
      <c r="D1080" s="130" t="s">
        <v>119</v>
      </c>
      <c r="E1080" s="130" t="s">
        <v>167</v>
      </c>
      <c r="F1080" s="230">
        <v>1.0049999999999999</v>
      </c>
      <c r="G1080" s="351">
        <v>33.57</v>
      </c>
      <c r="H1080" s="160">
        <f t="shared" si="20"/>
        <v>33.74</v>
      </c>
    </row>
    <row r="1081" spans="1:8">
      <c r="A1081" s="106"/>
      <c r="B1081" s="105"/>
      <c r="C1081" s="105"/>
      <c r="D1081" s="105"/>
      <c r="E1081" s="105"/>
      <c r="F1081" s="629" t="s">
        <v>604</v>
      </c>
      <c r="G1081" s="629"/>
      <c r="H1081" s="353">
        <f>H1080+H1079</f>
        <v>34.42</v>
      </c>
    </row>
    <row r="1082" spans="1:8">
      <c r="A1082" s="106"/>
      <c r="B1082" s="628" t="s">
        <v>607</v>
      </c>
      <c r="C1082" s="628"/>
      <c r="D1082" s="103" t="s">
        <v>579</v>
      </c>
      <c r="E1082" s="103" t="s">
        <v>580</v>
      </c>
      <c r="F1082" s="103" t="s">
        <v>581</v>
      </c>
      <c r="G1082" s="103" t="s">
        <v>582</v>
      </c>
      <c r="H1082" s="103" t="s">
        <v>583</v>
      </c>
    </row>
    <row r="1083" spans="1:8">
      <c r="A1083" s="106"/>
      <c r="B1083" s="130" t="s">
        <v>639</v>
      </c>
      <c r="C1083" s="229" t="s">
        <v>640</v>
      </c>
      <c r="D1083" s="130" t="s">
        <v>119</v>
      </c>
      <c r="E1083" s="130" t="s">
        <v>121</v>
      </c>
      <c r="F1083" s="230">
        <v>0.2296</v>
      </c>
      <c r="G1083" s="351">
        <v>31.34</v>
      </c>
      <c r="H1083" s="160">
        <f t="shared" ref="H1083:H1084" si="21">ROUND(ROUND(F1083,8)*G1083,2)</f>
        <v>7.2</v>
      </c>
    </row>
    <row r="1084" spans="1:8">
      <c r="A1084" s="106"/>
      <c r="B1084" s="130" t="s">
        <v>625</v>
      </c>
      <c r="C1084" s="229" t="s">
        <v>626</v>
      </c>
      <c r="D1084" s="130" t="s">
        <v>119</v>
      </c>
      <c r="E1084" s="130" t="s">
        <v>121</v>
      </c>
      <c r="F1084" s="230">
        <v>0.2296</v>
      </c>
      <c r="G1084" s="351">
        <v>23.75</v>
      </c>
      <c r="H1084" s="160">
        <f t="shared" si="21"/>
        <v>5.45</v>
      </c>
    </row>
    <row r="1085" spans="1:8">
      <c r="A1085" s="106"/>
      <c r="B1085" s="105"/>
      <c r="C1085" s="105"/>
      <c r="D1085" s="105"/>
      <c r="E1085" s="105"/>
      <c r="F1085" s="629" t="s">
        <v>610</v>
      </c>
      <c r="G1085" s="629"/>
      <c r="H1085" s="353">
        <f>H1084+H1083</f>
        <v>12.65</v>
      </c>
    </row>
    <row r="1086" spans="1:8">
      <c r="A1086" s="106"/>
      <c r="B1086" s="628" t="s">
        <v>586</v>
      </c>
      <c r="C1086" s="628"/>
      <c r="D1086" s="103" t="s">
        <v>579</v>
      </c>
      <c r="E1086" s="103" t="s">
        <v>580</v>
      </c>
      <c r="F1086" s="103" t="s">
        <v>581</v>
      </c>
      <c r="G1086" s="103" t="s">
        <v>582</v>
      </c>
      <c r="H1086" s="103" t="s">
        <v>583</v>
      </c>
    </row>
    <row r="1087" spans="1:8">
      <c r="A1087" s="106"/>
      <c r="B1087" s="130" t="s">
        <v>1702</v>
      </c>
      <c r="C1087" s="229" t="s">
        <v>1703</v>
      </c>
      <c r="D1087" s="130" t="s">
        <v>119</v>
      </c>
      <c r="E1087" s="130" t="s">
        <v>167</v>
      </c>
      <c r="F1087" s="230">
        <v>1.8E-3</v>
      </c>
      <c r="G1087" s="351">
        <v>627.14</v>
      </c>
      <c r="H1087" s="160">
        <f t="shared" ref="H1087" si="22">ROUND(ROUND(F1087,8)*G1087,2)</f>
        <v>1.1299999999999999</v>
      </c>
    </row>
    <row r="1088" spans="1:8">
      <c r="A1088" s="106"/>
      <c r="B1088" s="105"/>
      <c r="C1088" s="105"/>
      <c r="D1088" s="105"/>
      <c r="E1088" s="105"/>
      <c r="F1088" s="629" t="s">
        <v>587</v>
      </c>
      <c r="G1088" s="629"/>
      <c r="H1088" s="353">
        <f>H1087</f>
        <v>1.1299999999999999</v>
      </c>
    </row>
    <row r="1089" spans="1:8">
      <c r="A1089" s="106"/>
      <c r="B1089" s="105"/>
      <c r="C1089" s="105"/>
      <c r="D1089" s="105"/>
      <c r="E1089" s="105"/>
      <c r="F1089" s="630" t="s">
        <v>464</v>
      </c>
      <c r="G1089" s="630"/>
      <c r="H1089" s="102">
        <f>H1088+H1085+H1081</f>
        <v>48.2</v>
      </c>
    </row>
    <row r="1090" spans="1:8">
      <c r="B1090" s="245"/>
      <c r="C1090" s="222"/>
      <c r="D1090" s="222"/>
      <c r="E1090" s="222"/>
      <c r="F1090" s="352"/>
      <c r="G1090" s="352"/>
      <c r="H1090" s="355"/>
    </row>
    <row r="1091" spans="1:8">
      <c r="B1091" s="245" t="s">
        <v>3374</v>
      </c>
      <c r="C1091" s="222"/>
      <c r="D1091" s="222"/>
      <c r="E1091" s="222"/>
      <c r="F1091" s="352"/>
      <c r="G1091" s="352"/>
      <c r="H1091" s="355"/>
    </row>
    <row r="1092" spans="1:8">
      <c r="B1092" s="245"/>
      <c r="C1092" s="222"/>
      <c r="D1092" s="222"/>
      <c r="E1092" s="222"/>
      <c r="F1092" s="352"/>
      <c r="G1092" s="352"/>
      <c r="H1092" s="355"/>
    </row>
    <row r="1093" spans="1:8">
      <c r="A1093" s="246" t="str">
        <f>'3 - PLAN. ORÇAMENTÁRIA'!A220</f>
        <v>4.1.5.1.2.7</v>
      </c>
      <c r="B1093" s="242" t="str">
        <f>'3 - PLAN. ORÇAMENTÁRIA'!B220</f>
        <v>CCU 155</v>
      </c>
      <c r="C1093" s="631" t="str">
        <f>'3 - PLAN. ORÇAMENTÁRIA'!C220</f>
        <v>ARGAMASSA TRAÇO 1:3 (EM VOLUME DE CIMENTO E AREIA MÉDIA ÚMIDA) PARA CONTRAPISO, ESP 3CM, PREPARO MANUAL. AF_08/2019 (SÓCULOS) REF. 87372/SINAPI</v>
      </c>
      <c r="D1093" s="632"/>
      <c r="E1093" s="632"/>
      <c r="F1093" s="632"/>
      <c r="G1093" s="633"/>
      <c r="H1093" s="354" t="str">
        <f>'3 - PLAN. ORÇAMENTÁRIA'!E220</f>
        <v>M3</v>
      </c>
    </row>
    <row r="1094" spans="1:8">
      <c r="A1094" s="106"/>
      <c r="B1094" s="628" t="s">
        <v>593</v>
      </c>
      <c r="C1094" s="628"/>
      <c r="D1094" s="103" t="s">
        <v>579</v>
      </c>
      <c r="E1094" s="103" t="s">
        <v>580</v>
      </c>
      <c r="F1094" s="103" t="s">
        <v>581</v>
      </c>
      <c r="G1094" s="103" t="s">
        <v>582</v>
      </c>
      <c r="H1094" s="103" t="s">
        <v>583</v>
      </c>
    </row>
    <row r="1095" spans="1:8">
      <c r="A1095" s="106"/>
      <c r="B1095" s="239" t="s">
        <v>3357</v>
      </c>
      <c r="C1095" s="229" t="s">
        <v>3358</v>
      </c>
      <c r="D1095" s="130" t="s">
        <v>158</v>
      </c>
      <c r="E1095" s="130" t="s">
        <v>624</v>
      </c>
      <c r="F1095" s="230">
        <v>1.25</v>
      </c>
      <c r="G1095" s="351">
        <v>102.5</v>
      </c>
      <c r="H1095" s="160">
        <f t="shared" ref="H1095:H1096" si="23">ROUND(ROUND(F1095,8)*G1095,2)</f>
        <v>128.13</v>
      </c>
    </row>
    <row r="1096" spans="1:8">
      <c r="A1096" s="106"/>
      <c r="B1096" s="130" t="s">
        <v>646</v>
      </c>
      <c r="C1096" s="229" t="s">
        <v>647</v>
      </c>
      <c r="D1096" s="130" t="s">
        <v>119</v>
      </c>
      <c r="E1096" s="130" t="s">
        <v>200</v>
      </c>
      <c r="F1096" s="230">
        <v>563.59</v>
      </c>
      <c r="G1096" s="351">
        <v>0.65</v>
      </c>
      <c r="H1096" s="160">
        <f t="shared" si="23"/>
        <v>366.33</v>
      </c>
    </row>
    <row r="1097" spans="1:8">
      <c r="A1097" s="106"/>
      <c r="B1097" s="105"/>
      <c r="C1097" s="105"/>
      <c r="D1097" s="105"/>
      <c r="E1097" s="105"/>
      <c r="F1097" s="630" t="s">
        <v>604</v>
      </c>
      <c r="G1097" s="630"/>
      <c r="H1097" s="353">
        <f>H1095+H1096</f>
        <v>494.46</v>
      </c>
    </row>
    <row r="1098" spans="1:8">
      <c r="A1098" s="106"/>
      <c r="B1098" s="628" t="s">
        <v>607</v>
      </c>
      <c r="C1098" s="628"/>
      <c r="D1098" s="103" t="s">
        <v>579</v>
      </c>
      <c r="E1098" s="103" t="s">
        <v>580</v>
      </c>
      <c r="F1098" s="103" t="s">
        <v>581</v>
      </c>
      <c r="G1098" s="103" t="s">
        <v>582</v>
      </c>
      <c r="H1098" s="103" t="s">
        <v>583</v>
      </c>
    </row>
    <row r="1099" spans="1:8">
      <c r="A1099" s="106"/>
      <c r="B1099" s="130" t="s">
        <v>625</v>
      </c>
      <c r="C1099" s="229" t="s">
        <v>626</v>
      </c>
      <c r="D1099" s="130" t="s">
        <v>119</v>
      </c>
      <c r="E1099" s="130" t="s">
        <v>121</v>
      </c>
      <c r="F1099" s="230">
        <v>11.65</v>
      </c>
      <c r="G1099" s="351">
        <v>23.75</v>
      </c>
      <c r="H1099" s="160">
        <f t="shared" ref="H1099" si="24">ROUND(ROUND(F1099,8)*G1099,2)</f>
        <v>276.69</v>
      </c>
    </row>
    <row r="1100" spans="1:8">
      <c r="A1100" s="106"/>
      <c r="B1100" s="105"/>
      <c r="C1100" s="105"/>
      <c r="D1100" s="105"/>
      <c r="E1100" s="105"/>
      <c r="F1100" s="629" t="s">
        <v>610</v>
      </c>
      <c r="G1100" s="629"/>
      <c r="H1100" s="322">
        <f>H1099</f>
        <v>276.69</v>
      </c>
    </row>
    <row r="1101" spans="1:8">
      <c r="A1101" s="106"/>
      <c r="B1101" s="105"/>
      <c r="C1101" s="105"/>
      <c r="D1101" s="105"/>
      <c r="E1101" s="105"/>
      <c r="F1101" s="630" t="s">
        <v>464</v>
      </c>
      <c r="G1101" s="643"/>
      <c r="H1101" s="158">
        <f>H1100+H1097</f>
        <v>771.15</v>
      </c>
    </row>
    <row r="1102" spans="1:8">
      <c r="B1102" s="245"/>
      <c r="C1102" s="222"/>
      <c r="D1102" s="222"/>
      <c r="E1102" s="222"/>
      <c r="F1102" s="352"/>
      <c r="G1102" s="352"/>
      <c r="H1102" s="355"/>
    </row>
    <row r="1103" spans="1:8">
      <c r="B1103" s="245" t="s">
        <v>3374</v>
      </c>
      <c r="C1103" s="222"/>
      <c r="D1103" s="222"/>
      <c r="E1103" s="222"/>
      <c r="F1103" s="352"/>
      <c r="G1103" s="352"/>
      <c r="H1103" s="355"/>
    </row>
    <row r="1104" spans="1:8">
      <c r="B1104" s="245"/>
      <c r="C1104" s="222"/>
      <c r="D1104" s="222"/>
      <c r="E1104" s="222"/>
      <c r="F1104" s="352"/>
      <c r="G1104" s="352"/>
      <c r="H1104" s="355"/>
    </row>
    <row r="1105" spans="1:8">
      <c r="A1105" s="246" t="str">
        <f>'3 - PLAN. ORÇAMENTÁRIA'!A55</f>
        <v>2.4.2.2</v>
      </c>
      <c r="B1105" s="242" t="str">
        <f>'3 - PLAN. ORÇAMENTÁRIA'!B55</f>
        <v>CCU 156</v>
      </c>
      <c r="C1105" s="631" t="str">
        <f>'3 - PLAN. ORÇAMENTÁRIA'!C55</f>
        <v>ESPALHAMENTO DE MATERIAL COM TRATOR DE ESTEIRA, INCLUSIVE SOLO ARGILOSO E TRANSPORTE. AF_11/2019 REF. 100574/SINAPI</v>
      </c>
      <c r="D1105" s="632"/>
      <c r="E1105" s="632"/>
      <c r="F1105" s="632"/>
      <c r="G1105" s="633"/>
      <c r="H1105" s="342" t="str">
        <f>'3 - PLAN. ORÇAMENTÁRIA'!E55</f>
        <v>M3</v>
      </c>
    </row>
    <row r="1106" spans="1:8">
      <c r="A1106" s="106"/>
      <c r="B1106" s="628" t="s">
        <v>1301</v>
      </c>
      <c r="C1106" s="628"/>
      <c r="D1106" s="103" t="s">
        <v>579</v>
      </c>
      <c r="E1106" s="103" t="s">
        <v>580</v>
      </c>
      <c r="F1106" s="103" t="s">
        <v>581</v>
      </c>
      <c r="G1106" s="103" t="s">
        <v>582</v>
      </c>
      <c r="H1106" s="103" t="s">
        <v>583</v>
      </c>
    </row>
    <row r="1107" spans="1:8" ht="25.5">
      <c r="A1107" s="106"/>
      <c r="B1107" s="130" t="s">
        <v>1362</v>
      </c>
      <c r="C1107" s="229" t="s">
        <v>1363</v>
      </c>
      <c r="D1107" s="130" t="s">
        <v>119</v>
      </c>
      <c r="E1107" s="130" t="s">
        <v>1304</v>
      </c>
      <c r="F1107" s="230">
        <v>6.1034000000000001E-3</v>
      </c>
      <c r="G1107" s="340">
        <v>88.78</v>
      </c>
      <c r="H1107" s="160">
        <f t="shared" ref="H1107:H1108" si="25">ROUND(ROUND(F1107,8)*G1107,2)</f>
        <v>0.54</v>
      </c>
    </row>
    <row r="1108" spans="1:8" ht="25.5">
      <c r="A1108" s="106"/>
      <c r="B1108" s="130" t="s">
        <v>1364</v>
      </c>
      <c r="C1108" s="229" t="s">
        <v>1365</v>
      </c>
      <c r="D1108" s="130" t="s">
        <v>119</v>
      </c>
      <c r="E1108" s="130" t="s">
        <v>1307</v>
      </c>
      <c r="F1108" s="230">
        <v>2.5225999999999998E-3</v>
      </c>
      <c r="G1108" s="340">
        <v>259.54000000000002</v>
      </c>
      <c r="H1108" s="160">
        <f t="shared" si="25"/>
        <v>0.65</v>
      </c>
    </row>
    <row r="1109" spans="1:8">
      <c r="A1109" s="106"/>
      <c r="B1109" s="105"/>
      <c r="C1109" s="105"/>
      <c r="D1109" s="105"/>
      <c r="E1109" s="105"/>
      <c r="F1109" s="629" t="s">
        <v>1308</v>
      </c>
      <c r="G1109" s="629"/>
      <c r="H1109" s="341">
        <f>H1108+H1107</f>
        <v>1.19</v>
      </c>
    </row>
    <row r="1110" spans="1:8">
      <c r="A1110" s="106"/>
      <c r="B1110" s="628" t="s">
        <v>593</v>
      </c>
      <c r="C1110" s="628"/>
      <c r="D1110" s="103" t="s">
        <v>579</v>
      </c>
      <c r="E1110" s="103" t="s">
        <v>580</v>
      </c>
      <c r="F1110" s="103" t="s">
        <v>581</v>
      </c>
      <c r="G1110" s="103" t="s">
        <v>582</v>
      </c>
      <c r="H1110" s="103" t="s">
        <v>583</v>
      </c>
    </row>
    <row r="1111" spans="1:8">
      <c r="A1111" s="106"/>
      <c r="B1111" s="239" t="s">
        <v>3708</v>
      </c>
      <c r="C1111" s="229" t="s">
        <v>3709</v>
      </c>
      <c r="D1111" s="130" t="s">
        <v>119</v>
      </c>
      <c r="E1111" s="130" t="s">
        <v>167</v>
      </c>
      <c r="F1111" s="230">
        <v>1</v>
      </c>
      <c r="G1111" s="413">
        <v>37.35</v>
      </c>
      <c r="H1111" s="160">
        <f t="shared" ref="H1111" si="26">ROUND(ROUND(F1111,8)*G1111,2)</f>
        <v>37.35</v>
      </c>
    </row>
    <row r="1112" spans="1:8">
      <c r="A1112" s="106"/>
      <c r="B1112" s="105"/>
      <c r="C1112" s="105"/>
      <c r="D1112" s="105"/>
      <c r="E1112" s="105"/>
      <c r="F1112" s="630" t="s">
        <v>604</v>
      </c>
      <c r="G1112" s="630"/>
      <c r="H1112" s="414">
        <f>H1111</f>
        <v>37.35</v>
      </c>
    </row>
    <row r="1113" spans="1:8" ht="12.75" customHeight="1">
      <c r="A1113" s="106"/>
      <c r="B1113" s="628" t="s">
        <v>586</v>
      </c>
      <c r="C1113" s="628"/>
      <c r="D1113" s="103" t="s">
        <v>579</v>
      </c>
      <c r="E1113" s="103" t="s">
        <v>580</v>
      </c>
      <c r="F1113" s="103" t="s">
        <v>581</v>
      </c>
      <c r="G1113" s="103" t="s">
        <v>582</v>
      </c>
      <c r="H1113" s="103" t="s">
        <v>583</v>
      </c>
    </row>
    <row r="1114" spans="1:8" ht="25.5">
      <c r="A1114" s="106"/>
      <c r="B1114" s="159">
        <v>95876</v>
      </c>
      <c r="C1114" s="221" t="s">
        <v>3702</v>
      </c>
      <c r="D1114" s="159" t="s">
        <v>119</v>
      </c>
      <c r="E1114" s="159" t="s">
        <v>185</v>
      </c>
      <c r="F1114" s="174">
        <v>39</v>
      </c>
      <c r="G1114" s="160">
        <v>2.19</v>
      </c>
      <c r="H1114" s="160">
        <f t="shared" ref="H1114:H1116" si="27">ROUND(ROUND(F1114,8)*G1114,2)</f>
        <v>85.41</v>
      </c>
    </row>
    <row r="1115" spans="1:8" ht="25.5">
      <c r="A1115" s="106"/>
      <c r="B1115" s="159">
        <v>93593</v>
      </c>
      <c r="C1115" s="221" t="s">
        <v>3703</v>
      </c>
      <c r="D1115" s="159" t="s">
        <v>119</v>
      </c>
      <c r="E1115" s="159" t="s">
        <v>185</v>
      </c>
      <c r="F1115" s="174">
        <v>26</v>
      </c>
      <c r="G1115" s="160">
        <v>0.89</v>
      </c>
      <c r="H1115" s="160">
        <f t="shared" si="27"/>
        <v>23.14</v>
      </c>
    </row>
    <row r="1116" spans="1:8" ht="25.5">
      <c r="A1116" s="106"/>
      <c r="B1116" s="159">
        <v>100975</v>
      </c>
      <c r="C1116" s="221" t="s">
        <v>3704</v>
      </c>
      <c r="D1116" s="159" t="s">
        <v>119</v>
      </c>
      <c r="E1116" s="159" t="s">
        <v>167</v>
      </c>
      <c r="F1116" s="174">
        <v>1</v>
      </c>
      <c r="G1116" s="160">
        <v>8.61</v>
      </c>
      <c r="H1116" s="160">
        <f t="shared" si="27"/>
        <v>8.61</v>
      </c>
    </row>
    <row r="1117" spans="1:8" ht="12.75" customHeight="1">
      <c r="A1117" s="106"/>
      <c r="B1117" s="105"/>
      <c r="C1117" s="105"/>
      <c r="D1117" s="105"/>
      <c r="E1117" s="105"/>
      <c r="F1117" s="629" t="s">
        <v>587</v>
      </c>
      <c r="G1117" s="629"/>
      <c r="H1117" s="414">
        <f>SUM(H1114:H1116)</f>
        <v>117.16</v>
      </c>
    </row>
    <row r="1118" spans="1:8" ht="12.75" customHeight="1">
      <c r="A1118" s="106"/>
      <c r="B1118" s="628" t="s">
        <v>607</v>
      </c>
      <c r="C1118" s="628"/>
      <c r="D1118" s="103" t="s">
        <v>579</v>
      </c>
      <c r="E1118" s="103" t="s">
        <v>580</v>
      </c>
      <c r="F1118" s="103" t="s">
        <v>581</v>
      </c>
      <c r="G1118" s="103" t="s">
        <v>582</v>
      </c>
      <c r="H1118" s="103" t="s">
        <v>583</v>
      </c>
    </row>
    <row r="1119" spans="1:8" ht="12.75" customHeight="1">
      <c r="A1119" s="106"/>
      <c r="B1119" s="130" t="s">
        <v>625</v>
      </c>
      <c r="C1119" s="229" t="s">
        <v>626</v>
      </c>
      <c r="D1119" s="130" t="s">
        <v>119</v>
      </c>
      <c r="E1119" s="130" t="s">
        <v>121</v>
      </c>
      <c r="F1119" s="230">
        <v>8.626E-3</v>
      </c>
      <c r="G1119" s="413">
        <v>23.75</v>
      </c>
      <c r="H1119" s="160">
        <f t="shared" ref="H1119" si="28">ROUND(ROUND(F1119,8)*G1119,2)</f>
        <v>0.2</v>
      </c>
    </row>
    <row r="1120" spans="1:8" ht="12.75" customHeight="1">
      <c r="A1120" s="106"/>
      <c r="B1120" s="105"/>
      <c r="C1120" s="105"/>
      <c r="D1120" s="105"/>
      <c r="E1120" s="105"/>
      <c r="F1120" s="629" t="s">
        <v>610</v>
      </c>
      <c r="G1120" s="629"/>
      <c r="H1120" s="414">
        <f>H1119</f>
        <v>0.2</v>
      </c>
    </row>
    <row r="1121" spans="1:10">
      <c r="A1121" s="106"/>
      <c r="B1121" s="105"/>
      <c r="C1121" s="105"/>
      <c r="D1121" s="105"/>
      <c r="E1121" s="105"/>
      <c r="F1121" s="630" t="s">
        <v>464</v>
      </c>
      <c r="G1121" s="630"/>
      <c r="H1121" s="102">
        <f>H1120+H1117+H1112+H1109</f>
        <v>155.9</v>
      </c>
    </row>
    <row r="1122" spans="1:10">
      <c r="A1122" s="106"/>
      <c r="B1122" s="105"/>
      <c r="C1122" s="105"/>
      <c r="D1122" s="105"/>
      <c r="E1122" s="105"/>
      <c r="F1122" s="634"/>
      <c r="G1122" s="634"/>
      <c r="H1122" s="634"/>
    </row>
    <row r="1123" spans="1:10" s="410" customFormat="1" ht="27.75" customHeight="1">
      <c r="B1123" s="416"/>
      <c r="C1123" s="416"/>
      <c r="D1123" s="416"/>
      <c r="E1123" s="661" t="s">
        <v>3707</v>
      </c>
      <c r="F1123" s="661"/>
      <c r="G1123" s="412">
        <v>1</v>
      </c>
      <c r="H1123" s="409"/>
    </row>
    <row r="1124" spans="1:10" ht="15" customHeight="1">
      <c r="A1124" s="106"/>
      <c r="B1124" s="105"/>
      <c r="C1124" s="105"/>
      <c r="D1124" s="105"/>
      <c r="E1124" s="661" t="s">
        <v>3705</v>
      </c>
      <c r="F1124" s="661"/>
      <c r="G1124" s="415">
        <v>0.3</v>
      </c>
      <c r="H1124" s="411"/>
    </row>
    <row r="1125" spans="1:10" ht="15" customHeight="1">
      <c r="A1125" s="106"/>
      <c r="B1125" s="105"/>
      <c r="C1125" s="105"/>
      <c r="D1125" s="105"/>
      <c r="E1125" s="661" t="s">
        <v>3706</v>
      </c>
      <c r="F1125" s="661"/>
      <c r="G1125" s="412">
        <v>50</v>
      </c>
      <c r="H1125" s="411"/>
    </row>
    <row r="1126" spans="1:10">
      <c r="A1126" s="106"/>
      <c r="B1126" s="105"/>
      <c r="C1126" s="105"/>
      <c r="D1126" s="105"/>
      <c r="E1126" s="105"/>
      <c r="F1126" s="411"/>
      <c r="G1126" s="411"/>
      <c r="H1126" s="411"/>
    </row>
    <row r="1127" spans="1:10">
      <c r="A1127" s="246" t="str">
        <f>'3 - PLAN. ORÇAMENTÁRIA'!A212</f>
        <v>4.1.5.1.1.5</v>
      </c>
      <c r="B1127" s="242" t="str">
        <f>'3 - PLAN. ORÇAMENTÁRIA'!B212</f>
        <v>CCU 164</v>
      </c>
      <c r="C1127" s="631" t="str">
        <f>'3 - PLAN. ORÇAMENTÁRIA'!C212</f>
        <v>IMPERMEABILIZAÇÃO DE SUPERFÍCIE COM ARGAMASSA POLIMÉRICA / MEMBRANA ACRÍLICA, 3 DEMÃOS. AF_09/2023 REF. 98555/SINAPI</v>
      </c>
      <c r="D1127" s="632"/>
      <c r="E1127" s="632"/>
      <c r="F1127" s="632"/>
      <c r="G1127" s="633"/>
      <c r="H1127" s="370" t="str">
        <f>'3 - PLAN. ORÇAMENTÁRIA'!E212</f>
        <v>M2</v>
      </c>
      <c r="J1127" s="220" t="str">
        <f>B1138</f>
        <v>Obs: Foi adotado o item 98555 do SINAPI como base por similaridade ao que pede em projeto e adicionado o material 00004030 do SINAPI</v>
      </c>
    </row>
    <row r="1128" spans="1:10">
      <c r="A1128" s="106"/>
      <c r="B1128" s="628" t="s">
        <v>593</v>
      </c>
      <c r="C1128" s="628"/>
      <c r="D1128" s="103" t="s">
        <v>579</v>
      </c>
      <c r="E1128" s="103" t="s">
        <v>580</v>
      </c>
      <c r="F1128" s="103" t="s">
        <v>581</v>
      </c>
      <c r="G1128" s="103" t="s">
        <v>582</v>
      </c>
      <c r="H1128" s="103" t="s">
        <v>583</v>
      </c>
    </row>
    <row r="1129" spans="1:10">
      <c r="A1129" s="106"/>
      <c r="B1129" s="130" t="s">
        <v>1525</v>
      </c>
      <c r="C1129" s="229" t="s">
        <v>1526</v>
      </c>
      <c r="D1129" s="130" t="s">
        <v>119</v>
      </c>
      <c r="E1129" s="130" t="s">
        <v>200</v>
      </c>
      <c r="F1129" s="230">
        <v>3.4615</v>
      </c>
      <c r="G1129" s="367">
        <v>3.41</v>
      </c>
      <c r="H1129" s="160">
        <f t="shared" ref="H1129:H1130" si="29">ROUND(ROUND(F1129,8)*G1129,2)</f>
        <v>11.8</v>
      </c>
    </row>
    <row r="1130" spans="1:10">
      <c r="A1130" s="106"/>
      <c r="B1130" s="173" t="s">
        <v>1063</v>
      </c>
      <c r="C1130" s="221" t="s">
        <v>1064</v>
      </c>
      <c r="D1130" s="159" t="s">
        <v>119</v>
      </c>
      <c r="E1130" s="159" t="s">
        <v>139</v>
      </c>
      <c r="F1130" s="230">
        <v>1</v>
      </c>
      <c r="G1130" s="367">
        <v>6.77</v>
      </c>
      <c r="H1130" s="160">
        <f t="shared" si="29"/>
        <v>6.77</v>
      </c>
    </row>
    <row r="1131" spans="1:10">
      <c r="A1131" s="106"/>
      <c r="B1131" s="105"/>
      <c r="C1131" s="105"/>
      <c r="D1131" s="105"/>
      <c r="E1131" s="105"/>
      <c r="F1131" s="629" t="s">
        <v>604</v>
      </c>
      <c r="G1131" s="629"/>
      <c r="H1131" s="369">
        <f>H1129+H1130</f>
        <v>18.57</v>
      </c>
    </row>
    <row r="1132" spans="1:10">
      <c r="A1132" s="106"/>
      <c r="B1132" s="628" t="s">
        <v>607</v>
      </c>
      <c r="C1132" s="628"/>
      <c r="D1132" s="103" t="s">
        <v>579</v>
      </c>
      <c r="E1132" s="103" t="s">
        <v>580</v>
      </c>
      <c r="F1132" s="103" t="s">
        <v>581</v>
      </c>
      <c r="G1132" s="103" t="s">
        <v>582</v>
      </c>
      <c r="H1132" s="103" t="s">
        <v>583</v>
      </c>
    </row>
    <row r="1133" spans="1:10">
      <c r="A1133" s="106"/>
      <c r="B1133" s="130" t="s">
        <v>1408</v>
      </c>
      <c r="C1133" s="229" t="s">
        <v>1409</v>
      </c>
      <c r="D1133" s="130" t="s">
        <v>119</v>
      </c>
      <c r="E1133" s="130" t="s">
        <v>121</v>
      </c>
      <c r="F1133" s="230">
        <v>0.13619999999999999</v>
      </c>
      <c r="G1133" s="367">
        <v>24.4</v>
      </c>
      <c r="H1133" s="160">
        <f t="shared" ref="H1133:H1134" si="30">ROUND(ROUND(F1133,8)*G1133,2)</f>
        <v>3.32</v>
      </c>
    </row>
    <row r="1134" spans="1:10">
      <c r="A1134" s="106"/>
      <c r="B1134" s="130" t="s">
        <v>1410</v>
      </c>
      <c r="C1134" s="229" t="s">
        <v>1411</v>
      </c>
      <c r="D1134" s="130" t="s">
        <v>119</v>
      </c>
      <c r="E1134" s="130" t="s">
        <v>121</v>
      </c>
      <c r="F1134" s="230">
        <v>0.60389999999999999</v>
      </c>
      <c r="G1134" s="367">
        <v>31.34</v>
      </c>
      <c r="H1134" s="160">
        <f t="shared" si="30"/>
        <v>18.93</v>
      </c>
    </row>
    <row r="1135" spans="1:10">
      <c r="A1135" s="106"/>
      <c r="B1135" s="105"/>
      <c r="C1135" s="105"/>
      <c r="D1135" s="105"/>
      <c r="E1135" s="105"/>
      <c r="F1135" s="629" t="s">
        <v>610</v>
      </c>
      <c r="G1135" s="629"/>
      <c r="H1135" s="369">
        <f>H1133+H1134</f>
        <v>22.25</v>
      </c>
    </row>
    <row r="1136" spans="1:10">
      <c r="A1136" s="106"/>
      <c r="B1136" s="105"/>
      <c r="C1136" s="105"/>
      <c r="D1136" s="105"/>
      <c r="E1136" s="105"/>
      <c r="F1136" s="630" t="s">
        <v>464</v>
      </c>
      <c r="G1136" s="630"/>
      <c r="H1136" s="102">
        <f>H1135+H1131</f>
        <v>40.82</v>
      </c>
    </row>
    <row r="1137" spans="1:8">
      <c r="B1137" s="245"/>
      <c r="C1137" s="222"/>
      <c r="D1137" s="222"/>
      <c r="E1137" s="222"/>
      <c r="F1137" s="368"/>
      <c r="G1137" s="368"/>
      <c r="H1137" s="371"/>
    </row>
    <row r="1138" spans="1:8">
      <c r="B1138" s="245" t="s">
        <v>3508</v>
      </c>
      <c r="C1138" s="222"/>
      <c r="D1138" s="222"/>
      <c r="E1138" s="222"/>
      <c r="F1138" s="368"/>
      <c r="G1138" s="368"/>
      <c r="H1138" s="371"/>
    </row>
    <row r="1139" spans="1:8">
      <c r="B1139" s="222"/>
      <c r="C1139" s="222"/>
      <c r="D1139" s="222"/>
      <c r="E1139" s="222"/>
      <c r="F1139" s="368"/>
      <c r="G1139" s="368"/>
      <c r="H1139" s="371"/>
    </row>
    <row r="1140" spans="1:8">
      <c r="A1140" s="246" t="str">
        <f>'3 - PLAN. ORÇAMENTÁRIA'!A188</f>
        <v>4.1.2.1.15</v>
      </c>
      <c r="B1140" s="178" t="str">
        <f>'3 - PLAN. ORÇAMENTÁRIA'!B188</f>
        <v>CCU 177</v>
      </c>
      <c r="C1140" s="631" t="str">
        <f>'3 - PLAN. ORÇAMENTÁRIA'!C188</f>
        <v>VIDRO LISO LAMINADO REFLETIVO DE 8 MM REF. 102176/SINAPI</v>
      </c>
      <c r="D1140" s="632"/>
      <c r="E1140" s="632"/>
      <c r="F1140" s="632"/>
      <c r="G1140" s="633"/>
      <c r="H1140" s="400" t="str">
        <f>'3 - PLAN. ORÇAMENTÁRIA'!E188</f>
        <v>M2</v>
      </c>
    </row>
    <row r="1141" spans="1:8">
      <c r="B1141" s="628" t="s">
        <v>593</v>
      </c>
      <c r="C1141" s="628"/>
      <c r="D1141" s="103" t="s">
        <v>579</v>
      </c>
      <c r="E1141" s="103" t="s">
        <v>580</v>
      </c>
      <c r="F1141" s="103" t="s">
        <v>581</v>
      </c>
      <c r="G1141" s="103" t="s">
        <v>582</v>
      </c>
      <c r="H1141" s="103" t="s">
        <v>583</v>
      </c>
    </row>
    <row r="1142" spans="1:8">
      <c r="B1142" s="173" t="s">
        <v>2077</v>
      </c>
      <c r="C1142" s="221" t="str">
        <f>'[15]6 - COTAÇÃO MERCADO'!C76</f>
        <v>CHAPAS VIDRO LAMINADO REFLETIVO 8MM (4+4) - MATERIAL</v>
      </c>
      <c r="D1142" s="159" t="s">
        <v>3280</v>
      </c>
      <c r="E1142" s="159" t="str">
        <f>'[15]6 - COTAÇÃO MERCADO'!E76</f>
        <v>M2</v>
      </c>
      <c r="F1142" s="174">
        <v>1</v>
      </c>
      <c r="G1142" s="160">
        <f>'6 - COTAÇÃO MERCADO'!D76</f>
        <v>299</v>
      </c>
      <c r="H1142" s="160">
        <f>ROUND(ROUND(F1142,8)*G1142,2)</f>
        <v>299</v>
      </c>
    </row>
    <row r="1143" spans="1:8">
      <c r="B1143" s="173" t="s">
        <v>2560</v>
      </c>
      <c r="C1143" s="221" t="s">
        <v>1483</v>
      </c>
      <c r="D1143" s="159" t="s">
        <v>119</v>
      </c>
      <c r="E1143" s="159" t="s">
        <v>2993</v>
      </c>
      <c r="F1143" s="174">
        <v>2.992</v>
      </c>
      <c r="G1143" s="160">
        <v>2.42</v>
      </c>
      <c r="H1143" s="160">
        <f>ROUND(ROUND(F1143,8)*G1143,2)</f>
        <v>7.24</v>
      </c>
    </row>
    <row r="1144" spans="1:8">
      <c r="B1144" s="173" t="s">
        <v>1556</v>
      </c>
      <c r="C1144" s="221" t="s">
        <v>1557</v>
      </c>
      <c r="D1144" s="159" t="s">
        <v>119</v>
      </c>
      <c r="E1144" s="159" t="s">
        <v>173</v>
      </c>
      <c r="F1144" s="174">
        <v>3.4159999999999999</v>
      </c>
      <c r="G1144" s="160">
        <v>13.3</v>
      </c>
      <c r="H1144" s="160">
        <f>ROUND(ROUND(F1144,8)*G1144,2)</f>
        <v>45.43</v>
      </c>
    </row>
    <row r="1145" spans="1:8">
      <c r="B1145" s="173" t="s">
        <v>2141</v>
      </c>
      <c r="C1145" s="221" t="s">
        <v>2142</v>
      </c>
      <c r="D1145" s="159" t="s">
        <v>592</v>
      </c>
      <c r="E1145" s="159" t="s">
        <v>1048</v>
      </c>
      <c r="F1145" s="174">
        <v>0.26500000000000001</v>
      </c>
      <c r="G1145" s="160">
        <v>22.72</v>
      </c>
      <c r="H1145" s="160">
        <f>ROUND(ROUND(F1145,8)*G1145,2)</f>
        <v>6.02</v>
      </c>
    </row>
    <row r="1146" spans="1:8">
      <c r="F1146" s="630" t="s">
        <v>604</v>
      </c>
      <c r="G1146" s="630"/>
      <c r="H1146" s="102">
        <f>SUM(H1142:H1145)</f>
        <v>357.69</v>
      </c>
    </row>
    <row r="1147" spans="1:8">
      <c r="B1147" s="628" t="s">
        <v>607</v>
      </c>
      <c r="C1147" s="628"/>
      <c r="D1147" s="103" t="s">
        <v>579</v>
      </c>
      <c r="E1147" s="103" t="s">
        <v>580</v>
      </c>
      <c r="F1147" s="103" t="s">
        <v>581</v>
      </c>
      <c r="G1147" s="103" t="s">
        <v>582</v>
      </c>
      <c r="H1147" s="103" t="s">
        <v>583</v>
      </c>
    </row>
    <row r="1148" spans="1:8">
      <c r="B1148" s="159">
        <v>88316</v>
      </c>
      <c r="C1148" s="221" t="s">
        <v>626</v>
      </c>
      <c r="D1148" s="159" t="s">
        <v>119</v>
      </c>
      <c r="E1148" s="159" t="s">
        <v>121</v>
      </c>
      <c r="F1148" s="174">
        <v>1.619</v>
      </c>
      <c r="G1148" s="160">
        <v>23.75</v>
      </c>
      <c r="H1148" s="160">
        <f>ROUND(ROUND(F1148,8)*G1148,2)</f>
        <v>38.450000000000003</v>
      </c>
    </row>
    <row r="1149" spans="1:8">
      <c r="B1149" s="159">
        <v>88325</v>
      </c>
      <c r="C1149" s="221" t="s">
        <v>656</v>
      </c>
      <c r="D1149" s="159" t="s">
        <v>119</v>
      </c>
      <c r="E1149" s="159" t="s">
        <v>121</v>
      </c>
      <c r="F1149" s="174">
        <v>1.6659999999999999</v>
      </c>
      <c r="G1149" s="160">
        <v>28.95</v>
      </c>
      <c r="H1149" s="160">
        <f>ROUND(ROUND(F1149,8)*G1149,2)</f>
        <v>48.23</v>
      </c>
    </row>
    <row r="1150" spans="1:8">
      <c r="B1150" s="222"/>
      <c r="C1150" s="222"/>
      <c r="D1150" s="222"/>
      <c r="E1150" s="222"/>
      <c r="F1150" s="630" t="s">
        <v>585</v>
      </c>
      <c r="G1150" s="630"/>
      <c r="H1150" s="102">
        <f>H1148+H1149</f>
        <v>86.68</v>
      </c>
    </row>
    <row r="1151" spans="1:8">
      <c r="B1151" s="222"/>
      <c r="C1151" s="222"/>
      <c r="D1151" s="222"/>
      <c r="E1151" s="222"/>
      <c r="F1151" s="630" t="s">
        <v>464</v>
      </c>
      <c r="G1151" s="630"/>
      <c r="H1151" s="102">
        <f>H1150+H1146</f>
        <v>444.37</v>
      </c>
    </row>
    <row r="1152" spans="1:8">
      <c r="B1152" s="245"/>
      <c r="C1152" s="222"/>
      <c r="D1152" s="222"/>
      <c r="E1152" s="222"/>
      <c r="F1152" s="398"/>
      <c r="G1152" s="398"/>
      <c r="H1152" s="401"/>
    </row>
    <row r="1153" spans="1:10">
      <c r="A1153" s="246" t="str">
        <f>'3 - PLAN. ORÇAMENTÁRIA'!A200</f>
        <v>4.1.4.2</v>
      </c>
      <c r="B1153" s="242" t="str">
        <f>'3 - PLAN. ORÇAMENTÁRIA'!B200</f>
        <v>CCU 178</v>
      </c>
      <c r="C1153" s="631" t="str">
        <f>'3 - PLAN. ORÇAMENTÁRIA'!C200</f>
        <v>CUMEEIRA NORMAL PARA TELHA TRAPEZOIDAL GALVANIZADA, LARGURA 0,43 M, INCLUSO ACESSÓRIOS DE FIXAÇÃO E IÇAMENTO. AF_07/2019 REF. 100326/SINAPI</v>
      </c>
      <c r="D1153" s="632"/>
      <c r="E1153" s="632"/>
      <c r="F1153" s="632"/>
      <c r="G1153" s="633"/>
      <c r="H1153" s="400" t="str">
        <f>'3 - PLAN. ORÇAMENTÁRIA'!E200</f>
        <v>M</v>
      </c>
    </row>
    <row r="1154" spans="1:10">
      <c r="A1154" s="106"/>
      <c r="B1154" s="628" t="s">
        <v>1301</v>
      </c>
      <c r="C1154" s="628"/>
      <c r="D1154" s="103" t="s">
        <v>579</v>
      </c>
      <c r="E1154" s="103" t="s">
        <v>580</v>
      </c>
      <c r="F1154" s="103" t="s">
        <v>581</v>
      </c>
      <c r="G1154" s="103" t="s">
        <v>582</v>
      </c>
      <c r="H1154" s="103" t="s">
        <v>583</v>
      </c>
    </row>
    <row r="1155" spans="1:10">
      <c r="A1155" s="106"/>
      <c r="B1155" s="130">
        <v>93282</v>
      </c>
      <c r="C1155" s="229" t="s">
        <v>1506</v>
      </c>
      <c r="D1155" s="130" t="s">
        <v>119</v>
      </c>
      <c r="E1155" s="130" t="s">
        <v>1304</v>
      </c>
      <c r="F1155" s="230">
        <v>2.7000000000000001E-3</v>
      </c>
      <c r="G1155" s="397">
        <v>26.48</v>
      </c>
      <c r="H1155" s="160">
        <f t="shared" ref="H1155:H1156" si="31">ROUND(ROUND(F1155,8)*G1155,2)</f>
        <v>7.0000000000000007E-2</v>
      </c>
    </row>
    <row r="1156" spans="1:10">
      <c r="A1156" s="106"/>
      <c r="B1156" s="130">
        <v>93281</v>
      </c>
      <c r="C1156" s="229" t="s">
        <v>1508</v>
      </c>
      <c r="D1156" s="130" t="s">
        <v>119</v>
      </c>
      <c r="E1156" s="130" t="s">
        <v>1307</v>
      </c>
      <c r="F1156" s="230">
        <v>2E-3</v>
      </c>
      <c r="G1156" s="397">
        <v>27.3</v>
      </c>
      <c r="H1156" s="160">
        <f t="shared" si="31"/>
        <v>0.05</v>
      </c>
    </row>
    <row r="1157" spans="1:10">
      <c r="A1157" s="106"/>
      <c r="B1157" s="105"/>
      <c r="C1157" s="105"/>
      <c r="D1157" s="105"/>
      <c r="E1157" s="105"/>
      <c r="F1157" s="629" t="s">
        <v>1308</v>
      </c>
      <c r="G1157" s="629"/>
      <c r="H1157" s="399">
        <f>H1156+H1155</f>
        <v>0.12000000000000001</v>
      </c>
    </row>
    <row r="1158" spans="1:10">
      <c r="A1158" s="106"/>
      <c r="B1158" s="628" t="s">
        <v>593</v>
      </c>
      <c r="C1158" s="628"/>
      <c r="D1158" s="103" t="s">
        <v>579</v>
      </c>
      <c r="E1158" s="103" t="s">
        <v>580</v>
      </c>
      <c r="F1158" s="103" t="s">
        <v>581</v>
      </c>
      <c r="G1158" s="103" t="s">
        <v>582</v>
      </c>
      <c r="H1158" s="103" t="s">
        <v>583</v>
      </c>
    </row>
    <row r="1159" spans="1:10">
      <c r="A1159" s="106"/>
      <c r="B1159" s="239" t="s">
        <v>3656</v>
      </c>
      <c r="C1159" s="229" t="s">
        <v>3249</v>
      </c>
      <c r="D1159" s="130" t="s">
        <v>3344</v>
      </c>
      <c r="E1159" s="130" t="s">
        <v>173</v>
      </c>
      <c r="F1159" s="230">
        <v>1.08</v>
      </c>
      <c r="G1159" s="397">
        <v>36.07</v>
      </c>
      <c r="H1159" s="160">
        <f t="shared" ref="H1159:H1160" si="32">ROUND(ROUND(F1159,8)*G1159,2)</f>
        <v>38.96</v>
      </c>
    </row>
    <row r="1160" spans="1:10" ht="25.5">
      <c r="A1160" s="106"/>
      <c r="B1160" s="239" t="s">
        <v>3657</v>
      </c>
      <c r="C1160" s="229" t="s">
        <v>4016</v>
      </c>
      <c r="D1160" s="130" t="s">
        <v>119</v>
      </c>
      <c r="E1160" s="130" t="s">
        <v>315</v>
      </c>
      <c r="F1160" s="230">
        <v>6.36</v>
      </c>
      <c r="G1160" s="397">
        <v>1.99</v>
      </c>
      <c r="H1160" s="160">
        <f t="shared" si="32"/>
        <v>12.66</v>
      </c>
    </row>
    <row r="1161" spans="1:10">
      <c r="A1161" s="106"/>
      <c r="B1161" s="105"/>
      <c r="C1161" s="105"/>
      <c r="D1161" s="105"/>
      <c r="E1161" s="105"/>
      <c r="F1161" s="629" t="s">
        <v>587</v>
      </c>
      <c r="G1161" s="629"/>
      <c r="H1161" s="399">
        <f>H1159+H1160</f>
        <v>51.620000000000005</v>
      </c>
    </row>
    <row r="1162" spans="1:10">
      <c r="B1162" s="628" t="s">
        <v>607</v>
      </c>
      <c r="C1162" s="628"/>
      <c r="D1162" s="103" t="s">
        <v>579</v>
      </c>
      <c r="E1162" s="103" t="s">
        <v>580</v>
      </c>
      <c r="F1162" s="103" t="s">
        <v>581</v>
      </c>
      <c r="G1162" s="103" t="s">
        <v>582</v>
      </c>
      <c r="H1162" s="103" t="s">
        <v>583</v>
      </c>
    </row>
    <row r="1163" spans="1:10">
      <c r="B1163" s="159">
        <v>88316</v>
      </c>
      <c r="C1163" s="221" t="s">
        <v>626</v>
      </c>
      <c r="D1163" s="159" t="s">
        <v>119</v>
      </c>
      <c r="E1163" s="159" t="s">
        <v>121</v>
      </c>
      <c r="F1163" s="174">
        <v>9.2999999999999999E-2</v>
      </c>
      <c r="G1163" s="160">
        <v>23.75</v>
      </c>
      <c r="H1163" s="160">
        <f>ROUND(ROUND(F1163,8)*G1163,2)</f>
        <v>2.21</v>
      </c>
    </row>
    <row r="1164" spans="1:10">
      <c r="B1164" s="159">
        <v>88323</v>
      </c>
      <c r="C1164" s="221" t="s">
        <v>1516</v>
      </c>
      <c r="D1164" s="159" t="s">
        <v>119</v>
      </c>
      <c r="E1164" s="159" t="s">
        <v>121</v>
      </c>
      <c r="F1164" s="174">
        <v>7.9000000000000001E-2</v>
      </c>
      <c r="G1164" s="160">
        <v>30.62</v>
      </c>
      <c r="H1164" s="160">
        <f>ROUND(ROUND(F1164,8)*G1164,2)</f>
        <v>2.42</v>
      </c>
    </row>
    <row r="1165" spans="1:10">
      <c r="B1165" s="222"/>
      <c r="C1165" s="222"/>
      <c r="D1165" s="222"/>
      <c r="E1165" s="222"/>
      <c r="F1165" s="630" t="s">
        <v>585</v>
      </c>
      <c r="G1165" s="630"/>
      <c r="H1165" s="102">
        <f>H1163+H1164</f>
        <v>4.63</v>
      </c>
    </row>
    <row r="1166" spans="1:10">
      <c r="B1166" s="222"/>
      <c r="C1166" s="222"/>
      <c r="D1166" s="222"/>
      <c r="E1166" s="222"/>
      <c r="F1166" s="630" t="s">
        <v>464</v>
      </c>
      <c r="G1166" s="630"/>
      <c r="H1166" s="102">
        <f>H1165+H1161+H1157</f>
        <v>56.370000000000005</v>
      </c>
    </row>
    <row r="1167" spans="1:10">
      <c r="B1167" s="222"/>
      <c r="C1167" s="222"/>
      <c r="D1167" s="222"/>
      <c r="E1167" s="222"/>
      <c r="F1167" s="398"/>
      <c r="G1167" s="398"/>
      <c r="H1167" s="401"/>
    </row>
    <row r="1168" spans="1:10" ht="26.25" customHeight="1">
      <c r="A1168" s="178" t="str">
        <f>'3 - PLAN. ORÇAMENTÁRIA'!A97</f>
        <v>3.3.1</v>
      </c>
      <c r="B1168" s="178" t="str">
        <f>'3 - PLAN. ORÇAMENTÁRIA'!B97</f>
        <v>CCU 012</v>
      </c>
      <c r="C1168" s="631" t="str">
        <f>'3 - PLAN. ORÇAMENTÁRIA'!C97</f>
        <v>PILAR METÁLICO PERFIL LAMINADO OU SOLDADO EM AÇO ESTRUTURAL, COM CONEXÕES SOLDADAS, INCLUSOS MÃO DE OBRA, TRANSPORTE E IÇAMENTO UTILIZANDO GUINDASTE - FORNECIMENTO E INSTALAÇÃO. AF_01/2020_PA REF. 100766/SINAPI</v>
      </c>
      <c r="D1168" s="632"/>
      <c r="E1168" s="632"/>
      <c r="F1168" s="632"/>
      <c r="G1168" s="633"/>
      <c r="H1168" s="419" t="str">
        <f>'3 - PLAN. ORÇAMENTÁRIA'!E97</f>
        <v>KG</v>
      </c>
      <c r="J1168" s="220" t="s">
        <v>3716</v>
      </c>
    </row>
    <row r="1169" spans="2:8">
      <c r="B1169" s="648" t="s">
        <v>1301</v>
      </c>
      <c r="C1169" s="648"/>
      <c r="D1169" s="231" t="s">
        <v>579</v>
      </c>
      <c r="E1169" s="231" t="s">
        <v>580</v>
      </c>
      <c r="F1169" s="231" t="s">
        <v>581</v>
      </c>
      <c r="G1169" s="231" t="s">
        <v>582</v>
      </c>
      <c r="H1169" s="231" t="s">
        <v>583</v>
      </c>
    </row>
    <row r="1170" spans="2:8" ht="25.5">
      <c r="B1170" s="356" t="s">
        <v>1790</v>
      </c>
      <c r="C1170" s="357" t="s">
        <v>1791</v>
      </c>
      <c r="D1170" s="356" t="s">
        <v>119</v>
      </c>
      <c r="E1170" s="356" t="s">
        <v>1304</v>
      </c>
      <c r="F1170" s="358">
        <v>1.4E-3</v>
      </c>
      <c r="G1170" s="359">
        <v>174.79</v>
      </c>
      <c r="H1170" s="160">
        <f t="shared" ref="H1170:H1171" si="33">ROUND(ROUND(F1170,8)*G1170,2)</f>
        <v>0.24</v>
      </c>
    </row>
    <row r="1171" spans="2:8" ht="25.5">
      <c r="B1171" s="356" t="s">
        <v>1792</v>
      </c>
      <c r="C1171" s="357" t="s">
        <v>1793</v>
      </c>
      <c r="D1171" s="356" t="s">
        <v>119</v>
      </c>
      <c r="E1171" s="356" t="s">
        <v>1307</v>
      </c>
      <c r="F1171" s="358">
        <v>1.5100000000000001E-3</v>
      </c>
      <c r="G1171" s="359">
        <v>343.98</v>
      </c>
      <c r="H1171" s="160">
        <f t="shared" si="33"/>
        <v>0.52</v>
      </c>
    </row>
    <row r="1172" spans="2:8">
      <c r="B1172" s="222"/>
      <c r="C1172" s="222"/>
      <c r="D1172" s="222"/>
      <c r="E1172" s="222"/>
      <c r="F1172" s="645" t="s">
        <v>1308</v>
      </c>
      <c r="G1172" s="645"/>
      <c r="H1172" s="158">
        <f>SUM(H1170:H1171)</f>
        <v>0.76</v>
      </c>
    </row>
    <row r="1173" spans="2:8">
      <c r="B1173" s="648" t="s">
        <v>593</v>
      </c>
      <c r="C1173" s="648"/>
      <c r="D1173" s="231" t="s">
        <v>579</v>
      </c>
      <c r="E1173" s="231" t="s">
        <v>580</v>
      </c>
      <c r="F1173" s="291" t="s">
        <v>581</v>
      </c>
      <c r="G1173" s="291" t="s">
        <v>582</v>
      </c>
      <c r="H1173" s="291" t="s">
        <v>583</v>
      </c>
    </row>
    <row r="1174" spans="2:8">
      <c r="B1174" s="356" t="s">
        <v>3717</v>
      </c>
      <c r="C1174" s="357" t="s">
        <v>3718</v>
      </c>
      <c r="D1174" s="356" t="s">
        <v>119</v>
      </c>
      <c r="E1174" s="356" t="s">
        <v>200</v>
      </c>
      <c r="F1174" s="358">
        <v>6.0005000000000003E-2</v>
      </c>
      <c r="G1174" s="359">
        <v>7.96</v>
      </c>
      <c r="H1174" s="160">
        <f t="shared" ref="H1174:H1176" si="34">ROUND(ROUND(F1174,8)*G1174,2)</f>
        <v>0.48</v>
      </c>
    </row>
    <row r="1175" spans="2:8">
      <c r="B1175" s="356" t="s">
        <v>3719</v>
      </c>
      <c r="C1175" s="357" t="s">
        <v>3025</v>
      </c>
      <c r="D1175" s="356" t="s">
        <v>119</v>
      </c>
      <c r="E1175" s="356" t="s">
        <v>200</v>
      </c>
      <c r="F1175" s="358">
        <v>1.6999999999999999E-3</v>
      </c>
      <c r="G1175" s="359">
        <v>44</v>
      </c>
      <c r="H1175" s="160">
        <f t="shared" si="34"/>
        <v>7.0000000000000007E-2</v>
      </c>
    </row>
    <row r="1176" spans="2:8">
      <c r="B1176" s="356" t="s">
        <v>3720</v>
      </c>
      <c r="C1176" s="357" t="s">
        <v>3721</v>
      </c>
      <c r="D1176" s="356" t="s">
        <v>3722</v>
      </c>
      <c r="E1176" s="356" t="s">
        <v>200</v>
      </c>
      <c r="F1176" s="358">
        <v>1.091</v>
      </c>
      <c r="G1176" s="359">
        <v>9.5399999999999991</v>
      </c>
      <c r="H1176" s="160">
        <f t="shared" si="34"/>
        <v>10.41</v>
      </c>
    </row>
    <row r="1177" spans="2:8">
      <c r="B1177" s="222"/>
      <c r="C1177" s="222"/>
      <c r="D1177" s="222"/>
      <c r="E1177" s="222"/>
      <c r="F1177" s="645" t="s">
        <v>604</v>
      </c>
      <c r="G1177" s="645"/>
      <c r="H1177" s="158">
        <f>SUM(H1174:H1176)</f>
        <v>10.96</v>
      </c>
    </row>
    <row r="1178" spans="2:8">
      <c r="B1178" s="648" t="s">
        <v>607</v>
      </c>
      <c r="C1178" s="648"/>
      <c r="D1178" s="231" t="s">
        <v>579</v>
      </c>
      <c r="E1178" s="231" t="s">
        <v>580</v>
      </c>
      <c r="F1178" s="291" t="s">
        <v>581</v>
      </c>
      <c r="G1178" s="291" t="s">
        <v>582</v>
      </c>
      <c r="H1178" s="291" t="s">
        <v>583</v>
      </c>
    </row>
    <row r="1179" spans="2:8">
      <c r="B1179" s="356" t="s">
        <v>3723</v>
      </c>
      <c r="C1179" s="357" t="s">
        <v>3724</v>
      </c>
      <c r="D1179" s="356" t="s">
        <v>119</v>
      </c>
      <c r="E1179" s="356" t="s">
        <v>121</v>
      </c>
      <c r="F1179" s="358">
        <v>1.2999999999999999E-3</v>
      </c>
      <c r="G1179" s="359">
        <v>23.38</v>
      </c>
      <c r="H1179" s="160">
        <f t="shared" ref="H1179:H1181" si="35">ROUND(ROUND(F1179,8)*G1179,2)</f>
        <v>0.03</v>
      </c>
    </row>
    <row r="1180" spans="2:8">
      <c r="B1180" s="356" t="s">
        <v>1329</v>
      </c>
      <c r="C1180" s="357" t="s">
        <v>1330</v>
      </c>
      <c r="D1180" s="356" t="s">
        <v>119</v>
      </c>
      <c r="E1180" s="356" t="s">
        <v>121</v>
      </c>
      <c r="F1180" s="358">
        <v>5.0000000000000001E-3</v>
      </c>
      <c r="G1180" s="359">
        <v>25.64</v>
      </c>
      <c r="H1180" s="160">
        <f t="shared" si="35"/>
        <v>0.13</v>
      </c>
    </row>
    <row r="1181" spans="2:8">
      <c r="B1181" s="356" t="s">
        <v>3725</v>
      </c>
      <c r="C1181" s="357" t="s">
        <v>2943</v>
      </c>
      <c r="D1181" s="356" t="s">
        <v>119</v>
      </c>
      <c r="E1181" s="356" t="s">
        <v>121</v>
      </c>
      <c r="F1181" s="358">
        <v>2.8299999999999999E-2</v>
      </c>
      <c r="G1181" s="359">
        <v>32.07</v>
      </c>
      <c r="H1181" s="160">
        <f t="shared" si="35"/>
        <v>0.91</v>
      </c>
    </row>
    <row r="1182" spans="2:8">
      <c r="B1182" s="222"/>
      <c r="C1182" s="222"/>
      <c r="D1182" s="222"/>
      <c r="E1182" s="222"/>
      <c r="F1182" s="645" t="s">
        <v>610</v>
      </c>
      <c r="G1182" s="645"/>
      <c r="H1182" s="158">
        <f>SUM(H1179:H1181)</f>
        <v>1.07</v>
      </c>
    </row>
    <row r="1183" spans="2:8">
      <c r="B1183" s="648" t="s">
        <v>586</v>
      </c>
      <c r="C1183" s="648"/>
      <c r="D1183" s="231" t="s">
        <v>579</v>
      </c>
      <c r="E1183" s="231" t="s">
        <v>580</v>
      </c>
      <c r="F1183" s="291" t="s">
        <v>581</v>
      </c>
      <c r="G1183" s="291" t="s">
        <v>582</v>
      </c>
      <c r="H1183" s="291" t="s">
        <v>583</v>
      </c>
    </row>
    <row r="1184" spans="2:8">
      <c r="B1184" s="356" t="s">
        <v>3726</v>
      </c>
      <c r="C1184" s="357" t="s">
        <v>3727</v>
      </c>
      <c r="D1184" s="356" t="s">
        <v>119</v>
      </c>
      <c r="E1184" s="356" t="s">
        <v>139</v>
      </c>
      <c r="F1184" s="358">
        <v>2.2700000000000001E-2</v>
      </c>
      <c r="G1184" s="359">
        <v>26.74</v>
      </c>
      <c r="H1184" s="160">
        <f t="shared" ref="H1184:H1185" si="36">ROUND(ROUND(F1184,8)*G1184,2)</f>
        <v>0.61</v>
      </c>
    </row>
    <row r="1185" spans="1:10" ht="25.5">
      <c r="B1185" s="356" t="s">
        <v>3728</v>
      </c>
      <c r="C1185" s="357" t="s">
        <v>3729</v>
      </c>
      <c r="D1185" s="356" t="s">
        <v>119</v>
      </c>
      <c r="E1185" s="356" t="s">
        <v>139</v>
      </c>
      <c r="F1185" s="358">
        <v>2.2700000000000001E-2</v>
      </c>
      <c r="G1185" s="359">
        <v>11.79</v>
      </c>
      <c r="H1185" s="160">
        <f t="shared" si="36"/>
        <v>0.27</v>
      </c>
    </row>
    <row r="1186" spans="1:10">
      <c r="B1186" s="222"/>
      <c r="C1186" s="222"/>
      <c r="D1186" s="222"/>
      <c r="E1186" s="222"/>
      <c r="F1186" s="645" t="s">
        <v>587</v>
      </c>
      <c r="G1186" s="645"/>
      <c r="H1186" s="158">
        <f>H1184+H1185</f>
        <v>0.88</v>
      </c>
    </row>
    <row r="1187" spans="1:10">
      <c r="B1187" s="222"/>
      <c r="C1187" s="222"/>
      <c r="D1187" s="222"/>
      <c r="E1187" s="222"/>
      <c r="F1187" s="630" t="s">
        <v>464</v>
      </c>
      <c r="G1187" s="630"/>
      <c r="H1187" s="102">
        <f>H1186+H1182+H1177+H1172</f>
        <v>13.67</v>
      </c>
    </row>
    <row r="1188" spans="1:10">
      <c r="B1188" s="222"/>
      <c r="C1188" s="222"/>
      <c r="D1188" s="222"/>
      <c r="E1188" s="222"/>
      <c r="F1188" s="646"/>
      <c r="G1188" s="646"/>
      <c r="H1188" s="646"/>
    </row>
    <row r="1189" spans="1:10">
      <c r="B1189" s="245" t="s">
        <v>3716</v>
      </c>
    </row>
    <row r="1190" spans="1:10">
      <c r="B1190" s="222"/>
      <c r="C1190" s="222"/>
      <c r="D1190" s="222"/>
      <c r="E1190" s="222"/>
      <c r="F1190" s="418"/>
      <c r="G1190" s="418"/>
      <c r="H1190" s="421"/>
    </row>
    <row r="1191" spans="1:10">
      <c r="B1191" s="222"/>
      <c r="C1191" s="222"/>
      <c r="D1191" s="222"/>
      <c r="E1191" s="222"/>
      <c r="F1191" s="418"/>
      <c r="G1191" s="418"/>
      <c r="H1191" s="421"/>
    </row>
    <row r="1192" spans="1:10" ht="26.25" customHeight="1">
      <c r="A1192" s="178" t="str">
        <f>'3 - PLAN. ORÇAMENTÁRIA'!A98</f>
        <v>3.3.2</v>
      </c>
      <c r="B1192" s="178" t="str">
        <f>'3 - PLAN. ORÇAMENTÁRIA'!B98</f>
        <v>CCU 140</v>
      </c>
      <c r="C1192" s="631" t="str">
        <f>'3 - PLAN. ORÇAMENTÁRIA'!C98</f>
        <v>VIGA METÁLICA EM PERFIL LAMINADO OU SOLDADO EM AÇO ESTRUTURAL, COM CONEXÕES SOLDADAS, INCLUSOS MÃO DE OBRA, TRANSPORTE E IÇAMENTO UTILIZANDO GUINDASTE - FORNECIMENTO E INSTALAÇÃO. AF_01/2020_PA REF. 100764/SINAPI</v>
      </c>
      <c r="D1192" s="632"/>
      <c r="E1192" s="632"/>
      <c r="F1192" s="632"/>
      <c r="G1192" s="633"/>
      <c r="H1192" s="419" t="str">
        <f>'3 - PLAN. ORÇAMENTÁRIA'!E98</f>
        <v>KG</v>
      </c>
      <c r="J1192" s="220" t="str">
        <f>B1213</f>
        <v>Obs: Foi adotado o item 100764 do SINAPI e por questão de similaridade ao que se pede em projeto, foi alterado o material do perfil de aço para o material 30640 do SIURB</v>
      </c>
    </row>
    <row r="1193" spans="1:10">
      <c r="B1193" s="648" t="s">
        <v>1301</v>
      </c>
      <c r="C1193" s="648"/>
      <c r="D1193" s="231" t="s">
        <v>579</v>
      </c>
      <c r="E1193" s="231" t="s">
        <v>580</v>
      </c>
      <c r="F1193" s="231" t="s">
        <v>581</v>
      </c>
      <c r="G1193" s="231" t="s">
        <v>582</v>
      </c>
      <c r="H1193" s="231" t="s">
        <v>583</v>
      </c>
    </row>
    <row r="1194" spans="1:10" ht="25.5">
      <c r="B1194" s="356" t="s">
        <v>1790</v>
      </c>
      <c r="C1194" s="357" t="s">
        <v>1791</v>
      </c>
      <c r="D1194" s="356" t="s">
        <v>119</v>
      </c>
      <c r="E1194" s="356" t="s">
        <v>1304</v>
      </c>
      <c r="F1194" s="358">
        <v>3.6703E-3</v>
      </c>
      <c r="G1194" s="359">
        <v>174.79</v>
      </c>
      <c r="H1194" s="160">
        <f t="shared" ref="H1194:H1195" si="37">ROUND(ROUND(F1194,8)*G1194,2)</f>
        <v>0.64</v>
      </c>
    </row>
    <row r="1195" spans="1:10" ht="25.5">
      <c r="B1195" s="356" t="s">
        <v>1792</v>
      </c>
      <c r="C1195" s="357" t="s">
        <v>1793</v>
      </c>
      <c r="D1195" s="356" t="s">
        <v>119</v>
      </c>
      <c r="E1195" s="356" t="s">
        <v>1307</v>
      </c>
      <c r="F1195" s="358">
        <v>3.9667000000000001E-3</v>
      </c>
      <c r="G1195" s="359">
        <v>343.98</v>
      </c>
      <c r="H1195" s="160">
        <f t="shared" si="37"/>
        <v>1.36</v>
      </c>
    </row>
    <row r="1196" spans="1:10">
      <c r="B1196" s="222"/>
      <c r="C1196" s="222"/>
      <c r="D1196" s="222"/>
      <c r="E1196" s="222"/>
      <c r="F1196" s="645" t="s">
        <v>1308</v>
      </c>
      <c r="G1196" s="645"/>
      <c r="H1196" s="158">
        <f>SUM(H1194:H1195)</f>
        <v>2</v>
      </c>
    </row>
    <row r="1197" spans="1:10">
      <c r="B1197" s="648" t="s">
        <v>593</v>
      </c>
      <c r="C1197" s="648"/>
      <c r="D1197" s="231" t="s">
        <v>579</v>
      </c>
      <c r="E1197" s="231" t="s">
        <v>580</v>
      </c>
      <c r="F1197" s="291" t="s">
        <v>581</v>
      </c>
      <c r="G1197" s="291" t="s">
        <v>582</v>
      </c>
      <c r="H1197" s="291" t="s">
        <v>583</v>
      </c>
    </row>
    <row r="1198" spans="1:10">
      <c r="B1198" s="422" t="s">
        <v>3730</v>
      </c>
      <c r="C1198" s="357" t="s">
        <v>3731</v>
      </c>
      <c r="D1198" s="356" t="s">
        <v>119</v>
      </c>
      <c r="E1198" s="356" t="s">
        <v>200</v>
      </c>
      <c r="F1198" s="358">
        <v>3.0547999999999999E-2</v>
      </c>
      <c r="G1198" s="359">
        <v>8.02</v>
      </c>
      <c r="H1198" s="160">
        <f t="shared" ref="H1198:H1200" si="38">ROUND(ROUND(F1198,8)*G1198,2)</f>
        <v>0.24</v>
      </c>
    </row>
    <row r="1199" spans="1:10">
      <c r="B1199" s="356" t="s">
        <v>3719</v>
      </c>
      <c r="C1199" s="357" t="s">
        <v>3025</v>
      </c>
      <c r="D1199" s="356" t="s">
        <v>119</v>
      </c>
      <c r="E1199" s="356" t="s">
        <v>200</v>
      </c>
      <c r="F1199" s="358">
        <v>1.5E-3</v>
      </c>
      <c r="G1199" s="359">
        <v>44</v>
      </c>
      <c r="H1199" s="160">
        <f t="shared" si="38"/>
        <v>7.0000000000000007E-2</v>
      </c>
    </row>
    <row r="1200" spans="1:10">
      <c r="B1200" s="356" t="s">
        <v>3720</v>
      </c>
      <c r="C1200" s="357" t="s">
        <v>3721</v>
      </c>
      <c r="D1200" s="356" t="s">
        <v>3722</v>
      </c>
      <c r="E1200" s="356" t="s">
        <v>200</v>
      </c>
      <c r="F1200" s="358">
        <v>1.091</v>
      </c>
      <c r="G1200" s="359">
        <v>9.5399999999999991</v>
      </c>
      <c r="H1200" s="160">
        <f t="shared" si="38"/>
        <v>10.41</v>
      </c>
    </row>
    <row r="1201" spans="1:10">
      <c r="B1201" s="222"/>
      <c r="C1201" s="222"/>
      <c r="D1201" s="222"/>
      <c r="E1201" s="222"/>
      <c r="F1201" s="645" t="s">
        <v>604</v>
      </c>
      <c r="G1201" s="645"/>
      <c r="H1201" s="158">
        <f>SUM(H1198:H1200)</f>
        <v>10.72</v>
      </c>
    </row>
    <row r="1202" spans="1:10">
      <c r="B1202" s="648" t="s">
        <v>607</v>
      </c>
      <c r="C1202" s="648"/>
      <c r="D1202" s="231" t="s">
        <v>579</v>
      </c>
      <c r="E1202" s="231" t="s">
        <v>580</v>
      </c>
      <c r="F1202" s="291" t="s">
        <v>581</v>
      </c>
      <c r="G1202" s="291" t="s">
        <v>582</v>
      </c>
      <c r="H1202" s="291" t="s">
        <v>583</v>
      </c>
    </row>
    <row r="1203" spans="1:10">
      <c r="B1203" s="356" t="s">
        <v>3723</v>
      </c>
      <c r="C1203" s="357" t="s">
        <v>3724</v>
      </c>
      <c r="D1203" s="356" t="s">
        <v>119</v>
      </c>
      <c r="E1203" s="356" t="s">
        <v>121</v>
      </c>
      <c r="F1203" s="358">
        <v>4.4000000000000003E-3</v>
      </c>
      <c r="G1203" s="359">
        <v>23.38</v>
      </c>
      <c r="H1203" s="160">
        <f t="shared" ref="H1203:H1205" si="39">ROUND(ROUND(F1203,8)*G1203,2)</f>
        <v>0.1</v>
      </c>
    </row>
    <row r="1204" spans="1:10">
      <c r="B1204" s="356" t="s">
        <v>1329</v>
      </c>
      <c r="C1204" s="357" t="s">
        <v>1330</v>
      </c>
      <c r="D1204" s="356" t="s">
        <v>119</v>
      </c>
      <c r="E1204" s="356" t="s">
        <v>121</v>
      </c>
      <c r="F1204" s="358">
        <v>1.4E-2</v>
      </c>
      <c r="G1204" s="359">
        <v>25.64</v>
      </c>
      <c r="H1204" s="160">
        <f t="shared" si="39"/>
        <v>0.36</v>
      </c>
    </row>
    <row r="1205" spans="1:10">
      <c r="B1205" s="356" t="s">
        <v>3725</v>
      </c>
      <c r="C1205" s="357" t="s">
        <v>2943</v>
      </c>
      <c r="D1205" s="356" t="s">
        <v>119</v>
      </c>
      <c r="E1205" s="356" t="s">
        <v>121</v>
      </c>
      <c r="F1205" s="358">
        <v>1.8100000000000002E-2</v>
      </c>
      <c r="G1205" s="359">
        <v>32.07</v>
      </c>
      <c r="H1205" s="160">
        <f t="shared" si="39"/>
        <v>0.57999999999999996</v>
      </c>
    </row>
    <row r="1206" spans="1:10">
      <c r="B1206" s="222"/>
      <c r="C1206" s="222"/>
      <c r="D1206" s="222"/>
      <c r="E1206" s="222"/>
      <c r="F1206" s="645" t="s">
        <v>610</v>
      </c>
      <c r="G1206" s="645"/>
      <c r="H1206" s="158">
        <f>SUM(H1203:H1205)</f>
        <v>1.04</v>
      </c>
    </row>
    <row r="1207" spans="1:10">
      <c r="B1207" s="648" t="s">
        <v>586</v>
      </c>
      <c r="C1207" s="648"/>
      <c r="D1207" s="231" t="s">
        <v>579</v>
      </c>
      <c r="E1207" s="231" t="s">
        <v>580</v>
      </c>
      <c r="F1207" s="291" t="s">
        <v>581</v>
      </c>
      <c r="G1207" s="291" t="s">
        <v>582</v>
      </c>
      <c r="H1207" s="291" t="s">
        <v>583</v>
      </c>
    </row>
    <row r="1208" spans="1:10">
      <c r="B1208" s="356" t="s">
        <v>3726</v>
      </c>
      <c r="C1208" s="357" t="s">
        <v>3727</v>
      </c>
      <c r="D1208" s="356" t="s">
        <v>119</v>
      </c>
      <c r="E1208" s="356" t="s">
        <v>139</v>
      </c>
      <c r="F1208" s="358">
        <v>3.5842400000000003E-2</v>
      </c>
      <c r="G1208" s="359">
        <v>26.74</v>
      </c>
      <c r="H1208" s="160">
        <f t="shared" ref="H1208:H1209" si="40">ROUND(ROUND(F1208,8)*G1208,2)</f>
        <v>0.96</v>
      </c>
    </row>
    <row r="1209" spans="1:10" ht="25.5">
      <c r="B1209" s="356" t="s">
        <v>3728</v>
      </c>
      <c r="C1209" s="357" t="s">
        <v>3729</v>
      </c>
      <c r="D1209" s="356" t="s">
        <v>119</v>
      </c>
      <c r="E1209" s="356" t="s">
        <v>139</v>
      </c>
      <c r="F1209" s="358">
        <v>3.5842400000000003E-2</v>
      </c>
      <c r="G1209" s="359">
        <v>11.79</v>
      </c>
      <c r="H1209" s="160">
        <f t="shared" si="40"/>
        <v>0.42</v>
      </c>
    </row>
    <row r="1210" spans="1:10">
      <c r="B1210" s="222"/>
      <c r="C1210" s="222"/>
      <c r="D1210" s="222"/>
      <c r="E1210" s="222"/>
      <c r="F1210" s="645" t="s">
        <v>587</v>
      </c>
      <c r="G1210" s="645"/>
      <c r="H1210" s="158">
        <f>H1208+H1209</f>
        <v>1.38</v>
      </c>
    </row>
    <row r="1211" spans="1:10">
      <c r="B1211" s="222"/>
      <c r="C1211" s="222"/>
      <c r="D1211" s="222"/>
      <c r="E1211" s="222"/>
      <c r="F1211" s="630" t="s">
        <v>464</v>
      </c>
      <c r="G1211" s="630"/>
      <c r="H1211" s="102">
        <f>H1210+H1206+H1201+H1196</f>
        <v>15.14</v>
      </c>
    </row>
    <row r="1212" spans="1:10">
      <c r="B1212" s="222"/>
      <c r="C1212" s="222"/>
      <c r="D1212" s="222"/>
      <c r="E1212" s="222"/>
      <c r="F1212" s="646"/>
      <c r="G1212" s="646"/>
      <c r="H1212" s="646"/>
    </row>
    <row r="1213" spans="1:10">
      <c r="B1213" s="245" t="s">
        <v>3732</v>
      </c>
    </row>
    <row r="1214" spans="1:10">
      <c r="B1214" s="222"/>
      <c r="C1214" s="222"/>
      <c r="D1214" s="222"/>
      <c r="E1214" s="222"/>
      <c r="F1214" s="418"/>
      <c r="G1214" s="418"/>
      <c r="H1214" s="421"/>
    </row>
    <row r="1215" spans="1:10">
      <c r="A1215" s="178" t="str">
        <f>'3 - PLAN. ORÇAMENTÁRIA'!A223</f>
        <v>4.1.5.1.3.1</v>
      </c>
      <c r="B1215" s="178" t="str">
        <f>'3 - PLAN. ORÇAMENTÁRIA'!B223</f>
        <v>CCU 021</v>
      </c>
      <c r="C1215" s="631" t="str">
        <f>'3 - PLAN. ORÇAMENTÁRIA'!C223</f>
        <v>PISO PODOTÁTIL DE ALERTA OU DIRECIONAL, DE BORRACHA, COLORIDO, ASSENTADO COM COLA REF. 101094/SINAPI</v>
      </c>
      <c r="D1215" s="632"/>
      <c r="E1215" s="632"/>
      <c r="F1215" s="632"/>
      <c r="G1215" s="633"/>
      <c r="H1215" s="457" t="str">
        <f>'3 - PLAN. ORÇAMENTÁRIA'!E223</f>
        <v>M</v>
      </c>
      <c r="J1215" s="220" t="str">
        <f>B1229</f>
        <v>Obs: Foi adotado o item 101094 do SINAPI e por questão de similaridade ao que se pede em projeto, alterando os materiais de cimento e piso para argamassa para os materiais de cola de contato (adotando o coeficiente com base no item 13.002.043 do SIURB) e piso tátil de borracha para cola mais o serviço de vedador de bordas</v>
      </c>
    </row>
    <row r="1216" spans="1:10">
      <c r="B1216" s="648" t="s">
        <v>593</v>
      </c>
      <c r="C1216" s="648"/>
      <c r="D1216" s="231" t="s">
        <v>579</v>
      </c>
      <c r="E1216" s="231" t="s">
        <v>580</v>
      </c>
      <c r="F1216" s="291" t="s">
        <v>581</v>
      </c>
      <c r="G1216" s="291" t="s">
        <v>582</v>
      </c>
      <c r="H1216" s="291" t="s">
        <v>583</v>
      </c>
    </row>
    <row r="1217" spans="1:10">
      <c r="B1217" s="422" t="s">
        <v>3970</v>
      </c>
      <c r="C1217" s="357" t="s">
        <v>3856</v>
      </c>
      <c r="D1217" s="356" t="s">
        <v>119</v>
      </c>
      <c r="E1217" s="356" t="s">
        <v>200</v>
      </c>
      <c r="F1217" s="358">
        <v>0.4</v>
      </c>
      <c r="G1217" s="359">
        <v>53.64</v>
      </c>
      <c r="H1217" s="160">
        <f t="shared" ref="H1217:H1218" si="41">ROUND(ROUND(F1217,8)*G1217,2)</f>
        <v>21.46</v>
      </c>
    </row>
    <row r="1218" spans="1:10">
      <c r="B1218" s="422" t="s">
        <v>3971</v>
      </c>
      <c r="C1218" s="357" t="s">
        <v>3969</v>
      </c>
      <c r="D1218" s="356" t="s">
        <v>119</v>
      </c>
      <c r="E1218" s="356" t="s">
        <v>139</v>
      </c>
      <c r="F1218" s="358">
        <v>0.25</v>
      </c>
      <c r="G1218" s="359">
        <v>230.61</v>
      </c>
      <c r="H1218" s="160">
        <f t="shared" si="41"/>
        <v>57.65</v>
      </c>
    </row>
    <row r="1219" spans="1:10">
      <c r="B1219" s="222"/>
      <c r="C1219" s="222"/>
      <c r="D1219" s="222"/>
      <c r="E1219" s="222"/>
      <c r="F1219" s="645" t="s">
        <v>604</v>
      </c>
      <c r="G1219" s="645"/>
      <c r="H1219" s="158">
        <f>SUM(H1217:H1218)</f>
        <v>79.11</v>
      </c>
    </row>
    <row r="1220" spans="1:10">
      <c r="B1220" s="648" t="s">
        <v>607</v>
      </c>
      <c r="C1220" s="648"/>
      <c r="D1220" s="231" t="s">
        <v>579</v>
      </c>
      <c r="E1220" s="231" t="s">
        <v>580</v>
      </c>
      <c r="F1220" s="291" t="s">
        <v>581</v>
      </c>
      <c r="G1220" s="291" t="s">
        <v>582</v>
      </c>
      <c r="H1220" s="291" t="s">
        <v>583</v>
      </c>
    </row>
    <row r="1221" spans="1:10">
      <c r="B1221" s="356">
        <v>88309</v>
      </c>
      <c r="C1221" s="357" t="s">
        <v>640</v>
      </c>
      <c r="D1221" s="356" t="s">
        <v>119</v>
      </c>
      <c r="E1221" s="356" t="s">
        <v>121</v>
      </c>
      <c r="F1221" s="358">
        <v>0.437</v>
      </c>
      <c r="G1221" s="359">
        <v>31.34</v>
      </c>
      <c r="H1221" s="160">
        <f t="shared" ref="H1221:H1222" si="42">ROUND(ROUND(F1221,8)*G1221,2)</f>
        <v>13.7</v>
      </c>
    </row>
    <row r="1222" spans="1:10">
      <c r="B1222" s="356">
        <v>88316</v>
      </c>
      <c r="C1222" s="357" t="s">
        <v>626</v>
      </c>
      <c r="D1222" s="356" t="s">
        <v>119</v>
      </c>
      <c r="E1222" s="356" t="s">
        <v>121</v>
      </c>
      <c r="F1222" s="358">
        <v>0.218</v>
      </c>
      <c r="G1222" s="359">
        <v>23.75</v>
      </c>
      <c r="H1222" s="160">
        <f t="shared" si="42"/>
        <v>5.18</v>
      </c>
    </row>
    <row r="1223" spans="1:10">
      <c r="B1223" s="245"/>
      <c r="C1223" s="222"/>
      <c r="D1223" s="222"/>
      <c r="E1223" s="222"/>
      <c r="F1223" s="645" t="s">
        <v>610</v>
      </c>
      <c r="G1223" s="645"/>
      <c r="H1223" s="158">
        <f>SUM(H1221:H1222)</f>
        <v>18.88</v>
      </c>
    </row>
    <row r="1224" spans="1:10">
      <c r="B1224" s="648" t="s">
        <v>586</v>
      </c>
      <c r="C1224" s="648"/>
      <c r="D1224" s="231" t="s">
        <v>579</v>
      </c>
      <c r="E1224" s="231" t="s">
        <v>580</v>
      </c>
      <c r="F1224" s="291" t="s">
        <v>581</v>
      </c>
      <c r="G1224" s="291" t="s">
        <v>582</v>
      </c>
      <c r="H1224" s="291" t="s">
        <v>583</v>
      </c>
    </row>
    <row r="1225" spans="1:10">
      <c r="B1225" s="356" t="s">
        <v>3882</v>
      </c>
      <c r="C1225" s="357" t="s">
        <v>3883</v>
      </c>
      <c r="D1225" s="356" t="s">
        <v>650</v>
      </c>
      <c r="E1225" s="356" t="s">
        <v>1048</v>
      </c>
      <c r="F1225" s="358">
        <v>1</v>
      </c>
      <c r="G1225" s="359">
        <v>41.84</v>
      </c>
      <c r="H1225" s="160">
        <f t="shared" ref="H1225" si="43">ROUND(ROUND(F1225,8)*G1225,2)</f>
        <v>41.84</v>
      </c>
    </row>
    <row r="1226" spans="1:10">
      <c r="B1226" s="245"/>
      <c r="C1226" s="222"/>
      <c r="D1226" s="222"/>
      <c r="E1226" s="222"/>
      <c r="F1226" s="645" t="s">
        <v>587</v>
      </c>
      <c r="G1226" s="645"/>
      <c r="H1226" s="158">
        <f>H1225</f>
        <v>41.84</v>
      </c>
    </row>
    <row r="1227" spans="1:10">
      <c r="B1227" s="245"/>
      <c r="C1227" s="222"/>
      <c r="D1227" s="222"/>
      <c r="E1227" s="222"/>
      <c r="F1227" s="630" t="s">
        <v>464</v>
      </c>
      <c r="G1227" s="630"/>
      <c r="H1227" s="102">
        <f>H1226+H1223+H1219</f>
        <v>139.82999999999998</v>
      </c>
    </row>
    <row r="1228" spans="1:10">
      <c r="B1228" s="245"/>
      <c r="C1228" s="222"/>
      <c r="D1228" s="222"/>
      <c r="E1228" s="222"/>
      <c r="F1228" s="456"/>
      <c r="G1228" s="456"/>
      <c r="H1228" s="455"/>
    </row>
    <row r="1229" spans="1:10" ht="26.25" customHeight="1">
      <c r="B1229" s="660" t="s">
        <v>3972</v>
      </c>
      <c r="C1229" s="660"/>
      <c r="D1229" s="660"/>
      <c r="E1229" s="660"/>
      <c r="F1229" s="660"/>
      <c r="G1229" s="660"/>
      <c r="H1229" s="660"/>
    </row>
    <row r="1230" spans="1:10">
      <c r="B1230" s="222"/>
      <c r="C1230" s="222"/>
      <c r="D1230" s="222"/>
      <c r="E1230" s="222"/>
      <c r="F1230" s="418"/>
      <c r="G1230" s="418"/>
      <c r="H1230" s="421"/>
    </row>
    <row r="1231" spans="1:10">
      <c r="A1231" s="246" t="str">
        <f>'3 - PLAN. ORÇAMENTÁRIA'!A197</f>
        <v>4.1.3.3</v>
      </c>
      <c r="B1231" s="178" t="str">
        <f>'3 - PLAN. ORÇAMENTÁRIA'!B197</f>
        <v>CCU 110</v>
      </c>
      <c r="C1231" s="631" t="str">
        <f>'3 - PLAN. ORÇAMENTÁRIA'!C197</f>
        <v>VIDRO LAMINADO INCOLOR DE 8MM (MONTANTES E DIVISÓRIAS INTERNAS) REF. 102176/SINAPI</v>
      </c>
      <c r="D1231" s="632"/>
      <c r="E1231" s="632"/>
      <c r="F1231" s="632"/>
      <c r="G1231" s="633"/>
      <c r="H1231" s="460" t="str">
        <f>'3 - PLAN. ORÇAMENTÁRIA'!E197</f>
        <v>M2</v>
      </c>
      <c r="J1231" s="220" t="str">
        <f>B1244</f>
        <v>Obs: Foi adotado o item 102176 do SINAPI como base, retirados alguns materiais e substituídos pelos materiais de Silicone e Vidro do item 26.03.070 do SP Obras</v>
      </c>
    </row>
    <row r="1232" spans="1:10">
      <c r="B1232" s="628" t="s">
        <v>593</v>
      </c>
      <c r="C1232" s="628"/>
      <c r="D1232" s="103" t="s">
        <v>579</v>
      </c>
      <c r="E1232" s="103" t="s">
        <v>580</v>
      </c>
      <c r="F1232" s="103" t="s">
        <v>581</v>
      </c>
      <c r="G1232" s="103" t="s">
        <v>582</v>
      </c>
      <c r="H1232" s="103" t="s">
        <v>583</v>
      </c>
    </row>
    <row r="1233" spans="1:10">
      <c r="B1233" s="234" t="s">
        <v>2560</v>
      </c>
      <c r="C1233" s="235" t="s">
        <v>1483</v>
      </c>
      <c r="D1233" s="236" t="s">
        <v>119</v>
      </c>
      <c r="E1233" s="130" t="s">
        <v>144</v>
      </c>
      <c r="F1233" s="230">
        <v>2.992</v>
      </c>
      <c r="G1233" s="461">
        <v>2.42</v>
      </c>
      <c r="H1233" s="160">
        <f>ROUND(ROUND(F1233,8)*G1233,2)</f>
        <v>7.24</v>
      </c>
    </row>
    <row r="1234" spans="1:10">
      <c r="B1234" s="234" t="s">
        <v>1556</v>
      </c>
      <c r="C1234" s="235" t="s">
        <v>1557</v>
      </c>
      <c r="D1234" s="236" t="s">
        <v>119</v>
      </c>
      <c r="E1234" s="130" t="s">
        <v>173</v>
      </c>
      <c r="F1234" s="230">
        <v>3.4159999999999999</v>
      </c>
      <c r="G1234" s="461">
        <v>13.3</v>
      </c>
      <c r="H1234" s="160">
        <f>ROUND(ROUND(F1234,8)*G1234,2)</f>
        <v>45.43</v>
      </c>
    </row>
    <row r="1235" spans="1:10">
      <c r="B1235" s="130" t="s">
        <v>2141</v>
      </c>
      <c r="C1235" s="229" t="s">
        <v>2142</v>
      </c>
      <c r="D1235" s="130" t="s">
        <v>592</v>
      </c>
      <c r="E1235" s="130" t="s">
        <v>144</v>
      </c>
      <c r="F1235" s="230">
        <v>0.26500000000000001</v>
      </c>
      <c r="G1235" s="461">
        <v>22.72</v>
      </c>
      <c r="H1235" s="160">
        <f>ROUND(ROUND(F1235,8)*G1235,2)</f>
        <v>6.02</v>
      </c>
    </row>
    <row r="1236" spans="1:10">
      <c r="B1236" s="173" t="s">
        <v>1560</v>
      </c>
      <c r="C1236" s="221" t="s">
        <v>4193</v>
      </c>
      <c r="D1236" s="130" t="s">
        <v>592</v>
      </c>
      <c r="E1236" s="159" t="s">
        <v>139</v>
      </c>
      <c r="F1236" s="174">
        <v>1</v>
      </c>
      <c r="G1236" s="160">
        <v>706.15</v>
      </c>
      <c r="H1236" s="160">
        <f>ROUND(ROUND(F1236,8)*G1236,2)</f>
        <v>706.15</v>
      </c>
    </row>
    <row r="1237" spans="1:10">
      <c r="B1237" s="458"/>
      <c r="C1237" s="223"/>
      <c r="D1237" s="458"/>
      <c r="E1237" s="458"/>
      <c r="F1237" s="630" t="s">
        <v>604</v>
      </c>
      <c r="G1237" s="630"/>
      <c r="H1237" s="102">
        <f>H1233+H1234+H1235+H1236</f>
        <v>764.83999999999992</v>
      </c>
    </row>
    <row r="1238" spans="1:10">
      <c r="B1238" s="628" t="s">
        <v>607</v>
      </c>
      <c r="C1238" s="628"/>
      <c r="D1238" s="103" t="s">
        <v>579</v>
      </c>
      <c r="E1238" s="103" t="s">
        <v>580</v>
      </c>
      <c r="F1238" s="103" t="s">
        <v>581</v>
      </c>
      <c r="G1238" s="103" t="s">
        <v>582</v>
      </c>
      <c r="H1238" s="103" t="s">
        <v>583</v>
      </c>
    </row>
    <row r="1239" spans="1:10">
      <c r="B1239" s="159" t="s">
        <v>625</v>
      </c>
      <c r="C1239" s="221" t="s">
        <v>626</v>
      </c>
      <c r="D1239" s="159" t="s">
        <v>119</v>
      </c>
      <c r="E1239" s="159" t="s">
        <v>121</v>
      </c>
      <c r="F1239" s="174">
        <v>1.619</v>
      </c>
      <c r="G1239" s="160">
        <v>23.75</v>
      </c>
      <c r="H1239" s="160">
        <f>ROUND(ROUND(F1239,8)*G1239,2)</f>
        <v>38.450000000000003</v>
      </c>
    </row>
    <row r="1240" spans="1:10">
      <c r="B1240" s="159">
        <v>88325</v>
      </c>
      <c r="C1240" s="221" t="s">
        <v>656</v>
      </c>
      <c r="D1240" s="159" t="s">
        <v>119</v>
      </c>
      <c r="E1240" s="159" t="s">
        <v>121</v>
      </c>
      <c r="F1240" s="174">
        <v>1.6659999999999999</v>
      </c>
      <c r="G1240" s="160">
        <v>28.95</v>
      </c>
      <c r="H1240" s="160">
        <f>ROUND(ROUND(F1240,8)*G1240,2)</f>
        <v>48.23</v>
      </c>
    </row>
    <row r="1241" spans="1:10">
      <c r="B1241" s="222"/>
      <c r="C1241" s="222"/>
      <c r="D1241" s="222"/>
      <c r="E1241" s="222"/>
      <c r="F1241" s="630" t="s">
        <v>585</v>
      </c>
      <c r="G1241" s="630"/>
      <c r="H1241" s="158">
        <f>H1239+H1240</f>
        <v>86.68</v>
      </c>
    </row>
    <row r="1242" spans="1:10">
      <c r="B1242" s="222"/>
      <c r="C1242" s="222"/>
      <c r="D1242" s="222"/>
      <c r="E1242" s="222"/>
      <c r="F1242" s="645" t="s">
        <v>464</v>
      </c>
      <c r="G1242" s="645"/>
      <c r="H1242" s="158">
        <f>H1237+H1241</f>
        <v>851.52</v>
      </c>
    </row>
    <row r="1243" spans="1:10">
      <c r="B1243" s="222"/>
      <c r="C1243" s="222"/>
      <c r="D1243" s="222"/>
      <c r="E1243" s="222"/>
      <c r="F1243" s="459"/>
      <c r="G1243" s="459"/>
      <c r="H1243" s="459"/>
    </row>
    <row r="1244" spans="1:10">
      <c r="B1244" s="245" t="s">
        <v>2561</v>
      </c>
    </row>
    <row r="1245" spans="1:10">
      <c r="B1245" s="245"/>
    </row>
    <row r="1246" spans="1:10" ht="27.75" customHeight="1">
      <c r="A1246" s="178" t="str">
        <f>'3 - PLAN. ORÇAMENTÁRIA'!A171</f>
        <v>4.1.1.2.4</v>
      </c>
      <c r="B1246" s="242" t="str">
        <f>'3 - PLAN. ORÇAMENTÁRIA'!B171</f>
        <v>CCU 088</v>
      </c>
      <c r="C1246" s="631" t="str">
        <f>'3 - PLAN. ORÇAMENTÁRIA'!C171</f>
        <v>SHAFTS COM SISTEMA EM CHAPAS DE GESSO PARA DRYWALL (RU), USO INTERNO, COM UMA FACE SIMPLES E ESTRUTURA METÁLICA COM GUIAS SIMPLES, SEM VÃOS. AF_07/2023_PS REF. 96370/SINAPI</v>
      </c>
      <c r="D1246" s="632"/>
      <c r="E1246" s="632"/>
      <c r="F1246" s="632"/>
      <c r="G1246" s="633"/>
      <c r="H1246" s="467" t="str">
        <f>'3 - PLAN. ORÇAMENTÁRIA'!E171</f>
        <v>M2</v>
      </c>
      <c r="J1246" s="220" t="str">
        <f>B1264</f>
        <v>Obs: Foi adotado o item 96370 do SINAPI como base e substituído o material 00039413 pelo 00039417 para melhor atender o que se pede em projeto</v>
      </c>
    </row>
    <row r="1247" spans="1:10">
      <c r="A1247" s="106"/>
      <c r="B1247" s="628" t="s">
        <v>593</v>
      </c>
      <c r="C1247" s="628"/>
      <c r="D1247" s="103" t="s">
        <v>579</v>
      </c>
      <c r="E1247" s="103" t="s">
        <v>580</v>
      </c>
      <c r="F1247" s="103" t="s">
        <v>581</v>
      </c>
      <c r="G1247" s="103" t="s">
        <v>582</v>
      </c>
      <c r="H1247" s="103" t="s">
        <v>583</v>
      </c>
    </row>
    <row r="1248" spans="1:10">
      <c r="A1248" s="106"/>
      <c r="B1248" s="130" t="s">
        <v>1480</v>
      </c>
      <c r="C1248" s="229" t="s">
        <v>1481</v>
      </c>
      <c r="D1248" s="130" t="s">
        <v>119</v>
      </c>
      <c r="E1248" s="130" t="s">
        <v>173</v>
      </c>
      <c r="F1248" s="230">
        <v>1.2513000000000001</v>
      </c>
      <c r="G1248" s="469">
        <v>0.27</v>
      </c>
      <c r="H1248" s="160">
        <f t="shared" ref="H1248:H1256" si="44">ROUND(ROUND(F1248,8)*G1248,2)</f>
        <v>0.34</v>
      </c>
    </row>
    <row r="1249" spans="1:8">
      <c r="A1249" s="106"/>
      <c r="B1249" s="130" t="s">
        <v>1482</v>
      </c>
      <c r="C1249" s="229" t="s">
        <v>1483</v>
      </c>
      <c r="D1249" s="130" t="s">
        <v>119</v>
      </c>
      <c r="E1249" s="130" t="s">
        <v>173</v>
      </c>
      <c r="F1249" s="230">
        <v>0.74070000000000003</v>
      </c>
      <c r="G1249" s="469">
        <v>2.42</v>
      </c>
      <c r="H1249" s="160">
        <f t="shared" si="44"/>
        <v>1.79</v>
      </c>
    </row>
    <row r="1250" spans="1:8" ht="25.5">
      <c r="A1250" s="106"/>
      <c r="B1250" s="130" t="s">
        <v>1484</v>
      </c>
      <c r="C1250" s="229" t="s">
        <v>1485</v>
      </c>
      <c r="D1250" s="130" t="s">
        <v>119</v>
      </c>
      <c r="E1250" s="130" t="s">
        <v>200</v>
      </c>
      <c r="F1250" s="230">
        <v>0.54890000000000005</v>
      </c>
      <c r="G1250" s="469">
        <v>3.03</v>
      </c>
      <c r="H1250" s="160">
        <f t="shared" si="44"/>
        <v>1.66</v>
      </c>
    </row>
    <row r="1251" spans="1:8">
      <c r="A1251" s="106"/>
      <c r="B1251" s="130" t="s">
        <v>1486</v>
      </c>
      <c r="C1251" s="229" t="s">
        <v>1487</v>
      </c>
      <c r="D1251" s="130" t="s">
        <v>119</v>
      </c>
      <c r="E1251" s="130" t="s">
        <v>144</v>
      </c>
      <c r="F1251" s="230">
        <v>10.093400000000001</v>
      </c>
      <c r="G1251" s="469">
        <v>0.12</v>
      </c>
      <c r="H1251" s="160">
        <f t="shared" si="44"/>
        <v>1.21</v>
      </c>
    </row>
    <row r="1252" spans="1:8">
      <c r="A1252" s="106"/>
      <c r="B1252" s="130" t="s">
        <v>1490</v>
      </c>
      <c r="C1252" s="229" t="s">
        <v>1491</v>
      </c>
      <c r="D1252" s="130" t="s">
        <v>119</v>
      </c>
      <c r="E1252" s="130" t="s">
        <v>144</v>
      </c>
      <c r="F1252" s="230">
        <v>0.4803</v>
      </c>
      <c r="G1252" s="469">
        <v>0.28000000000000003</v>
      </c>
      <c r="H1252" s="160">
        <f t="shared" si="44"/>
        <v>0.13</v>
      </c>
    </row>
    <row r="1253" spans="1:8">
      <c r="A1253" s="106"/>
      <c r="B1253" s="130" t="s">
        <v>1492</v>
      </c>
      <c r="C1253" s="229" t="s">
        <v>1493</v>
      </c>
      <c r="D1253" s="130" t="s">
        <v>119</v>
      </c>
      <c r="E1253" s="130" t="s">
        <v>173</v>
      </c>
      <c r="F1253" s="230">
        <v>0.76239999999999997</v>
      </c>
      <c r="G1253" s="469">
        <v>6.21</v>
      </c>
      <c r="H1253" s="160">
        <f t="shared" si="44"/>
        <v>4.7300000000000004</v>
      </c>
    </row>
    <row r="1254" spans="1:8">
      <c r="A1254" s="106"/>
      <c r="B1254" s="130" t="s">
        <v>1494</v>
      </c>
      <c r="C1254" s="229" t="s">
        <v>1495</v>
      </c>
      <c r="D1254" s="130" t="s">
        <v>119</v>
      </c>
      <c r="E1254" s="130" t="s">
        <v>173</v>
      </c>
      <c r="F1254" s="230">
        <v>2.0005999999999999</v>
      </c>
      <c r="G1254" s="469">
        <v>7.05</v>
      </c>
      <c r="H1254" s="160">
        <f t="shared" si="44"/>
        <v>14.1</v>
      </c>
    </row>
    <row r="1255" spans="1:8">
      <c r="A1255" s="106"/>
      <c r="B1255" s="130" t="s">
        <v>1496</v>
      </c>
      <c r="C1255" s="229" t="s">
        <v>1497</v>
      </c>
      <c r="D1255" s="130" t="s">
        <v>119</v>
      </c>
      <c r="E1255" s="130" t="s">
        <v>1457</v>
      </c>
      <c r="F1255" s="230">
        <v>2.4799999999999999E-2</v>
      </c>
      <c r="G1255" s="469">
        <v>52.07</v>
      </c>
      <c r="H1255" s="160">
        <f t="shared" si="44"/>
        <v>1.29</v>
      </c>
    </row>
    <row r="1256" spans="1:8">
      <c r="A1256" s="106"/>
      <c r="B1256" s="239" t="s">
        <v>3938</v>
      </c>
      <c r="C1256" s="229" t="s">
        <v>3939</v>
      </c>
      <c r="D1256" s="130" t="s">
        <v>119</v>
      </c>
      <c r="E1256" s="130" t="s">
        <v>139</v>
      </c>
      <c r="F1256" s="230">
        <v>1.0529999999999999</v>
      </c>
      <c r="G1256" s="469">
        <v>23.05</v>
      </c>
      <c r="H1256" s="160">
        <f t="shared" si="44"/>
        <v>24.27</v>
      </c>
    </row>
    <row r="1257" spans="1:8">
      <c r="A1257" s="106"/>
      <c r="B1257" s="105"/>
      <c r="C1257" s="105"/>
      <c r="D1257" s="105"/>
      <c r="E1257" s="105"/>
      <c r="F1257" s="629" t="s">
        <v>604</v>
      </c>
      <c r="G1257" s="629"/>
      <c r="H1257" s="470">
        <f>SUM(H1248:H1256)</f>
        <v>49.519999999999996</v>
      </c>
    </row>
    <row r="1258" spans="1:8">
      <c r="A1258" s="106"/>
      <c r="B1258" s="628" t="s">
        <v>607</v>
      </c>
      <c r="C1258" s="628"/>
      <c r="D1258" s="103" t="s">
        <v>579</v>
      </c>
      <c r="E1258" s="103" t="s">
        <v>580</v>
      </c>
      <c r="F1258" s="103" t="s">
        <v>581</v>
      </c>
      <c r="G1258" s="103" t="s">
        <v>582</v>
      </c>
      <c r="H1258" s="103" t="s">
        <v>583</v>
      </c>
    </row>
    <row r="1259" spans="1:8">
      <c r="A1259" s="106"/>
      <c r="B1259" s="130" t="s">
        <v>1329</v>
      </c>
      <c r="C1259" s="229" t="s">
        <v>1330</v>
      </c>
      <c r="D1259" s="130" t="s">
        <v>119</v>
      </c>
      <c r="E1259" s="130" t="s">
        <v>121</v>
      </c>
      <c r="F1259" s="230">
        <v>0.34399999999999997</v>
      </c>
      <c r="G1259" s="469">
        <v>25.64</v>
      </c>
      <c r="H1259" s="160">
        <f t="shared" ref="H1259:H1260" si="45">ROUND(ROUND(F1259,8)*G1259,2)</f>
        <v>8.82</v>
      </c>
    </row>
    <row r="1260" spans="1:8">
      <c r="A1260" s="106"/>
      <c r="B1260" s="130" t="s">
        <v>625</v>
      </c>
      <c r="C1260" s="229" t="s">
        <v>626</v>
      </c>
      <c r="D1260" s="130" t="s">
        <v>119</v>
      </c>
      <c r="E1260" s="130" t="s">
        <v>121</v>
      </c>
      <c r="F1260" s="230">
        <v>0.112</v>
      </c>
      <c r="G1260" s="469">
        <v>23.75</v>
      </c>
      <c r="H1260" s="160">
        <f t="shared" si="45"/>
        <v>2.66</v>
      </c>
    </row>
    <row r="1261" spans="1:8">
      <c r="A1261" s="106"/>
      <c r="B1261" s="105"/>
      <c r="C1261" s="105"/>
      <c r="D1261" s="105"/>
      <c r="E1261" s="105"/>
      <c r="F1261" s="629" t="s">
        <v>610</v>
      </c>
      <c r="G1261" s="629"/>
      <c r="H1261" s="470">
        <f>SUM(H1259:H1260)</f>
        <v>11.48</v>
      </c>
    </row>
    <row r="1262" spans="1:8">
      <c r="A1262" s="106"/>
      <c r="B1262" s="105"/>
      <c r="C1262" s="105"/>
      <c r="D1262" s="105"/>
      <c r="E1262" s="105"/>
      <c r="F1262" s="630" t="s">
        <v>464</v>
      </c>
      <c r="G1262" s="630"/>
      <c r="H1262" s="102">
        <f>H1261+H1257</f>
        <v>61</v>
      </c>
    </row>
    <row r="1263" spans="1:8">
      <c r="C1263" s="222"/>
      <c r="D1263" s="222"/>
      <c r="E1263" s="222"/>
      <c r="F1263" s="468"/>
      <c r="G1263" s="468"/>
      <c r="H1263" s="471"/>
    </row>
    <row r="1264" spans="1:8">
      <c r="B1264" s="245" t="s">
        <v>3940</v>
      </c>
      <c r="C1264" s="222"/>
      <c r="D1264" s="222"/>
      <c r="E1264" s="222"/>
      <c r="F1264" s="468"/>
      <c r="G1264" s="468"/>
      <c r="H1264" s="471"/>
    </row>
    <row r="1265" spans="1:8">
      <c r="B1265" s="245"/>
    </row>
    <row r="1266" spans="1:8">
      <c r="A1266" s="178" t="str">
        <f>'3 - PLAN. ORÇAMENTÁRIA'!A256</f>
        <v>4.1.6.1.3</v>
      </c>
      <c r="B1266" s="242" t="str">
        <f>'3 - PLAN. ORÇAMENTÁRIA'!B256</f>
        <v>CCU 187</v>
      </c>
      <c r="C1266" s="631" t="str">
        <f>'3 - PLAN. ORÇAMENTÁRIA'!C256</f>
        <v>ASSENTO SANITÁRIO LINHA VOGUE PLUS AP51, DA DECA (OU SIMILAR0 - FORNECIMENTO E INTALAÇÃO.AF_01/2020 REF. 100849/SINAPI</v>
      </c>
      <c r="D1266" s="632"/>
      <c r="E1266" s="632"/>
      <c r="F1266" s="632"/>
      <c r="G1266" s="633"/>
      <c r="H1266" s="508" t="str">
        <f>'3 - PLAN. ORÇAMENTÁRIA'!E256</f>
        <v>UN</v>
      </c>
    </row>
    <row r="1267" spans="1:8">
      <c r="A1267" s="106"/>
      <c r="B1267" s="628" t="s">
        <v>593</v>
      </c>
      <c r="C1267" s="628"/>
      <c r="D1267" s="103" t="s">
        <v>579</v>
      </c>
      <c r="E1267" s="103" t="s">
        <v>580</v>
      </c>
      <c r="F1267" s="103" t="s">
        <v>581</v>
      </c>
      <c r="G1267" s="103" t="s">
        <v>582</v>
      </c>
      <c r="H1267" s="103" t="s">
        <v>583</v>
      </c>
    </row>
    <row r="1268" spans="1:8">
      <c r="A1268" s="106"/>
      <c r="B1268" s="130" t="s">
        <v>1134</v>
      </c>
      <c r="C1268" s="229" t="s">
        <v>4023</v>
      </c>
      <c r="D1268" s="130" t="s">
        <v>158</v>
      </c>
      <c r="E1268" s="130" t="s">
        <v>1048</v>
      </c>
      <c r="F1268" s="230">
        <v>1</v>
      </c>
      <c r="G1268" s="504">
        <v>338.85</v>
      </c>
      <c r="H1268" s="160">
        <f t="shared" ref="H1268" si="46">ROUND(ROUND(F1268,8)*G1268,2)</f>
        <v>338.85</v>
      </c>
    </row>
    <row r="1269" spans="1:8">
      <c r="B1269" s="222"/>
      <c r="C1269" s="222"/>
      <c r="D1269" s="222"/>
      <c r="E1269" s="222"/>
      <c r="F1269" s="629" t="s">
        <v>604</v>
      </c>
      <c r="G1269" s="629"/>
      <c r="H1269" s="505">
        <f>H1268</f>
        <v>338.85</v>
      </c>
    </row>
    <row r="1270" spans="1:8">
      <c r="B1270" s="628" t="s">
        <v>607</v>
      </c>
      <c r="C1270" s="628"/>
      <c r="D1270" s="103" t="s">
        <v>579</v>
      </c>
      <c r="E1270" s="103" t="s">
        <v>580</v>
      </c>
      <c r="F1270" s="103" t="s">
        <v>581</v>
      </c>
      <c r="G1270" s="103" t="s">
        <v>582</v>
      </c>
      <c r="H1270" s="103" t="s">
        <v>583</v>
      </c>
    </row>
    <row r="1271" spans="1:8">
      <c r="B1271" s="130">
        <v>88267</v>
      </c>
      <c r="C1271" s="229" t="s">
        <v>612</v>
      </c>
      <c r="D1271" s="130" t="s">
        <v>119</v>
      </c>
      <c r="E1271" s="130" t="s">
        <v>121</v>
      </c>
      <c r="F1271" s="230">
        <v>0.15359999999999999</v>
      </c>
      <c r="G1271" s="504">
        <v>30.62</v>
      </c>
      <c r="H1271" s="160">
        <f t="shared" ref="H1271:H1272" si="47">ROUND(ROUND(F1271,8)*G1271,2)</f>
        <v>4.7</v>
      </c>
    </row>
    <row r="1272" spans="1:8">
      <c r="B1272" s="130">
        <v>88316</v>
      </c>
      <c r="C1272" s="229" t="s">
        <v>626</v>
      </c>
      <c r="D1272" s="130" t="s">
        <v>119</v>
      </c>
      <c r="E1272" s="130" t="s">
        <v>121</v>
      </c>
      <c r="F1272" s="230">
        <v>4.8399999999999999E-2</v>
      </c>
      <c r="G1272" s="504">
        <v>23.75</v>
      </c>
      <c r="H1272" s="160">
        <f t="shared" si="47"/>
        <v>1.1499999999999999</v>
      </c>
    </row>
    <row r="1273" spans="1:8">
      <c r="B1273" s="105"/>
      <c r="C1273" s="105"/>
      <c r="D1273" s="105"/>
      <c r="E1273" s="105"/>
      <c r="F1273" s="629" t="s">
        <v>610</v>
      </c>
      <c r="G1273" s="629"/>
      <c r="H1273" s="505">
        <f>SUM(H1271:H1272)</f>
        <v>5.85</v>
      </c>
    </row>
    <row r="1274" spans="1:8">
      <c r="B1274" s="105"/>
      <c r="C1274" s="105"/>
      <c r="D1274" s="105"/>
      <c r="E1274" s="105"/>
      <c r="F1274" s="630" t="s">
        <v>464</v>
      </c>
      <c r="G1274" s="630"/>
      <c r="H1274" s="102">
        <f>H1273+H1269</f>
        <v>344.70000000000005</v>
      </c>
    </row>
    <row r="1275" spans="1:8">
      <c r="B1275" s="222"/>
      <c r="C1275" s="222"/>
      <c r="D1275" s="222"/>
      <c r="E1275" s="222"/>
      <c r="F1275" s="507"/>
      <c r="G1275" s="507"/>
      <c r="H1275" s="506"/>
    </row>
    <row r="1276" spans="1:8">
      <c r="A1276" s="178" t="str">
        <f>'3 - PLAN. ORÇAMENTÁRIA'!A266</f>
        <v>4.1.6.1.13</v>
      </c>
      <c r="B1276" s="242" t="str">
        <f>'3 - PLAN. ORÇAMENTÁRIA'!B266</f>
        <v>CCU 190</v>
      </c>
      <c r="C1276" s="631" t="str">
        <f>'3 - PLAN. ORÇAMENTÁRIA'!C266</f>
        <v>VÁLVULA DE ESCOAMENTO PARA LAVATÓRIO, DECA 1602C OU SIMILAR - FORNECIMENTO E INSTALAÇÃO REF. 86878/SINAPI</v>
      </c>
      <c r="D1276" s="632"/>
      <c r="E1276" s="632"/>
      <c r="F1276" s="632"/>
      <c r="G1276" s="633"/>
      <c r="H1276" s="508" t="str">
        <f>'3 - PLAN. ORÇAMENTÁRIA'!E266</f>
        <v>UN</v>
      </c>
    </row>
    <row r="1277" spans="1:8">
      <c r="A1277" s="106"/>
      <c r="B1277" s="628" t="s">
        <v>593</v>
      </c>
      <c r="C1277" s="628"/>
      <c r="D1277" s="103" t="s">
        <v>579</v>
      </c>
      <c r="E1277" s="103" t="s">
        <v>580</v>
      </c>
      <c r="F1277" s="103" t="s">
        <v>581</v>
      </c>
      <c r="G1277" s="103" t="s">
        <v>582</v>
      </c>
      <c r="H1277" s="103" t="s">
        <v>583</v>
      </c>
    </row>
    <row r="1278" spans="1:8">
      <c r="A1278" s="106"/>
      <c r="B1278" s="239" t="s">
        <v>1544</v>
      </c>
      <c r="C1278" s="229" t="s">
        <v>3794</v>
      </c>
      <c r="D1278" s="130" t="s">
        <v>119</v>
      </c>
      <c r="E1278" s="130" t="s">
        <v>1048</v>
      </c>
      <c r="F1278" s="230">
        <v>4.8000000000000001E-2</v>
      </c>
      <c r="G1278" s="504">
        <v>3.9</v>
      </c>
      <c r="H1278" s="160">
        <f t="shared" ref="H1278:H1279" si="48">ROUND(ROUND(F1278,8)*G1278,2)</f>
        <v>0.19</v>
      </c>
    </row>
    <row r="1279" spans="1:8">
      <c r="B1279" s="130" t="s">
        <v>1139</v>
      </c>
      <c r="C1279" s="229" t="s">
        <v>1142</v>
      </c>
      <c r="D1279" s="130" t="s">
        <v>158</v>
      </c>
      <c r="E1279" s="130" t="s">
        <v>1048</v>
      </c>
      <c r="F1279" s="230">
        <v>1</v>
      </c>
      <c r="G1279" s="504">
        <v>47.18</v>
      </c>
      <c r="H1279" s="160">
        <f t="shared" si="48"/>
        <v>47.18</v>
      </c>
    </row>
    <row r="1280" spans="1:8">
      <c r="B1280" s="222"/>
      <c r="C1280" s="222"/>
      <c r="D1280" s="222"/>
      <c r="E1280" s="222"/>
      <c r="F1280" s="629" t="s">
        <v>604</v>
      </c>
      <c r="G1280" s="629"/>
      <c r="H1280" s="505">
        <f>SUM(H1278:H1279)</f>
        <v>47.37</v>
      </c>
    </row>
    <row r="1281" spans="1:8">
      <c r="B1281" s="628" t="s">
        <v>607</v>
      </c>
      <c r="C1281" s="628"/>
      <c r="D1281" s="103" t="s">
        <v>579</v>
      </c>
      <c r="E1281" s="103" t="s">
        <v>580</v>
      </c>
      <c r="F1281" s="103" t="s">
        <v>581</v>
      </c>
      <c r="G1281" s="103" t="s">
        <v>582</v>
      </c>
      <c r="H1281" s="103" t="s">
        <v>583</v>
      </c>
    </row>
    <row r="1282" spans="1:8">
      <c r="B1282" s="130">
        <v>88267</v>
      </c>
      <c r="C1282" s="229" t="s">
        <v>612</v>
      </c>
      <c r="D1282" s="130" t="s">
        <v>119</v>
      </c>
      <c r="E1282" s="130" t="s">
        <v>121</v>
      </c>
      <c r="F1282" s="230">
        <v>0.17399999999999999</v>
      </c>
      <c r="G1282" s="504">
        <v>30.62</v>
      </c>
      <c r="H1282" s="160">
        <f t="shared" ref="H1282:H1283" si="49">ROUND(ROUND(F1282,8)*G1282,2)</f>
        <v>5.33</v>
      </c>
    </row>
    <row r="1283" spans="1:8">
      <c r="B1283" s="130">
        <v>88316</v>
      </c>
      <c r="C1283" s="229" t="s">
        <v>626</v>
      </c>
      <c r="D1283" s="130" t="s">
        <v>119</v>
      </c>
      <c r="E1283" s="130" t="s">
        <v>121</v>
      </c>
      <c r="F1283" s="230">
        <v>5.4800000000000001E-2</v>
      </c>
      <c r="G1283" s="504">
        <v>23.75</v>
      </c>
      <c r="H1283" s="160">
        <f t="shared" si="49"/>
        <v>1.3</v>
      </c>
    </row>
    <row r="1284" spans="1:8">
      <c r="B1284" s="105"/>
      <c r="C1284" s="105"/>
      <c r="D1284" s="105"/>
      <c r="E1284" s="105"/>
      <c r="F1284" s="629" t="s">
        <v>610</v>
      </c>
      <c r="G1284" s="629"/>
      <c r="H1284" s="505">
        <f>SUM(H1282:H1283)</f>
        <v>6.63</v>
      </c>
    </row>
    <row r="1285" spans="1:8">
      <c r="B1285" s="105"/>
      <c r="C1285" s="105"/>
      <c r="D1285" s="105"/>
      <c r="E1285" s="105"/>
      <c r="F1285" s="630" t="s">
        <v>464</v>
      </c>
      <c r="G1285" s="630"/>
      <c r="H1285" s="102">
        <f>H1284+H1280</f>
        <v>54</v>
      </c>
    </row>
    <row r="1286" spans="1:8">
      <c r="B1286" s="222"/>
      <c r="C1286" s="222"/>
      <c r="D1286" s="222"/>
      <c r="E1286" s="222"/>
      <c r="F1286" s="507"/>
      <c r="G1286" s="507"/>
      <c r="H1286" s="506"/>
    </row>
    <row r="1287" spans="1:8">
      <c r="A1287" s="178" t="str">
        <f>'3 - PLAN. ORÇAMENTÁRIA'!A292</f>
        <v>4.1.6.2.5</v>
      </c>
      <c r="B1287" s="242" t="str">
        <f>'3 - PLAN. ORÇAMENTÁRIA'!B292</f>
        <v>CCU 072</v>
      </c>
      <c r="C1287" s="631" t="str">
        <f>'3 - PLAN. ORÇAMENTÁRIA'!C292</f>
        <v>SIFÃO COM VÁLVULA PARA TANQUE DE LAVAR, 1 1/4"X40, AKROS N°. 8 OU SIMILAR - FORNECIMENTO E INSTALAÇÃO</v>
      </c>
      <c r="D1287" s="632"/>
      <c r="E1287" s="632"/>
      <c r="F1287" s="632"/>
      <c r="G1287" s="633"/>
      <c r="H1287" s="508" t="str">
        <f>'3 - PLAN. ORÇAMENTÁRIA'!E292</f>
        <v>UN</v>
      </c>
    </row>
    <row r="1288" spans="1:8">
      <c r="A1288" s="106"/>
      <c r="B1288" s="628" t="s">
        <v>593</v>
      </c>
      <c r="C1288" s="628"/>
      <c r="D1288" s="103" t="s">
        <v>579</v>
      </c>
      <c r="E1288" s="103" t="s">
        <v>580</v>
      </c>
      <c r="F1288" s="103" t="s">
        <v>581</v>
      </c>
      <c r="G1288" s="103" t="s">
        <v>582</v>
      </c>
      <c r="H1288" s="103" t="s">
        <v>583</v>
      </c>
    </row>
    <row r="1289" spans="1:8">
      <c r="A1289" s="106"/>
      <c r="B1289" s="239" t="s">
        <v>1544</v>
      </c>
      <c r="C1289" s="229" t="s">
        <v>3794</v>
      </c>
      <c r="D1289" s="130" t="s">
        <v>119</v>
      </c>
      <c r="E1289" s="130" t="s">
        <v>1048</v>
      </c>
      <c r="F1289" s="230">
        <v>3.32E-2</v>
      </c>
      <c r="G1289" s="504">
        <v>3.9</v>
      </c>
      <c r="H1289" s="160">
        <f t="shared" ref="H1289:H1290" si="50">ROUND(ROUND(F1289,8)*G1289,2)</f>
        <v>0.13</v>
      </c>
    </row>
    <row r="1290" spans="1:8">
      <c r="B1290" s="130" t="s">
        <v>1160</v>
      </c>
      <c r="C1290" s="229" t="s">
        <v>1161</v>
      </c>
      <c r="D1290" s="130" t="s">
        <v>158</v>
      </c>
      <c r="E1290" s="130" t="s">
        <v>1048</v>
      </c>
      <c r="F1290" s="230">
        <v>1</v>
      </c>
      <c r="G1290" s="504">
        <v>8.7799999999999994</v>
      </c>
      <c r="H1290" s="160">
        <f t="shared" si="50"/>
        <v>8.7799999999999994</v>
      </c>
    </row>
    <row r="1291" spans="1:8">
      <c r="B1291" s="222"/>
      <c r="C1291" s="222"/>
      <c r="D1291" s="222"/>
      <c r="E1291" s="222"/>
      <c r="F1291" s="629" t="s">
        <v>604</v>
      </c>
      <c r="G1291" s="629"/>
      <c r="H1291" s="505">
        <f>SUM(H1289:H1290)</f>
        <v>8.91</v>
      </c>
    </row>
    <row r="1292" spans="1:8">
      <c r="B1292" s="628" t="s">
        <v>607</v>
      </c>
      <c r="C1292" s="628"/>
      <c r="D1292" s="103" t="s">
        <v>579</v>
      </c>
      <c r="E1292" s="103" t="s">
        <v>580</v>
      </c>
      <c r="F1292" s="103" t="s">
        <v>581</v>
      </c>
      <c r="G1292" s="103" t="s">
        <v>582</v>
      </c>
      <c r="H1292" s="103" t="s">
        <v>583</v>
      </c>
    </row>
    <row r="1293" spans="1:8">
      <c r="B1293" s="130">
        <v>88267</v>
      </c>
      <c r="C1293" s="229" t="s">
        <v>612</v>
      </c>
      <c r="D1293" s="130" t="s">
        <v>119</v>
      </c>
      <c r="E1293" s="130" t="s">
        <v>121</v>
      </c>
      <c r="F1293" s="230">
        <v>0.27339999999999998</v>
      </c>
      <c r="G1293" s="504">
        <v>30.62</v>
      </c>
      <c r="H1293" s="160">
        <f t="shared" ref="H1293:H1294" si="51">ROUND(ROUND(F1293,8)*G1293,2)</f>
        <v>8.3699999999999992</v>
      </c>
    </row>
    <row r="1294" spans="1:8">
      <c r="B1294" s="130">
        <v>88316</v>
      </c>
      <c r="C1294" s="229" t="s">
        <v>626</v>
      </c>
      <c r="D1294" s="130" t="s">
        <v>119</v>
      </c>
      <c r="E1294" s="130" t="s">
        <v>121</v>
      </c>
      <c r="F1294" s="230">
        <v>8.6199999999999999E-2</v>
      </c>
      <c r="G1294" s="504">
        <v>23.75</v>
      </c>
      <c r="H1294" s="160">
        <f t="shared" si="51"/>
        <v>2.0499999999999998</v>
      </c>
    </row>
    <row r="1295" spans="1:8">
      <c r="B1295" s="105"/>
      <c r="C1295" s="105"/>
      <c r="D1295" s="105"/>
      <c r="E1295" s="105"/>
      <c r="F1295" s="629" t="s">
        <v>610</v>
      </c>
      <c r="G1295" s="629"/>
      <c r="H1295" s="505">
        <f>SUM(H1293:H1294)</f>
        <v>10.419999999999998</v>
      </c>
    </row>
    <row r="1296" spans="1:8">
      <c r="B1296" s="105"/>
      <c r="C1296" s="105"/>
      <c r="D1296" s="105"/>
      <c r="E1296" s="105"/>
      <c r="F1296" s="630" t="s">
        <v>464</v>
      </c>
      <c r="G1296" s="630"/>
      <c r="H1296" s="102">
        <f>H1295+H1291</f>
        <v>19.329999999999998</v>
      </c>
    </row>
    <row r="1297" spans="1:8">
      <c r="B1297" s="222"/>
      <c r="C1297" s="222"/>
      <c r="D1297" s="222"/>
      <c r="E1297" s="222"/>
      <c r="F1297" s="507"/>
      <c r="G1297" s="507"/>
      <c r="H1297" s="506"/>
    </row>
    <row r="1298" spans="1:8">
      <c r="A1298" s="178" t="str">
        <f>'3 - PLAN. ORÇAMENTÁRIA'!A344</f>
        <v>4.3.37</v>
      </c>
      <c r="B1298" s="242" t="str">
        <f>'3 - PLAN. ORÇAMENTÁRIA'!B344</f>
        <v>CCU 101</v>
      </c>
      <c r="C1298" s="631" t="str">
        <f>'3 - PLAN. ORÇAMENTÁRIA'!C344</f>
        <v>SUPORTE MÃO FRANCESA EM PERFIL TREFILADO "T" (32X32X3,2MM) REF. 100862/SINAPI</v>
      </c>
      <c r="D1298" s="632"/>
      <c r="E1298" s="632"/>
      <c r="F1298" s="632"/>
      <c r="G1298" s="633"/>
      <c r="H1298" s="508" t="str">
        <f>'3 - PLAN. ORÇAMENTÁRIA'!E344</f>
        <v>UN</v>
      </c>
    </row>
    <row r="1299" spans="1:8">
      <c r="A1299" s="106"/>
      <c r="B1299" s="628" t="s">
        <v>593</v>
      </c>
      <c r="C1299" s="628"/>
      <c r="D1299" s="103" t="s">
        <v>579</v>
      </c>
      <c r="E1299" s="103" t="s">
        <v>580</v>
      </c>
      <c r="F1299" s="103" t="s">
        <v>581</v>
      </c>
      <c r="G1299" s="103" t="s">
        <v>582</v>
      </c>
      <c r="H1299" s="103" t="s">
        <v>583</v>
      </c>
    </row>
    <row r="1300" spans="1:8" ht="25.5">
      <c r="A1300" s="106"/>
      <c r="B1300" s="239" t="s">
        <v>651</v>
      </c>
      <c r="C1300" s="229" t="s">
        <v>652</v>
      </c>
      <c r="D1300" s="130" t="s">
        <v>119</v>
      </c>
      <c r="E1300" s="130" t="s">
        <v>1048</v>
      </c>
      <c r="F1300" s="230">
        <v>4</v>
      </c>
      <c r="G1300" s="504">
        <v>1.1599999999999999</v>
      </c>
      <c r="H1300" s="160">
        <f t="shared" ref="H1300:H1301" si="52">ROUND(ROUND(F1300,8)*G1300,2)</f>
        <v>4.6399999999999997</v>
      </c>
    </row>
    <row r="1301" spans="1:8">
      <c r="B1301" s="130" t="s">
        <v>4082</v>
      </c>
      <c r="C1301" s="229" t="s">
        <v>4083</v>
      </c>
      <c r="D1301" s="130" t="s">
        <v>592</v>
      </c>
      <c r="E1301" s="130" t="s">
        <v>1048</v>
      </c>
      <c r="F1301" s="230">
        <v>1</v>
      </c>
      <c r="G1301" s="504">
        <v>59.63</v>
      </c>
      <c r="H1301" s="160">
        <f t="shared" si="52"/>
        <v>59.63</v>
      </c>
    </row>
    <row r="1302" spans="1:8">
      <c r="B1302" s="222"/>
      <c r="C1302" s="222"/>
      <c r="D1302" s="222"/>
      <c r="E1302" s="222"/>
      <c r="F1302" s="629" t="s">
        <v>604</v>
      </c>
      <c r="G1302" s="629"/>
      <c r="H1302" s="505">
        <f>SUM(H1300:H1301)</f>
        <v>64.27</v>
      </c>
    </row>
    <row r="1303" spans="1:8">
      <c r="B1303" s="628" t="s">
        <v>607</v>
      </c>
      <c r="C1303" s="628"/>
      <c r="D1303" s="103" t="s">
        <v>579</v>
      </c>
      <c r="E1303" s="103" t="s">
        <v>580</v>
      </c>
      <c r="F1303" s="103" t="s">
        <v>581</v>
      </c>
      <c r="G1303" s="103" t="s">
        <v>582</v>
      </c>
      <c r="H1303" s="103" t="s">
        <v>583</v>
      </c>
    </row>
    <row r="1304" spans="1:8">
      <c r="B1304" s="130">
        <v>88267</v>
      </c>
      <c r="C1304" s="229" t="s">
        <v>612</v>
      </c>
      <c r="D1304" s="130" t="s">
        <v>119</v>
      </c>
      <c r="E1304" s="130" t="s">
        <v>121</v>
      </c>
      <c r="F1304" s="230">
        <v>0.4743</v>
      </c>
      <c r="G1304" s="504">
        <v>30.62</v>
      </c>
      <c r="H1304" s="160">
        <f t="shared" ref="H1304:H1305" si="53">ROUND(ROUND(F1304,8)*G1304,2)</f>
        <v>14.52</v>
      </c>
    </row>
    <row r="1305" spans="1:8">
      <c r="B1305" s="130">
        <v>88316</v>
      </c>
      <c r="C1305" s="229" t="s">
        <v>626</v>
      </c>
      <c r="D1305" s="130" t="s">
        <v>119</v>
      </c>
      <c r="E1305" s="130" t="s">
        <v>121</v>
      </c>
      <c r="F1305" s="230">
        <v>0.14940000000000001</v>
      </c>
      <c r="G1305" s="504">
        <v>23.75</v>
      </c>
      <c r="H1305" s="160">
        <f t="shared" si="53"/>
        <v>3.55</v>
      </c>
    </row>
    <row r="1306" spans="1:8">
      <c r="B1306" s="105"/>
      <c r="C1306" s="105"/>
      <c r="D1306" s="105"/>
      <c r="E1306" s="105"/>
      <c r="F1306" s="629" t="s">
        <v>610</v>
      </c>
      <c r="G1306" s="629"/>
      <c r="H1306" s="505">
        <f>SUM(H1304:H1305)</f>
        <v>18.07</v>
      </c>
    </row>
    <row r="1307" spans="1:8">
      <c r="B1307" s="105"/>
      <c r="C1307" s="105"/>
      <c r="D1307" s="105"/>
      <c r="E1307" s="105"/>
      <c r="F1307" s="630" t="s">
        <v>464</v>
      </c>
      <c r="G1307" s="630"/>
      <c r="H1307" s="102">
        <f>H1306+H1302</f>
        <v>82.34</v>
      </c>
    </row>
    <row r="1308" spans="1:8">
      <c r="B1308" s="222"/>
      <c r="C1308" s="222"/>
      <c r="D1308" s="222"/>
      <c r="E1308" s="222"/>
      <c r="F1308" s="507"/>
      <c r="G1308" s="507"/>
      <c r="H1308" s="506"/>
    </row>
    <row r="1309" spans="1:8" ht="12.75" customHeight="1">
      <c r="A1309" s="178" t="str">
        <f>'3 - PLAN. ORÇAMENTÁRIA'!A134</f>
        <v>3.4.2.1.2</v>
      </c>
      <c r="B1309" s="242" t="str">
        <f>'3 - PLAN. ORÇAMENTÁRIA'!B134</f>
        <v>CCU 202</v>
      </c>
      <c r="C1309" s="631" t="str">
        <f>'3 - PLAN. ORÇAMENTÁRIA'!C134</f>
        <v>CONCRETAGEM DE PILARES, FCK = 30 MPA, COM USO DE BOMBA - LANÇAMENTO, ADENSAMENTO E ACABAMENTO. AF_02/2022_PS REF. 103672/SINAPI</v>
      </c>
      <c r="D1309" s="632"/>
      <c r="E1309" s="632"/>
      <c r="F1309" s="632"/>
      <c r="G1309" s="633"/>
      <c r="H1309" s="530" t="str">
        <f>'3 - PLAN. ORÇAMENTÁRIA'!E134</f>
        <v>M3</v>
      </c>
    </row>
    <row r="1310" spans="1:8">
      <c r="A1310" s="106"/>
      <c r="B1310" s="628" t="s">
        <v>1301</v>
      </c>
      <c r="C1310" s="628"/>
      <c r="D1310" s="103" t="s">
        <v>579</v>
      </c>
      <c r="E1310" s="103" t="s">
        <v>580</v>
      </c>
      <c r="F1310" s="103" t="s">
        <v>581</v>
      </c>
      <c r="G1310" s="103" t="s">
        <v>582</v>
      </c>
      <c r="H1310" s="103" t="s">
        <v>583</v>
      </c>
    </row>
    <row r="1311" spans="1:8">
      <c r="A1311" s="106"/>
      <c r="B1311" s="130">
        <v>90587</v>
      </c>
      <c r="C1311" s="229" t="s">
        <v>1402</v>
      </c>
      <c r="D1311" s="130" t="s">
        <v>119</v>
      </c>
      <c r="E1311" s="130" t="s">
        <v>1304</v>
      </c>
      <c r="F1311" s="230">
        <v>0.13</v>
      </c>
      <c r="G1311" s="494">
        <v>0.53</v>
      </c>
      <c r="H1311" s="160">
        <f t="shared" ref="H1311:H1312" si="54">ROUND(ROUND(F1311,8)*G1311,2)</f>
        <v>7.0000000000000007E-2</v>
      </c>
    </row>
    <row r="1312" spans="1:8" ht="25.5">
      <c r="A1312" s="106"/>
      <c r="B1312" s="130">
        <v>90586</v>
      </c>
      <c r="C1312" s="229" t="s">
        <v>1404</v>
      </c>
      <c r="D1312" s="130" t="s">
        <v>119</v>
      </c>
      <c r="E1312" s="130" t="s">
        <v>1307</v>
      </c>
      <c r="F1312" s="230">
        <v>9.4E-2</v>
      </c>
      <c r="G1312" s="494">
        <v>1.23</v>
      </c>
      <c r="H1312" s="160">
        <f t="shared" si="54"/>
        <v>0.12</v>
      </c>
    </row>
    <row r="1313" spans="1:9">
      <c r="A1313" s="106"/>
      <c r="B1313" s="105"/>
      <c r="C1313" s="105"/>
      <c r="D1313" s="105"/>
      <c r="E1313" s="105"/>
      <c r="F1313" s="629" t="s">
        <v>1308</v>
      </c>
      <c r="G1313" s="629"/>
      <c r="H1313" s="495">
        <f>SUM(H1311:H1312)</f>
        <v>0.19</v>
      </c>
    </row>
    <row r="1314" spans="1:9">
      <c r="A1314" s="106"/>
      <c r="B1314" s="628" t="s">
        <v>593</v>
      </c>
      <c r="C1314" s="628"/>
      <c r="D1314" s="103" t="s">
        <v>579</v>
      </c>
      <c r="E1314" s="103" t="s">
        <v>580</v>
      </c>
      <c r="F1314" s="103" t="s">
        <v>581</v>
      </c>
      <c r="G1314" s="103" t="s">
        <v>582</v>
      </c>
      <c r="H1314" s="103" t="s">
        <v>583</v>
      </c>
    </row>
    <row r="1315" spans="1:9" ht="25.5">
      <c r="A1315" s="106"/>
      <c r="B1315" s="130" t="s">
        <v>1405</v>
      </c>
      <c r="C1315" s="229" t="s">
        <v>4192</v>
      </c>
      <c r="D1315" s="130" t="s">
        <v>119</v>
      </c>
      <c r="E1315" s="130" t="s">
        <v>167</v>
      </c>
      <c r="F1315" s="230">
        <v>1.103</v>
      </c>
      <c r="G1315" s="494">
        <v>539.62</v>
      </c>
      <c r="H1315" s="160">
        <f t="shared" ref="H1315" si="55">ROUND(ROUND(F1315,8)*G1315,2)</f>
        <v>595.20000000000005</v>
      </c>
    </row>
    <row r="1316" spans="1:9">
      <c r="A1316" s="106"/>
      <c r="B1316" s="105"/>
      <c r="C1316" s="105"/>
      <c r="D1316" s="105"/>
      <c r="E1316" s="105"/>
      <c r="F1316" s="629" t="s">
        <v>604</v>
      </c>
      <c r="G1316" s="629"/>
      <c r="H1316" s="495">
        <f>H1315</f>
        <v>595.20000000000005</v>
      </c>
    </row>
    <row r="1317" spans="1:9">
      <c r="A1317" s="106"/>
      <c r="B1317" s="628" t="s">
        <v>607</v>
      </c>
      <c r="C1317" s="628"/>
      <c r="D1317" s="103" t="s">
        <v>579</v>
      </c>
      <c r="E1317" s="103" t="s">
        <v>580</v>
      </c>
      <c r="F1317" s="103" t="s">
        <v>581</v>
      </c>
      <c r="G1317" s="103" t="s">
        <v>582</v>
      </c>
      <c r="H1317" s="103" t="s">
        <v>583</v>
      </c>
    </row>
    <row r="1318" spans="1:9">
      <c r="A1318" s="106"/>
      <c r="B1318" s="130">
        <v>88262</v>
      </c>
      <c r="C1318" s="229" t="s">
        <v>618</v>
      </c>
      <c r="D1318" s="130" t="s">
        <v>119</v>
      </c>
      <c r="E1318" s="130" t="s">
        <v>121</v>
      </c>
      <c r="F1318" s="230">
        <v>0.224</v>
      </c>
      <c r="G1318" s="532">
        <v>30.91</v>
      </c>
      <c r="H1318" s="160">
        <f t="shared" ref="H1318:H1320" si="56">ROUND(ROUND(F1318,8)*G1318,2)</f>
        <v>6.92</v>
      </c>
    </row>
    <row r="1319" spans="1:9">
      <c r="A1319" s="106"/>
      <c r="B1319" s="130" t="s">
        <v>639</v>
      </c>
      <c r="C1319" s="229" t="s">
        <v>640</v>
      </c>
      <c r="D1319" s="130" t="s">
        <v>119</v>
      </c>
      <c r="E1319" s="130" t="s">
        <v>121</v>
      </c>
      <c r="F1319" s="230">
        <v>0.224</v>
      </c>
      <c r="G1319" s="494">
        <v>31.34</v>
      </c>
      <c r="H1319" s="160">
        <f t="shared" si="56"/>
        <v>7.02</v>
      </c>
    </row>
    <row r="1320" spans="1:9">
      <c r="A1320" s="106"/>
      <c r="B1320" s="130" t="s">
        <v>625</v>
      </c>
      <c r="C1320" s="229" t="s">
        <v>626</v>
      </c>
      <c r="D1320" s="130" t="s">
        <v>119</v>
      </c>
      <c r="E1320" s="130" t="s">
        <v>121</v>
      </c>
      <c r="F1320" s="230">
        <v>1.345</v>
      </c>
      <c r="G1320" s="494">
        <v>23.75</v>
      </c>
      <c r="H1320" s="160">
        <f t="shared" si="56"/>
        <v>31.94</v>
      </c>
    </row>
    <row r="1321" spans="1:9">
      <c r="A1321" s="106"/>
      <c r="B1321" s="105"/>
      <c r="C1321" s="105"/>
      <c r="D1321" s="105"/>
      <c r="E1321" s="105"/>
      <c r="F1321" s="629" t="s">
        <v>610</v>
      </c>
      <c r="G1321" s="629"/>
      <c r="H1321" s="495">
        <f>SUM(H1318:H1320)</f>
        <v>45.88</v>
      </c>
    </row>
    <row r="1322" spans="1:9">
      <c r="A1322" s="106"/>
      <c r="B1322" s="105"/>
      <c r="C1322" s="105"/>
      <c r="D1322" s="105"/>
      <c r="E1322" s="105"/>
      <c r="F1322" s="630" t="s">
        <v>464</v>
      </c>
      <c r="G1322" s="630"/>
      <c r="H1322" s="102">
        <f>H1313+H1316+H1321</f>
        <v>641.2700000000001</v>
      </c>
    </row>
    <row r="1323" spans="1:9">
      <c r="B1323" s="222"/>
      <c r="C1323" s="222"/>
      <c r="D1323" s="222"/>
      <c r="E1323" s="222"/>
      <c r="F1323" s="531"/>
      <c r="G1323" s="531"/>
      <c r="H1323" s="533"/>
    </row>
    <row r="1324" spans="1:9">
      <c r="B1324" s="222"/>
      <c r="C1324" s="222"/>
      <c r="D1324" s="222"/>
      <c r="E1324" s="222"/>
      <c r="F1324" s="531"/>
      <c r="G1324" s="531"/>
      <c r="H1324" s="533"/>
    </row>
    <row r="1325" spans="1:9">
      <c r="B1325" s="222"/>
      <c r="C1325" s="222"/>
      <c r="D1325" s="222"/>
      <c r="E1325" s="222"/>
      <c r="F1325" s="531"/>
      <c r="G1325" s="531"/>
      <c r="H1325" s="533"/>
    </row>
    <row r="1326" spans="1:9" ht="12.75" customHeight="1">
      <c r="A1326" s="650" t="s">
        <v>1003</v>
      </c>
      <c r="B1326" s="650"/>
      <c r="C1326" s="650"/>
      <c r="D1326" s="650"/>
      <c r="E1326" s="650"/>
      <c r="F1326" s="650"/>
      <c r="G1326" s="650"/>
      <c r="H1326" s="650"/>
      <c r="I1326" s="650"/>
    </row>
    <row r="1327" spans="1:9" ht="12.75" customHeight="1">
      <c r="A1327" s="650"/>
      <c r="B1327" s="650"/>
      <c r="C1327" s="650"/>
      <c r="D1327" s="650"/>
      <c r="E1327" s="650"/>
      <c r="F1327" s="650"/>
      <c r="G1327" s="650"/>
      <c r="H1327" s="650"/>
      <c r="I1327" s="650"/>
    </row>
    <row r="1328" spans="1:9" ht="12.75" customHeight="1">
      <c r="A1328" s="650"/>
      <c r="B1328" s="650"/>
      <c r="C1328" s="650"/>
      <c r="D1328" s="650"/>
      <c r="E1328" s="650"/>
      <c r="F1328" s="650"/>
      <c r="G1328" s="650"/>
      <c r="H1328" s="650"/>
      <c r="I1328" s="650"/>
    </row>
    <row r="1330" spans="1:10" ht="27" customHeight="1">
      <c r="A1330" s="178" t="str">
        <f>'3 - PLAN. ORÇAMENTÁRIA'!A24</f>
        <v>2.1.1.4</v>
      </c>
      <c r="B1330" s="178" t="str">
        <f>'3 - PLAN. ORÇAMENTÁRIA'!B24</f>
        <v>CCU 004</v>
      </c>
      <c r="C1330" s="631" t="str">
        <f>'3 - PLAN. ORÇAMENTÁRIA'!C24</f>
        <v>CONSTRUÇÃO DE GUARITA/POSTO DE VIGIA PROVISÓRIO EM MADEIRA - FORNECIMENTO E MONTAGEM REF. 02.01.021/SP OBRAS</v>
      </c>
      <c r="D1330" s="632"/>
      <c r="E1330" s="632"/>
      <c r="F1330" s="632"/>
      <c r="G1330" s="633"/>
      <c r="H1330" s="131" t="s">
        <v>139</v>
      </c>
      <c r="J1330" s="220" t="str">
        <f>B1369</f>
        <v>Foi retirado o insumo/mão de obra de Engenheiro Civil da composição do item, pois o mesmo já está sendo considerado na etapa de Serviços Técnicos desta planilha</v>
      </c>
    </row>
    <row r="1331" spans="1:10">
      <c r="B1331" s="628" t="s">
        <v>588</v>
      </c>
      <c r="C1331" s="628"/>
      <c r="D1331" s="103" t="s">
        <v>579</v>
      </c>
      <c r="E1331" s="103" t="s">
        <v>580</v>
      </c>
      <c r="F1331" s="103" t="s">
        <v>581</v>
      </c>
      <c r="G1331" s="103" t="s">
        <v>582</v>
      </c>
      <c r="H1331" s="103" t="s">
        <v>583</v>
      </c>
    </row>
    <row r="1332" spans="1:10" ht="25.5">
      <c r="B1332" s="159" t="s">
        <v>590</v>
      </c>
      <c r="C1332" s="221" t="s">
        <v>591</v>
      </c>
      <c r="D1332" s="159" t="s">
        <v>592</v>
      </c>
      <c r="E1332" s="159" t="s">
        <v>144</v>
      </c>
      <c r="F1332" s="174">
        <v>4.3999999999999997E-2</v>
      </c>
      <c r="G1332" s="160">
        <v>56.18</v>
      </c>
      <c r="H1332" s="160">
        <f>ROUND(ROUND(F1332,8)*G1332,2)</f>
        <v>2.4700000000000002</v>
      </c>
    </row>
    <row r="1333" spans="1:10">
      <c r="B1333" s="222"/>
      <c r="C1333" s="222"/>
      <c r="D1333" s="222"/>
      <c r="E1333" s="222"/>
      <c r="F1333" s="630" t="s">
        <v>589</v>
      </c>
      <c r="G1333" s="630"/>
      <c r="H1333" s="102">
        <f>H1332</f>
        <v>2.4700000000000002</v>
      </c>
    </row>
    <row r="1334" spans="1:10">
      <c r="B1334" s="628" t="s">
        <v>593</v>
      </c>
      <c r="C1334" s="628"/>
      <c r="D1334" s="103" t="s">
        <v>579</v>
      </c>
      <c r="E1334" s="103" t="s">
        <v>580</v>
      </c>
      <c r="F1334" s="103" t="s">
        <v>581</v>
      </c>
      <c r="G1334" s="103" t="s">
        <v>582</v>
      </c>
      <c r="H1334" s="103" t="s">
        <v>583</v>
      </c>
    </row>
    <row r="1335" spans="1:10" ht="25.5">
      <c r="B1335" s="159" t="s">
        <v>700</v>
      </c>
      <c r="C1335" s="221" t="s">
        <v>701</v>
      </c>
      <c r="D1335" s="159" t="s">
        <v>119</v>
      </c>
      <c r="E1335" s="159" t="s">
        <v>173</v>
      </c>
      <c r="F1335" s="174">
        <v>1.54</v>
      </c>
      <c r="G1335" s="160">
        <v>2.83</v>
      </c>
      <c r="H1335" s="160">
        <f t="shared" ref="H1335:H1354" si="57">ROUND(ROUND(F1335,8)*G1335,2)</f>
        <v>4.3600000000000003</v>
      </c>
    </row>
    <row r="1336" spans="1:10" ht="25.5">
      <c r="B1336" s="159" t="s">
        <v>641</v>
      </c>
      <c r="C1336" s="221" t="s">
        <v>642</v>
      </c>
      <c r="D1336" s="159" t="s">
        <v>119</v>
      </c>
      <c r="E1336" s="159" t="s">
        <v>139</v>
      </c>
      <c r="F1336" s="174">
        <v>2.048</v>
      </c>
      <c r="G1336" s="160">
        <v>38.04</v>
      </c>
      <c r="H1336" s="160">
        <f t="shared" si="57"/>
        <v>77.91</v>
      </c>
    </row>
    <row r="1337" spans="1:10" ht="25.5">
      <c r="B1337" s="173" t="s">
        <v>2302</v>
      </c>
      <c r="C1337" s="221" t="s">
        <v>2303</v>
      </c>
      <c r="D1337" s="159" t="s">
        <v>119</v>
      </c>
      <c r="E1337" s="159" t="s">
        <v>167</v>
      </c>
      <c r="F1337" s="174">
        <v>0.1</v>
      </c>
      <c r="G1337" s="160">
        <v>507.41</v>
      </c>
      <c r="H1337" s="160">
        <f t="shared" si="57"/>
        <v>50.74</v>
      </c>
    </row>
    <row r="1338" spans="1:10">
      <c r="B1338" s="173" t="s">
        <v>2304</v>
      </c>
      <c r="C1338" s="221" t="s">
        <v>2305</v>
      </c>
      <c r="D1338" s="159" t="s">
        <v>119</v>
      </c>
      <c r="E1338" s="159" t="s">
        <v>144</v>
      </c>
      <c r="F1338" s="174">
        <v>9.6000000000000002E-2</v>
      </c>
      <c r="G1338" s="160">
        <v>28.82</v>
      </c>
      <c r="H1338" s="160">
        <f t="shared" si="57"/>
        <v>2.77</v>
      </c>
    </row>
    <row r="1339" spans="1:10">
      <c r="B1339" s="173" t="s">
        <v>2308</v>
      </c>
      <c r="C1339" s="221" t="s">
        <v>2309</v>
      </c>
      <c r="D1339" s="159" t="s">
        <v>119</v>
      </c>
      <c r="E1339" s="159" t="s">
        <v>173</v>
      </c>
      <c r="F1339" s="174">
        <v>4.3999999999999997E-2</v>
      </c>
      <c r="G1339" s="160">
        <v>13.89</v>
      </c>
      <c r="H1339" s="160">
        <f t="shared" si="57"/>
        <v>0.61</v>
      </c>
    </row>
    <row r="1340" spans="1:10">
      <c r="B1340" s="173" t="s">
        <v>2306</v>
      </c>
      <c r="C1340" s="221" t="s">
        <v>2307</v>
      </c>
      <c r="D1340" s="159" t="s">
        <v>119</v>
      </c>
      <c r="E1340" s="159" t="s">
        <v>173</v>
      </c>
      <c r="F1340" s="174">
        <v>4.3999999999999997E-2</v>
      </c>
      <c r="G1340" s="160">
        <v>4.88</v>
      </c>
      <c r="H1340" s="160">
        <f t="shared" si="57"/>
        <v>0.21</v>
      </c>
    </row>
    <row r="1341" spans="1:10" ht="25.5">
      <c r="B1341" s="159" t="s">
        <v>594</v>
      </c>
      <c r="C1341" s="221" t="s">
        <v>595</v>
      </c>
      <c r="D1341" s="159" t="s">
        <v>592</v>
      </c>
      <c r="E1341" s="159" t="s">
        <v>315</v>
      </c>
      <c r="F1341" s="174">
        <v>1.78E-2</v>
      </c>
      <c r="G1341" s="160">
        <v>109.57</v>
      </c>
      <c r="H1341" s="160">
        <f t="shared" si="57"/>
        <v>1.95</v>
      </c>
    </row>
    <row r="1342" spans="1:10">
      <c r="B1342" s="159" t="s">
        <v>596</v>
      </c>
      <c r="C1342" s="221" t="s">
        <v>597</v>
      </c>
      <c r="D1342" s="159" t="s">
        <v>592</v>
      </c>
      <c r="E1342" s="159" t="s">
        <v>144</v>
      </c>
      <c r="F1342" s="174">
        <v>0.33600000000000002</v>
      </c>
      <c r="G1342" s="160">
        <v>3.27</v>
      </c>
      <c r="H1342" s="160">
        <f t="shared" si="57"/>
        <v>1.1000000000000001</v>
      </c>
    </row>
    <row r="1343" spans="1:10">
      <c r="B1343" s="173" t="s">
        <v>1755</v>
      </c>
      <c r="C1343" s="221" t="s">
        <v>1756</v>
      </c>
      <c r="D1343" s="159" t="s">
        <v>119</v>
      </c>
      <c r="E1343" s="159" t="s">
        <v>144</v>
      </c>
      <c r="F1343" s="174">
        <v>2.1999999999999999E-2</v>
      </c>
      <c r="G1343" s="160">
        <v>9.24</v>
      </c>
      <c r="H1343" s="160">
        <f t="shared" si="57"/>
        <v>0.2</v>
      </c>
    </row>
    <row r="1344" spans="1:10" ht="25.5">
      <c r="B1344" s="159" t="s">
        <v>598</v>
      </c>
      <c r="C1344" s="221" t="s">
        <v>599</v>
      </c>
      <c r="D1344" s="159" t="s">
        <v>592</v>
      </c>
      <c r="E1344" s="159" t="s">
        <v>144</v>
      </c>
      <c r="F1344" s="174">
        <v>8.7999999999999995E-2</v>
      </c>
      <c r="G1344" s="160">
        <v>11.95</v>
      </c>
      <c r="H1344" s="160">
        <f t="shared" si="57"/>
        <v>1.05</v>
      </c>
    </row>
    <row r="1345" spans="2:8">
      <c r="B1345" s="173" t="s">
        <v>1007</v>
      </c>
      <c r="C1345" s="221" t="s">
        <v>1008</v>
      </c>
      <c r="D1345" s="159" t="s">
        <v>119</v>
      </c>
      <c r="E1345" s="159" t="s">
        <v>144</v>
      </c>
      <c r="F1345" s="174">
        <v>3</v>
      </c>
      <c r="G1345" s="160">
        <v>1.29</v>
      </c>
      <c r="H1345" s="160">
        <f t="shared" si="57"/>
        <v>3.87</v>
      </c>
    </row>
    <row r="1346" spans="2:8">
      <c r="B1346" s="159" t="s">
        <v>600</v>
      </c>
      <c r="C1346" s="221" t="s">
        <v>601</v>
      </c>
      <c r="D1346" s="159" t="s">
        <v>592</v>
      </c>
      <c r="E1346" s="159" t="s">
        <v>144</v>
      </c>
      <c r="F1346" s="174">
        <v>2.1999999999999999E-2</v>
      </c>
      <c r="G1346" s="160">
        <v>66.19</v>
      </c>
      <c r="H1346" s="160">
        <f t="shared" si="57"/>
        <v>1.46</v>
      </c>
    </row>
    <row r="1347" spans="2:8">
      <c r="B1347" s="173" t="s">
        <v>1309</v>
      </c>
      <c r="C1347" s="221" t="s">
        <v>1310</v>
      </c>
      <c r="D1347" s="159" t="s">
        <v>119</v>
      </c>
      <c r="E1347" s="159" t="s">
        <v>173</v>
      </c>
      <c r="F1347" s="174">
        <v>3.944</v>
      </c>
      <c r="G1347" s="160">
        <v>7.78</v>
      </c>
      <c r="H1347" s="160">
        <f t="shared" si="57"/>
        <v>30.68</v>
      </c>
    </row>
    <row r="1348" spans="2:8">
      <c r="B1348" s="173" t="s">
        <v>615</v>
      </c>
      <c r="C1348" s="221" t="s">
        <v>616</v>
      </c>
      <c r="D1348" s="159" t="s">
        <v>119</v>
      </c>
      <c r="E1348" s="159" t="s">
        <v>200</v>
      </c>
      <c r="F1348" s="174">
        <v>0.39</v>
      </c>
      <c r="G1348" s="160">
        <v>18.399999999999999</v>
      </c>
      <c r="H1348" s="160">
        <f t="shared" si="57"/>
        <v>7.18</v>
      </c>
    </row>
    <row r="1349" spans="2:8">
      <c r="B1349" s="173" t="s">
        <v>2310</v>
      </c>
      <c r="C1349" s="221" t="s">
        <v>2311</v>
      </c>
      <c r="D1349" s="159" t="s">
        <v>119</v>
      </c>
      <c r="E1349" s="159" t="s">
        <v>173</v>
      </c>
      <c r="F1349" s="174">
        <v>2.4750000000000001</v>
      </c>
      <c r="G1349" s="160">
        <v>3.31</v>
      </c>
      <c r="H1349" s="160">
        <f t="shared" si="57"/>
        <v>8.19</v>
      </c>
    </row>
    <row r="1350" spans="2:8">
      <c r="B1350" s="173" t="s">
        <v>2312</v>
      </c>
      <c r="C1350" s="221" t="s">
        <v>2313</v>
      </c>
      <c r="D1350" s="159" t="s">
        <v>119</v>
      </c>
      <c r="E1350" s="159" t="s">
        <v>173</v>
      </c>
      <c r="F1350" s="174">
        <v>0.73199999999999998</v>
      </c>
      <c r="G1350" s="160">
        <v>26.81</v>
      </c>
      <c r="H1350" s="160">
        <f t="shared" si="57"/>
        <v>19.62</v>
      </c>
    </row>
    <row r="1351" spans="2:8">
      <c r="B1351" s="173" t="s">
        <v>2314</v>
      </c>
      <c r="C1351" s="221" t="s">
        <v>2315</v>
      </c>
      <c r="D1351" s="159" t="s">
        <v>119</v>
      </c>
      <c r="E1351" s="159" t="s">
        <v>139</v>
      </c>
      <c r="F1351" s="174">
        <v>0.33600000000000002</v>
      </c>
      <c r="G1351" s="160">
        <v>23.1</v>
      </c>
      <c r="H1351" s="160">
        <f t="shared" si="57"/>
        <v>7.76</v>
      </c>
    </row>
    <row r="1352" spans="2:8">
      <c r="B1352" s="173" t="s">
        <v>632</v>
      </c>
      <c r="C1352" s="221" t="s">
        <v>633</v>
      </c>
      <c r="D1352" s="159" t="s">
        <v>119</v>
      </c>
      <c r="E1352" s="159" t="s">
        <v>107</v>
      </c>
      <c r="F1352" s="174">
        <v>1.23</v>
      </c>
      <c r="G1352" s="160">
        <v>31.4</v>
      </c>
      <c r="H1352" s="160">
        <f t="shared" si="57"/>
        <v>38.619999999999997</v>
      </c>
    </row>
    <row r="1353" spans="2:8">
      <c r="B1353" s="173" t="s">
        <v>2316</v>
      </c>
      <c r="C1353" s="221" t="s">
        <v>2507</v>
      </c>
      <c r="D1353" s="159" t="s">
        <v>119</v>
      </c>
      <c r="E1353" s="159" t="s">
        <v>144</v>
      </c>
      <c r="F1353" s="174">
        <v>2.1999999999999999E-2</v>
      </c>
      <c r="G1353" s="160">
        <v>21.41</v>
      </c>
      <c r="H1353" s="160">
        <f t="shared" si="57"/>
        <v>0.47</v>
      </c>
    </row>
    <row r="1354" spans="2:8">
      <c r="B1354" s="159" t="s">
        <v>602</v>
      </c>
      <c r="C1354" s="221" t="s">
        <v>603</v>
      </c>
      <c r="D1354" s="159" t="s">
        <v>592</v>
      </c>
      <c r="E1354" s="159" t="s">
        <v>139</v>
      </c>
      <c r="F1354" s="174">
        <v>0.24</v>
      </c>
      <c r="G1354" s="160">
        <v>150.36000000000001</v>
      </c>
      <c r="H1354" s="160">
        <f t="shared" si="57"/>
        <v>36.090000000000003</v>
      </c>
    </row>
    <row r="1355" spans="2:8">
      <c r="B1355" s="222"/>
      <c r="C1355" s="222"/>
      <c r="D1355" s="222"/>
      <c r="E1355" s="222"/>
      <c r="F1355" s="630" t="s">
        <v>604</v>
      </c>
      <c r="G1355" s="630"/>
      <c r="H1355" s="102">
        <f>SUM(H1335:H1354)</f>
        <v>294.84000000000003</v>
      </c>
    </row>
    <row r="1356" spans="2:8">
      <c r="B1356" s="628" t="s">
        <v>607</v>
      </c>
      <c r="C1356" s="628"/>
      <c r="D1356" s="103" t="s">
        <v>579</v>
      </c>
      <c r="E1356" s="103" t="s">
        <v>580</v>
      </c>
      <c r="F1356" s="103" t="s">
        <v>581</v>
      </c>
      <c r="G1356" s="103" t="s">
        <v>582</v>
      </c>
      <c r="H1356" s="103" t="s">
        <v>583</v>
      </c>
    </row>
    <row r="1357" spans="2:8">
      <c r="B1357" s="159" t="s">
        <v>1315</v>
      </c>
      <c r="C1357" s="221" t="s">
        <v>617</v>
      </c>
      <c r="D1357" s="159" t="s">
        <v>119</v>
      </c>
      <c r="E1357" s="159" t="s">
        <v>121</v>
      </c>
      <c r="F1357" s="174">
        <v>0.51</v>
      </c>
      <c r="G1357" s="160">
        <v>24.4</v>
      </c>
      <c r="H1357" s="160">
        <f t="shared" ref="H1357:H1365" si="58">ROUND(ROUND(F1357,8)*G1357,2)</f>
        <v>12.44</v>
      </c>
    </row>
    <row r="1358" spans="2:8">
      <c r="B1358" s="159" t="s">
        <v>2508</v>
      </c>
      <c r="C1358" s="221" t="s">
        <v>1000</v>
      </c>
      <c r="D1358" s="159" t="s">
        <v>119</v>
      </c>
      <c r="E1358" s="159" t="s">
        <v>121</v>
      </c>
      <c r="F1358" s="174">
        <v>0.26</v>
      </c>
      <c r="G1358" s="160">
        <v>26.43</v>
      </c>
      <c r="H1358" s="160">
        <f t="shared" si="58"/>
        <v>6.87</v>
      </c>
    </row>
    <row r="1359" spans="2:8">
      <c r="B1359" s="159" t="s">
        <v>1256</v>
      </c>
      <c r="C1359" s="221" t="s">
        <v>608</v>
      </c>
      <c r="D1359" s="159" t="s">
        <v>119</v>
      </c>
      <c r="E1359" s="159" t="s">
        <v>121</v>
      </c>
      <c r="F1359" s="174">
        <v>0.13</v>
      </c>
      <c r="G1359" s="160">
        <v>25</v>
      </c>
      <c r="H1359" s="160">
        <f t="shared" si="58"/>
        <v>3.25</v>
      </c>
    </row>
    <row r="1360" spans="2:8">
      <c r="B1360" s="159" t="s">
        <v>1316</v>
      </c>
      <c r="C1360" s="221" t="s">
        <v>618</v>
      </c>
      <c r="D1360" s="159" t="s">
        <v>119</v>
      </c>
      <c r="E1360" s="159" t="s">
        <v>121</v>
      </c>
      <c r="F1360" s="174">
        <v>0.51</v>
      </c>
      <c r="G1360" s="160">
        <v>30.91</v>
      </c>
      <c r="H1360" s="160">
        <f t="shared" si="58"/>
        <v>15.76</v>
      </c>
    </row>
    <row r="1361" spans="1:8">
      <c r="B1361" s="159" t="s">
        <v>2509</v>
      </c>
      <c r="C1361" s="221" t="s">
        <v>997</v>
      </c>
      <c r="D1361" s="159" t="s">
        <v>119</v>
      </c>
      <c r="E1361" s="159" t="s">
        <v>121</v>
      </c>
      <c r="F1361" s="174">
        <v>7.0000000000000007E-2</v>
      </c>
      <c r="G1361" s="160">
        <v>18.34</v>
      </c>
      <c r="H1361" s="160">
        <f t="shared" si="58"/>
        <v>1.28</v>
      </c>
    </row>
    <row r="1362" spans="1:8">
      <c r="B1362" s="159" t="s">
        <v>1257</v>
      </c>
      <c r="C1362" s="221" t="s">
        <v>609</v>
      </c>
      <c r="D1362" s="159" t="s">
        <v>119</v>
      </c>
      <c r="E1362" s="159" t="s">
        <v>121</v>
      </c>
      <c r="F1362" s="174">
        <v>0.13</v>
      </c>
      <c r="G1362" s="160">
        <v>31.72</v>
      </c>
      <c r="H1362" s="160">
        <f t="shared" si="58"/>
        <v>4.12</v>
      </c>
    </row>
    <row r="1363" spans="1:8">
      <c r="B1363" s="159" t="s">
        <v>639</v>
      </c>
      <c r="C1363" s="221" t="s">
        <v>640</v>
      </c>
      <c r="D1363" s="159" t="s">
        <v>119</v>
      </c>
      <c r="E1363" s="159" t="s">
        <v>121</v>
      </c>
      <c r="F1363" s="174">
        <v>1.05</v>
      </c>
      <c r="G1363" s="160">
        <v>31.34</v>
      </c>
      <c r="H1363" s="160">
        <f t="shared" si="58"/>
        <v>32.909999999999997</v>
      </c>
    </row>
    <row r="1364" spans="1:8">
      <c r="B1364" s="159" t="s">
        <v>1450</v>
      </c>
      <c r="C1364" s="221" t="s">
        <v>663</v>
      </c>
      <c r="D1364" s="159" t="s">
        <v>119</v>
      </c>
      <c r="E1364" s="159" t="s">
        <v>121</v>
      </c>
      <c r="F1364" s="174">
        <v>0.52</v>
      </c>
      <c r="G1364" s="160">
        <v>33.01</v>
      </c>
      <c r="H1364" s="160">
        <f t="shared" si="58"/>
        <v>17.170000000000002</v>
      </c>
    </row>
    <row r="1365" spans="1:8">
      <c r="B1365" s="159" t="s">
        <v>625</v>
      </c>
      <c r="C1365" s="221" t="s">
        <v>626</v>
      </c>
      <c r="D1365" s="159" t="s">
        <v>119</v>
      </c>
      <c r="E1365" s="159" t="s">
        <v>121</v>
      </c>
      <c r="F1365" s="174">
        <v>2.25</v>
      </c>
      <c r="G1365" s="160">
        <v>23.75</v>
      </c>
      <c r="H1365" s="160">
        <f t="shared" si="58"/>
        <v>53.44</v>
      </c>
    </row>
    <row r="1366" spans="1:8">
      <c r="B1366" s="222"/>
      <c r="C1366" s="222"/>
      <c r="D1366" s="222"/>
      <c r="E1366" s="222"/>
      <c r="F1366" s="630" t="s">
        <v>610</v>
      </c>
      <c r="G1366" s="630"/>
      <c r="H1366" s="102">
        <f>SUM(H1357:H1365)</f>
        <v>147.24</v>
      </c>
    </row>
    <row r="1367" spans="1:8">
      <c r="B1367" s="222"/>
      <c r="C1367" s="222"/>
      <c r="D1367" s="222"/>
      <c r="E1367" s="222"/>
      <c r="F1367" s="630" t="s">
        <v>464</v>
      </c>
      <c r="G1367" s="630"/>
      <c r="H1367" s="102">
        <f>H1333+H1355+H1366</f>
        <v>444.55000000000007</v>
      </c>
    </row>
    <row r="1369" spans="1:8">
      <c r="B1369" s="245" t="s">
        <v>2721</v>
      </c>
    </row>
    <row r="1370" spans="1:8">
      <c r="B1370" s="222"/>
      <c r="C1370" s="222"/>
      <c r="D1370" s="222"/>
      <c r="E1370" s="222"/>
      <c r="F1370" s="111"/>
      <c r="G1370" s="111"/>
      <c r="H1370" s="228"/>
    </row>
    <row r="1371" spans="1:8" ht="27" customHeight="1">
      <c r="A1371" s="178" t="str">
        <f>'3 - PLAN. ORÇAMENTÁRIA'!A40</f>
        <v>2.2.2.1</v>
      </c>
      <c r="B1371" s="178" t="str">
        <f>'3 - PLAN. ORÇAMENTÁRIA'!B40</f>
        <v>CCU 005</v>
      </c>
      <c r="C1371" s="631" t="str">
        <f>'3 - PLAN. ORÇAMENTÁRIA'!C40</f>
        <v>REMOÇÃO DE ENTULHO DE OBRA COM CAÇAMBA METÁLICA - MATERIAL VOLUMOSO E MISTURADO POR ALVENARIA, TERRA, MADEIRA, PAPEL, PLÁSTICO E METAL REF. 05.07.050/SP OBRAS</v>
      </c>
      <c r="D1371" s="632"/>
      <c r="E1371" s="632"/>
      <c r="F1371" s="632"/>
      <c r="G1371" s="633"/>
      <c r="H1371" s="131" t="s">
        <v>167</v>
      </c>
    </row>
    <row r="1372" spans="1:8">
      <c r="B1372" s="628" t="s">
        <v>607</v>
      </c>
      <c r="C1372" s="628"/>
      <c r="D1372" s="103" t="s">
        <v>579</v>
      </c>
      <c r="E1372" s="103" t="s">
        <v>580</v>
      </c>
      <c r="F1372" s="103" t="s">
        <v>581</v>
      </c>
      <c r="G1372" s="103" t="s">
        <v>582</v>
      </c>
      <c r="H1372" s="103" t="s">
        <v>583</v>
      </c>
    </row>
    <row r="1373" spans="1:8">
      <c r="B1373" s="159" t="s">
        <v>625</v>
      </c>
      <c r="C1373" s="221" t="s">
        <v>626</v>
      </c>
      <c r="D1373" s="159" t="s">
        <v>119</v>
      </c>
      <c r="E1373" s="159" t="s">
        <v>121</v>
      </c>
      <c r="F1373" s="174">
        <v>0.6</v>
      </c>
      <c r="G1373" s="160">
        <v>23.75</v>
      </c>
      <c r="H1373" s="160">
        <f>ROUND(ROUND(F1373,8)*G1373,2)</f>
        <v>14.25</v>
      </c>
    </row>
    <row r="1374" spans="1:8" ht="12.75" customHeight="1">
      <c r="B1374" s="222"/>
      <c r="C1374" s="222"/>
      <c r="D1374" s="222"/>
      <c r="E1374" s="222"/>
      <c r="F1374" s="630" t="s">
        <v>610</v>
      </c>
      <c r="G1374" s="630"/>
      <c r="H1374" s="102">
        <f>H1373</f>
        <v>14.25</v>
      </c>
    </row>
    <row r="1375" spans="1:8">
      <c r="B1375" s="628" t="s">
        <v>586</v>
      </c>
      <c r="C1375" s="628"/>
      <c r="D1375" s="103" t="s">
        <v>579</v>
      </c>
      <c r="E1375" s="103" t="s">
        <v>580</v>
      </c>
      <c r="F1375" s="103" t="s">
        <v>581</v>
      </c>
      <c r="G1375" s="103" t="s">
        <v>582</v>
      </c>
      <c r="H1375" s="103" t="s">
        <v>583</v>
      </c>
    </row>
    <row r="1376" spans="1:8">
      <c r="B1376" s="159" t="s">
        <v>628</v>
      </c>
      <c r="C1376" s="221" t="s">
        <v>629</v>
      </c>
      <c r="D1376" s="159" t="s">
        <v>592</v>
      </c>
      <c r="E1376" s="159" t="s">
        <v>167</v>
      </c>
      <c r="F1376" s="174">
        <v>1</v>
      </c>
      <c r="G1376" s="160">
        <v>110.27</v>
      </c>
      <c r="H1376" s="160">
        <f>ROUND(ROUND(F1376,8)*G1376,2)</f>
        <v>110.27</v>
      </c>
    </row>
    <row r="1377" spans="1:8">
      <c r="B1377" s="222"/>
      <c r="C1377" s="222"/>
      <c r="D1377" s="222"/>
      <c r="E1377" s="222"/>
      <c r="F1377" s="630" t="s">
        <v>587</v>
      </c>
      <c r="G1377" s="630"/>
      <c r="H1377" s="102">
        <f>H1376</f>
        <v>110.27</v>
      </c>
    </row>
    <row r="1378" spans="1:8">
      <c r="B1378" s="222"/>
      <c r="C1378" s="222"/>
      <c r="D1378" s="222"/>
      <c r="E1378" s="222"/>
      <c r="F1378" s="630" t="s">
        <v>464</v>
      </c>
      <c r="G1378" s="630"/>
      <c r="H1378" s="102">
        <f>H1374+H1377</f>
        <v>124.52</v>
      </c>
    </row>
    <row r="1379" spans="1:8" ht="12.75" customHeight="1">
      <c r="B1379" s="222"/>
      <c r="C1379" s="222"/>
      <c r="D1379" s="222"/>
      <c r="E1379" s="222"/>
      <c r="F1379" s="646"/>
      <c r="G1379" s="646"/>
      <c r="H1379" s="646"/>
    </row>
    <row r="1380" spans="1:8">
      <c r="B1380" s="245" t="s">
        <v>2544</v>
      </c>
    </row>
    <row r="1381" spans="1:8">
      <c r="B1381" s="222"/>
      <c r="C1381" s="222"/>
      <c r="D1381" s="222"/>
      <c r="E1381" s="222"/>
      <c r="F1381" s="111"/>
      <c r="G1381" s="111"/>
      <c r="H1381" s="228"/>
    </row>
    <row r="1382" spans="1:8" ht="27" customHeight="1">
      <c r="A1382" s="178" t="str">
        <f>'3 - PLAN. ORÇAMENTÁRIA'!A177</f>
        <v>4.1.2.1.4</v>
      </c>
      <c r="B1382" s="178" t="str">
        <f>'3 - PLAN. ORÇAMENTÁRIA'!B177</f>
        <v>CCU 016</v>
      </c>
      <c r="C1382" s="631" t="str">
        <f>'3 - PLAN. ORÇAMENTÁRIA'!C177</f>
        <v>REVESTIMENTO EM CHAPA DE AÇO INOXIDÁVEL PARA PROTEÇÃO DE PORTAS, ALTURA DE 40 CM REF. 30.04.060/SP OBRAS</v>
      </c>
      <c r="D1382" s="632"/>
      <c r="E1382" s="632"/>
      <c r="F1382" s="632"/>
      <c r="G1382" s="633"/>
      <c r="H1382" s="131" t="s">
        <v>173</v>
      </c>
    </row>
    <row r="1383" spans="1:8" ht="12.75" customHeight="1">
      <c r="B1383" s="628" t="s">
        <v>593</v>
      </c>
      <c r="C1383" s="628"/>
      <c r="D1383" s="103" t="s">
        <v>579</v>
      </c>
      <c r="E1383" s="103" t="s">
        <v>580</v>
      </c>
      <c r="F1383" s="103" t="s">
        <v>581</v>
      </c>
      <c r="G1383" s="103" t="s">
        <v>582</v>
      </c>
      <c r="H1383" s="103" t="s">
        <v>583</v>
      </c>
    </row>
    <row r="1384" spans="1:8">
      <c r="B1384" s="173" t="s">
        <v>1185</v>
      </c>
      <c r="C1384" s="221" t="s">
        <v>1184</v>
      </c>
      <c r="D1384" s="159" t="s">
        <v>592</v>
      </c>
      <c r="E1384" s="159" t="s">
        <v>139</v>
      </c>
      <c r="F1384" s="174">
        <v>0.4</v>
      </c>
      <c r="G1384" s="160">
        <v>1160.79</v>
      </c>
      <c r="H1384" s="160">
        <f>ROUND(ROUND(F1384,8)*G1384,2)</f>
        <v>464.32</v>
      </c>
    </row>
    <row r="1385" spans="1:8" ht="12.75" customHeight="1">
      <c r="B1385" s="222"/>
      <c r="C1385" s="222"/>
      <c r="D1385" s="222"/>
      <c r="E1385" s="222"/>
      <c r="F1385" s="630" t="s">
        <v>604</v>
      </c>
      <c r="G1385" s="630"/>
      <c r="H1385" s="102">
        <f>H1384</f>
        <v>464.32</v>
      </c>
    </row>
    <row r="1386" spans="1:8" ht="12.75" customHeight="1">
      <c r="B1386" s="222"/>
      <c r="C1386" s="222"/>
      <c r="D1386" s="222"/>
      <c r="E1386" s="222"/>
      <c r="F1386" s="630" t="s">
        <v>464</v>
      </c>
      <c r="G1386" s="630"/>
      <c r="H1386" s="102">
        <f>H1385</f>
        <v>464.32</v>
      </c>
    </row>
    <row r="1387" spans="1:8">
      <c r="B1387" s="222"/>
      <c r="C1387" s="222"/>
      <c r="D1387" s="222"/>
      <c r="E1387" s="222"/>
      <c r="F1387" s="108"/>
      <c r="G1387" s="108"/>
      <c r="H1387" s="108"/>
    </row>
    <row r="1388" spans="1:8">
      <c r="B1388" s="245" t="s">
        <v>2544</v>
      </c>
    </row>
    <row r="1389" spans="1:8">
      <c r="B1389" s="222"/>
      <c r="C1389" s="222"/>
      <c r="D1389" s="222"/>
      <c r="E1389" s="222"/>
      <c r="F1389" s="111"/>
      <c r="G1389" s="111"/>
      <c r="H1389" s="228"/>
    </row>
    <row r="1390" spans="1:8">
      <c r="A1390" s="178" t="str">
        <f>'3 - PLAN. ORÇAMENTÁRIA'!A386</f>
        <v>4.4.4.3</v>
      </c>
      <c r="B1390" s="178" t="str">
        <f>'3 - PLAN. ORÇAMENTÁRIA'!B386</f>
        <v>CCU 017</v>
      </c>
      <c r="C1390" s="631" t="str">
        <f>'3 - PLAN. ORÇAMENTÁRIA'!C386</f>
        <v>VÍDEO PORTEIRO ELETRÔNICO COLORIDO, COM UM INTERFONE REF. 66.02.460/SP OBRAS</v>
      </c>
      <c r="D1390" s="632"/>
      <c r="E1390" s="632"/>
      <c r="F1390" s="632"/>
      <c r="G1390" s="633"/>
      <c r="H1390" s="131" t="s">
        <v>315</v>
      </c>
    </row>
    <row r="1391" spans="1:8">
      <c r="B1391" s="628" t="s">
        <v>593</v>
      </c>
      <c r="C1391" s="628"/>
      <c r="D1391" s="103" t="s">
        <v>579</v>
      </c>
      <c r="E1391" s="103" t="s">
        <v>580</v>
      </c>
      <c r="F1391" s="103" t="s">
        <v>581</v>
      </c>
      <c r="G1391" s="103" t="s">
        <v>582</v>
      </c>
      <c r="H1391" s="103" t="s">
        <v>583</v>
      </c>
    </row>
    <row r="1392" spans="1:8">
      <c r="B1392" s="130" t="s">
        <v>2252</v>
      </c>
      <c r="C1392" s="229" t="s">
        <v>2251</v>
      </c>
      <c r="D1392" s="130" t="s">
        <v>592</v>
      </c>
      <c r="E1392" s="130" t="s">
        <v>315</v>
      </c>
      <c r="F1392" s="230">
        <v>1</v>
      </c>
      <c r="G1392" s="227">
        <v>1417.76</v>
      </c>
      <c r="H1392" s="160">
        <f>ROUND(ROUND(F1392,8)*G1392,2)</f>
        <v>1417.76</v>
      </c>
    </row>
    <row r="1393" spans="1:8">
      <c r="B1393" s="225"/>
      <c r="C1393" s="223"/>
      <c r="D1393" s="225"/>
      <c r="E1393" s="225"/>
      <c r="F1393" s="630" t="s">
        <v>604</v>
      </c>
      <c r="G1393" s="630"/>
      <c r="H1393" s="102">
        <f>H1392</f>
        <v>1417.76</v>
      </c>
    </row>
    <row r="1394" spans="1:8">
      <c r="B1394" s="628" t="s">
        <v>607</v>
      </c>
      <c r="C1394" s="628"/>
      <c r="D1394" s="103" t="s">
        <v>579</v>
      </c>
      <c r="E1394" s="103" t="s">
        <v>580</v>
      </c>
      <c r="F1394" s="103" t="s">
        <v>581</v>
      </c>
      <c r="G1394" s="103" t="s">
        <v>582</v>
      </c>
      <c r="H1394" s="103" t="s">
        <v>583</v>
      </c>
    </row>
    <row r="1395" spans="1:8">
      <c r="B1395" s="159">
        <v>88247</v>
      </c>
      <c r="C1395" s="221" t="s">
        <v>608</v>
      </c>
      <c r="D1395" s="159" t="s">
        <v>119</v>
      </c>
      <c r="E1395" s="159" t="s">
        <v>121</v>
      </c>
      <c r="F1395" s="174">
        <v>2.5</v>
      </c>
      <c r="G1395" s="160">
        <v>25</v>
      </c>
      <c r="H1395" s="160">
        <f>ROUND(ROUND(F1395,8)*G1395,2)</f>
        <v>62.5</v>
      </c>
    </row>
    <row r="1396" spans="1:8">
      <c r="B1396" s="159">
        <v>88264</v>
      </c>
      <c r="C1396" s="221" t="s">
        <v>609</v>
      </c>
      <c r="D1396" s="159" t="s">
        <v>119</v>
      </c>
      <c r="E1396" s="159" t="s">
        <v>121</v>
      </c>
      <c r="F1396" s="174">
        <v>2.5</v>
      </c>
      <c r="G1396" s="160">
        <v>31.72</v>
      </c>
      <c r="H1396" s="160">
        <f>ROUND(ROUND(F1396,8)*G1396,2)</f>
        <v>79.3</v>
      </c>
    </row>
    <row r="1397" spans="1:8">
      <c r="B1397" s="222"/>
      <c r="C1397" s="222"/>
      <c r="D1397" s="222"/>
      <c r="E1397" s="222"/>
      <c r="F1397" s="630" t="s">
        <v>585</v>
      </c>
      <c r="G1397" s="630"/>
      <c r="H1397" s="158">
        <f>H1395+H1396</f>
        <v>141.80000000000001</v>
      </c>
    </row>
    <row r="1398" spans="1:8">
      <c r="B1398" s="222"/>
      <c r="C1398" s="222"/>
      <c r="D1398" s="222"/>
      <c r="E1398" s="222"/>
      <c r="F1398" s="645" t="s">
        <v>464</v>
      </c>
      <c r="G1398" s="645"/>
      <c r="H1398" s="158">
        <f>H1393+H1397</f>
        <v>1559.56</v>
      </c>
    </row>
    <row r="1399" spans="1:8">
      <c r="B1399" s="222"/>
      <c r="C1399" s="222"/>
      <c r="D1399" s="222"/>
      <c r="E1399" s="222"/>
      <c r="F1399" s="226"/>
      <c r="G1399" s="226"/>
      <c r="H1399" s="226"/>
    </row>
    <row r="1400" spans="1:8">
      <c r="B1400" s="245" t="s">
        <v>2544</v>
      </c>
    </row>
    <row r="1401" spans="1:8">
      <c r="B1401" s="222"/>
      <c r="C1401" s="222"/>
      <c r="D1401" s="222"/>
      <c r="E1401" s="222"/>
      <c r="F1401" s="111"/>
      <c r="G1401" s="111"/>
      <c r="H1401" s="228"/>
    </row>
    <row r="1402" spans="1:8" ht="27" customHeight="1">
      <c r="A1402" s="178" t="str">
        <f>'3 - PLAN. ORÇAMENTÁRIA'!A180</f>
        <v>4.1.2.1.7</v>
      </c>
      <c r="B1402" s="178" t="str">
        <f>'3 - PLAN. ORÇAMENTÁRIA'!B180</f>
        <v>CCU 018</v>
      </c>
      <c r="C1402" s="631" t="str">
        <f>'3 - PLAN. ORÇAMENTÁRIA'!C180</f>
        <v>EQUIPAMENTO AUTOMATIZADOR DE PORTAS DESLIZANTES PARA FOLHA DUPLA. FORNECIMENTO E INSTALAÇÃO COMPLETA (COM SENSOR DOS DOIS LADOS) REF. 28.20.800/SP OBRAS</v>
      </c>
      <c r="D1402" s="632"/>
      <c r="E1402" s="632"/>
      <c r="F1402" s="632"/>
      <c r="G1402" s="633"/>
      <c r="H1402" s="131" t="s">
        <v>144</v>
      </c>
    </row>
    <row r="1403" spans="1:8">
      <c r="B1403" s="628" t="s">
        <v>593</v>
      </c>
      <c r="C1403" s="628"/>
      <c r="D1403" s="103" t="s">
        <v>579</v>
      </c>
      <c r="E1403" s="103" t="s">
        <v>580</v>
      </c>
      <c r="F1403" s="103" t="s">
        <v>581</v>
      </c>
      <c r="G1403" s="103" t="s">
        <v>582</v>
      </c>
      <c r="H1403" s="103" t="s">
        <v>583</v>
      </c>
    </row>
    <row r="1404" spans="1:8">
      <c r="B1404" s="173" t="s">
        <v>1229</v>
      </c>
      <c r="C1404" s="221" t="s">
        <v>1228</v>
      </c>
      <c r="D1404" s="159" t="s">
        <v>592</v>
      </c>
      <c r="E1404" s="159" t="s">
        <v>144</v>
      </c>
      <c r="F1404" s="174">
        <v>1</v>
      </c>
      <c r="G1404" s="160">
        <v>12571.41</v>
      </c>
      <c r="H1404" s="160">
        <f>ROUND(ROUND(F1404,8)*G1404,2)</f>
        <v>12571.41</v>
      </c>
    </row>
    <row r="1405" spans="1:8">
      <c r="B1405" s="222"/>
      <c r="C1405" s="222"/>
      <c r="D1405" s="222"/>
      <c r="E1405" s="222"/>
      <c r="F1405" s="630" t="s">
        <v>604</v>
      </c>
      <c r="G1405" s="630"/>
      <c r="H1405" s="102">
        <f>H1404</f>
        <v>12571.41</v>
      </c>
    </row>
    <row r="1406" spans="1:8">
      <c r="B1406" s="222"/>
      <c r="C1406" s="222"/>
      <c r="D1406" s="222"/>
      <c r="E1406" s="222"/>
      <c r="F1406" s="630" t="s">
        <v>464</v>
      </c>
      <c r="G1406" s="630"/>
      <c r="H1406" s="102">
        <f>H1405</f>
        <v>12571.41</v>
      </c>
    </row>
    <row r="1407" spans="1:8">
      <c r="B1407" s="222"/>
      <c r="C1407" s="222"/>
      <c r="D1407" s="222"/>
      <c r="E1407" s="222"/>
      <c r="F1407" s="226"/>
      <c r="G1407" s="226"/>
      <c r="H1407" s="226"/>
    </row>
    <row r="1408" spans="1:8">
      <c r="B1408" s="245" t="s">
        <v>2544</v>
      </c>
    </row>
    <row r="1409" spans="1:8">
      <c r="B1409" s="222"/>
      <c r="C1409" s="222"/>
      <c r="D1409" s="222"/>
      <c r="E1409" s="222"/>
      <c r="F1409" s="111"/>
      <c r="G1409" s="111"/>
      <c r="H1409" s="228"/>
    </row>
    <row r="1410" spans="1:8" ht="27" customHeight="1">
      <c r="A1410" s="178" t="str">
        <f>'3 - PLAN. ORÇAMENTÁRIA'!A185</f>
        <v>4.1.2.1.12</v>
      </c>
      <c r="B1410" s="178" t="str">
        <f>'3 - PLAN. ORÇAMENTÁRIA'!B185</f>
        <v>CCU 019</v>
      </c>
      <c r="C1410" s="631" t="str">
        <f>'3 - PLAN. ORÇAMENTÁRIA'!C185</f>
        <v>PELÍCULA ADESIVA PARA VIDROS - USO INTERNO REF. 32.06.240/SP OBRAS</v>
      </c>
      <c r="D1410" s="632"/>
      <c r="E1410" s="632"/>
      <c r="F1410" s="632"/>
      <c r="G1410" s="633"/>
      <c r="H1410" s="131" t="s">
        <v>139</v>
      </c>
    </row>
    <row r="1411" spans="1:8">
      <c r="B1411" s="628" t="s">
        <v>584</v>
      </c>
      <c r="C1411" s="628"/>
      <c r="D1411" s="103" t="s">
        <v>579</v>
      </c>
      <c r="E1411" s="103" t="s">
        <v>580</v>
      </c>
      <c r="F1411" s="103" t="s">
        <v>581</v>
      </c>
      <c r="G1411" s="103" t="s">
        <v>582</v>
      </c>
      <c r="H1411" s="103" t="s">
        <v>583</v>
      </c>
    </row>
    <row r="1412" spans="1:8">
      <c r="B1412" s="159">
        <v>88241</v>
      </c>
      <c r="C1412" s="221" t="s">
        <v>998</v>
      </c>
      <c r="D1412" s="159" t="s">
        <v>119</v>
      </c>
      <c r="E1412" s="159" t="s">
        <v>121</v>
      </c>
      <c r="F1412" s="174">
        <v>0.7</v>
      </c>
      <c r="G1412" s="160">
        <v>24.49</v>
      </c>
      <c r="H1412" s="160">
        <f>ROUND(ROUND(F1412,8)*G1412,2)</f>
        <v>17.14</v>
      </c>
    </row>
    <row r="1413" spans="1:8">
      <c r="B1413" s="159">
        <v>88325</v>
      </c>
      <c r="C1413" s="221" t="s">
        <v>656</v>
      </c>
      <c r="D1413" s="159" t="s">
        <v>119</v>
      </c>
      <c r="E1413" s="159" t="s">
        <v>121</v>
      </c>
      <c r="F1413" s="174">
        <v>0.7</v>
      </c>
      <c r="G1413" s="160">
        <v>28.95</v>
      </c>
      <c r="H1413" s="160">
        <f>ROUND(ROUND(F1413,8)*G1413,2)</f>
        <v>20.27</v>
      </c>
    </row>
    <row r="1414" spans="1:8">
      <c r="B1414" s="222"/>
      <c r="C1414" s="222"/>
      <c r="D1414" s="222"/>
      <c r="E1414" s="222"/>
      <c r="F1414" s="630" t="s">
        <v>585</v>
      </c>
      <c r="G1414" s="630"/>
      <c r="H1414" s="102">
        <f>H1412+H1413</f>
        <v>37.409999999999997</v>
      </c>
    </row>
    <row r="1415" spans="1:8">
      <c r="B1415" s="628" t="s">
        <v>586</v>
      </c>
      <c r="C1415" s="628"/>
      <c r="D1415" s="103" t="s">
        <v>579</v>
      </c>
      <c r="E1415" s="103" t="s">
        <v>580</v>
      </c>
      <c r="F1415" s="103" t="s">
        <v>581</v>
      </c>
      <c r="G1415" s="103" t="s">
        <v>582</v>
      </c>
      <c r="H1415" s="103" t="s">
        <v>583</v>
      </c>
    </row>
    <row r="1416" spans="1:8">
      <c r="B1416" s="159" t="s">
        <v>1234</v>
      </c>
      <c r="C1416" s="221" t="s">
        <v>2419</v>
      </c>
      <c r="D1416" s="159" t="s">
        <v>592</v>
      </c>
      <c r="E1416" s="159" t="s">
        <v>139</v>
      </c>
      <c r="F1416" s="174">
        <v>1.1000000000000001</v>
      </c>
      <c r="G1416" s="160">
        <v>39.299999999999997</v>
      </c>
      <c r="H1416" s="160">
        <f>ROUND(ROUND(F1416,8)*G1416,2)</f>
        <v>43.23</v>
      </c>
    </row>
    <row r="1417" spans="1:8">
      <c r="B1417" s="222"/>
      <c r="C1417" s="222"/>
      <c r="D1417" s="222"/>
      <c r="E1417" s="222"/>
      <c r="F1417" s="630" t="s">
        <v>587</v>
      </c>
      <c r="G1417" s="630"/>
      <c r="H1417" s="102">
        <f>H1416</f>
        <v>43.23</v>
      </c>
    </row>
    <row r="1418" spans="1:8">
      <c r="B1418" s="222"/>
      <c r="C1418" s="222"/>
      <c r="D1418" s="222"/>
      <c r="E1418" s="222"/>
      <c r="F1418" s="630" t="s">
        <v>464</v>
      </c>
      <c r="G1418" s="630"/>
      <c r="H1418" s="102">
        <f>H1414+H1417</f>
        <v>80.639999999999986</v>
      </c>
    </row>
    <row r="1419" spans="1:8">
      <c r="B1419" s="222"/>
      <c r="C1419" s="222"/>
      <c r="D1419" s="222"/>
      <c r="E1419" s="222"/>
      <c r="F1419" s="226"/>
      <c r="G1419" s="226"/>
      <c r="H1419" s="226"/>
    </row>
    <row r="1420" spans="1:8">
      <c r="B1420" s="245" t="s">
        <v>2544</v>
      </c>
    </row>
    <row r="1421" spans="1:8">
      <c r="B1421" s="222"/>
      <c r="C1421" s="222"/>
      <c r="D1421" s="222"/>
      <c r="E1421" s="222"/>
      <c r="F1421" s="111"/>
      <c r="G1421" s="111"/>
      <c r="H1421" s="228"/>
    </row>
    <row r="1422" spans="1:8" ht="27" customHeight="1">
      <c r="A1422" s="178" t="str">
        <f>'3 - PLAN. ORÇAMENTÁRIA'!A186</f>
        <v>4.1.2.1.13</v>
      </c>
      <c r="B1422" s="178" t="str">
        <f>'3 - PLAN. ORÇAMENTÁRIA'!B186</f>
        <v>CCU 020</v>
      </c>
      <c r="C1422" s="631" t="str">
        <f>'3 - PLAN. ORÇAMENTÁRIA'!C186</f>
        <v>PORTINHOLA EM ALUMÍNIO ANODIZADO, TIPO VENEZIANA, SOB MEDIDA - BRONZE/PRETO REF. 25.02.260/SP OBRAS</v>
      </c>
      <c r="D1422" s="632"/>
      <c r="E1422" s="632"/>
      <c r="F1422" s="632"/>
      <c r="G1422" s="633"/>
      <c r="H1422" s="131" t="s">
        <v>139</v>
      </c>
    </row>
    <row r="1423" spans="1:8">
      <c r="B1423" s="628" t="s">
        <v>593</v>
      </c>
      <c r="C1423" s="628"/>
      <c r="D1423" s="103" t="s">
        <v>579</v>
      </c>
      <c r="E1423" s="103" t="s">
        <v>580</v>
      </c>
      <c r="F1423" s="103" t="s">
        <v>581</v>
      </c>
      <c r="G1423" s="103" t="s">
        <v>582</v>
      </c>
      <c r="H1423" s="103" t="s">
        <v>583</v>
      </c>
    </row>
    <row r="1424" spans="1:8">
      <c r="B1424" s="239" t="s">
        <v>3357</v>
      </c>
      <c r="C1424" s="229" t="s">
        <v>3358</v>
      </c>
      <c r="D1424" s="130" t="s">
        <v>158</v>
      </c>
      <c r="E1424" s="130" t="s">
        <v>167</v>
      </c>
      <c r="F1424" s="230">
        <v>9.1000000000000004E-3</v>
      </c>
      <c r="G1424" s="331">
        <v>102.5</v>
      </c>
      <c r="H1424" s="160">
        <f>ROUND(ROUND(F1424,8)*G1424,2)</f>
        <v>0.93</v>
      </c>
    </row>
    <row r="1425" spans="1:8">
      <c r="B1425" s="239" t="s">
        <v>646</v>
      </c>
      <c r="C1425" s="229" t="s">
        <v>647</v>
      </c>
      <c r="D1425" s="130" t="s">
        <v>119</v>
      </c>
      <c r="E1425" s="130" t="s">
        <v>200</v>
      </c>
      <c r="F1425" s="230">
        <v>3.9260000000000002</v>
      </c>
      <c r="G1425" s="331">
        <v>0.65</v>
      </c>
      <c r="H1425" s="160">
        <f t="shared" ref="H1425:H1426" si="59">ROUND(ROUND(F1425,8)*G1425,2)</f>
        <v>2.5499999999999998</v>
      </c>
    </row>
    <row r="1426" spans="1:8">
      <c r="B1426" s="239" t="s">
        <v>3064</v>
      </c>
      <c r="C1426" s="229" t="s">
        <v>3952</v>
      </c>
      <c r="D1426" s="130" t="s">
        <v>592</v>
      </c>
      <c r="E1426" s="130" t="s">
        <v>139</v>
      </c>
      <c r="F1426" s="230">
        <v>1</v>
      </c>
      <c r="G1426" s="331">
        <v>1248.98</v>
      </c>
      <c r="H1426" s="160">
        <f t="shared" si="59"/>
        <v>1248.98</v>
      </c>
    </row>
    <row r="1427" spans="1:8">
      <c r="B1427" s="330"/>
      <c r="C1427" s="223"/>
      <c r="D1427" s="330"/>
      <c r="E1427" s="330"/>
      <c r="F1427" s="630" t="s">
        <v>604</v>
      </c>
      <c r="G1427" s="630"/>
      <c r="H1427" s="102">
        <f>SUM(H1424:H1426)</f>
        <v>1252.46</v>
      </c>
    </row>
    <row r="1428" spans="1:8">
      <c r="B1428" s="628" t="s">
        <v>607</v>
      </c>
      <c r="C1428" s="628"/>
      <c r="D1428" s="103" t="s">
        <v>579</v>
      </c>
      <c r="E1428" s="103" t="s">
        <v>580</v>
      </c>
      <c r="F1428" s="103" t="s">
        <v>581</v>
      </c>
      <c r="G1428" s="103" t="s">
        <v>582</v>
      </c>
      <c r="H1428" s="103" t="s">
        <v>583</v>
      </c>
    </row>
    <row r="1429" spans="1:8">
      <c r="B1429" s="159">
        <v>88309</v>
      </c>
      <c r="C1429" s="221" t="s">
        <v>640</v>
      </c>
      <c r="D1429" s="159" t="s">
        <v>119</v>
      </c>
      <c r="E1429" s="159" t="s">
        <v>121</v>
      </c>
      <c r="F1429" s="174">
        <v>1.5</v>
      </c>
      <c r="G1429" s="160">
        <v>31.34</v>
      </c>
      <c r="H1429" s="160">
        <f>ROUND(ROUND(F1429,8)*G1429,2)</f>
        <v>47.01</v>
      </c>
    </row>
    <row r="1430" spans="1:8">
      <c r="B1430" s="159" t="s">
        <v>625</v>
      </c>
      <c r="C1430" s="221" t="s">
        <v>626</v>
      </c>
      <c r="D1430" s="159" t="s">
        <v>119</v>
      </c>
      <c r="E1430" s="159" t="s">
        <v>121</v>
      </c>
      <c r="F1430" s="174">
        <v>1.5</v>
      </c>
      <c r="G1430" s="160">
        <v>23.75</v>
      </c>
      <c r="H1430" s="160">
        <f>ROUND(ROUND(F1430,8)*G1430,2)</f>
        <v>35.630000000000003</v>
      </c>
    </row>
    <row r="1431" spans="1:8" ht="12.75" customHeight="1">
      <c r="B1431" s="222"/>
      <c r="C1431" s="222"/>
      <c r="D1431" s="222"/>
      <c r="E1431" s="222"/>
      <c r="F1431" s="630" t="s">
        <v>585</v>
      </c>
      <c r="G1431" s="630"/>
      <c r="H1431" s="158">
        <f>H1429+H1430</f>
        <v>82.64</v>
      </c>
    </row>
    <row r="1432" spans="1:8" ht="12.75" customHeight="1">
      <c r="B1432" s="222"/>
      <c r="C1432" s="222"/>
      <c r="D1432" s="222"/>
      <c r="E1432" s="222"/>
      <c r="F1432" s="645" t="s">
        <v>464</v>
      </c>
      <c r="G1432" s="645"/>
      <c r="H1432" s="158">
        <f>H1427+H1431</f>
        <v>1335.1000000000001</v>
      </c>
    </row>
    <row r="1433" spans="1:8">
      <c r="B1433" s="222"/>
      <c r="C1433" s="222"/>
      <c r="D1433" s="222"/>
      <c r="E1433" s="222"/>
      <c r="F1433" s="226"/>
      <c r="G1433" s="226"/>
      <c r="H1433" s="226"/>
    </row>
    <row r="1434" spans="1:8">
      <c r="B1434" s="245" t="s">
        <v>2544</v>
      </c>
    </row>
    <row r="1435" spans="1:8">
      <c r="B1435" s="222"/>
      <c r="C1435" s="222"/>
      <c r="D1435" s="222"/>
      <c r="E1435" s="222"/>
      <c r="F1435" s="111"/>
      <c r="G1435" s="111"/>
      <c r="H1435" s="228"/>
    </row>
    <row r="1436" spans="1:8" ht="27" customHeight="1">
      <c r="A1436" s="178" t="str">
        <f>'3 - PLAN. ORÇAMENTÁRIA'!A217</f>
        <v>4.1.5.1.2.4</v>
      </c>
      <c r="B1436" s="178" t="str">
        <f>'3 - PLAN. ORÇAMENTÁRIA'!B217</f>
        <v>CCU 024</v>
      </c>
      <c r="C1436" s="631" t="str">
        <f>'3 - PLAN. ORÇAMENTÁRIA'!C217</f>
        <v>RODAPÉ EM PORCELANATO TÉCNICO NATURAL/ACETINADO PARA ÁREA INTERNA E AMBIENTE DE MÉDIO TRÁFEGO, GRUPO DE ABSORÇÃO BIA, ASSENTADO COM ARGAMASSA COLANTE INDUSTRIALIZADA, REJUNTADO REF. 18.08.180/SP OBRAS</v>
      </c>
      <c r="D1436" s="632"/>
      <c r="E1436" s="632"/>
      <c r="F1436" s="632"/>
      <c r="G1436" s="633"/>
      <c r="H1436" s="131" t="s">
        <v>173</v>
      </c>
    </row>
    <row r="1437" spans="1:8">
      <c r="B1437" s="628" t="s">
        <v>593</v>
      </c>
      <c r="C1437" s="628"/>
      <c r="D1437" s="103" t="s">
        <v>579</v>
      </c>
      <c r="E1437" s="103" t="s">
        <v>580</v>
      </c>
      <c r="F1437" s="103" t="s">
        <v>581</v>
      </c>
      <c r="G1437" s="103" t="s">
        <v>582</v>
      </c>
      <c r="H1437" s="103" t="s">
        <v>583</v>
      </c>
    </row>
    <row r="1438" spans="1:8" ht="25.5">
      <c r="B1438" s="130" t="s">
        <v>1237</v>
      </c>
      <c r="C1438" s="229" t="s">
        <v>1235</v>
      </c>
      <c r="D1438" s="130" t="s">
        <v>592</v>
      </c>
      <c r="E1438" s="130" t="s">
        <v>200</v>
      </c>
      <c r="F1438" s="230">
        <v>1</v>
      </c>
      <c r="G1438" s="227">
        <v>3.67</v>
      </c>
      <c r="H1438" s="160">
        <f>ROUND(ROUND(F1438,8)*G1438,2)</f>
        <v>3.67</v>
      </c>
    </row>
    <row r="1439" spans="1:8" ht="25.5">
      <c r="B1439" s="239" t="s">
        <v>3710</v>
      </c>
      <c r="C1439" s="229" t="s">
        <v>3711</v>
      </c>
      <c r="D1439" s="130" t="s">
        <v>592</v>
      </c>
      <c r="E1439" s="130" t="s">
        <v>139</v>
      </c>
      <c r="F1439" s="230">
        <v>0.188</v>
      </c>
      <c r="G1439" s="227">
        <v>124.05</v>
      </c>
      <c r="H1439" s="160">
        <f>ROUND(ROUND(F1439,8)*G1439,2)</f>
        <v>23.32</v>
      </c>
    </row>
    <row r="1440" spans="1:8" ht="25.5">
      <c r="B1440" s="130" t="s">
        <v>2216</v>
      </c>
      <c r="C1440" s="229" t="s">
        <v>1236</v>
      </c>
      <c r="D1440" s="130" t="s">
        <v>592</v>
      </c>
      <c r="E1440" s="130" t="s">
        <v>200</v>
      </c>
      <c r="F1440" s="230">
        <v>7.0000000000000007E-2</v>
      </c>
      <c r="G1440" s="227">
        <v>7.96</v>
      </c>
      <c r="H1440" s="160">
        <f>ROUND(ROUND(F1440,8)*G1440,2)</f>
        <v>0.56000000000000005</v>
      </c>
    </row>
    <row r="1441" spans="1:8">
      <c r="B1441" s="222"/>
      <c r="C1441" s="222"/>
      <c r="D1441" s="222"/>
      <c r="E1441" s="222"/>
      <c r="F1441" s="630" t="s">
        <v>604</v>
      </c>
      <c r="G1441" s="630"/>
      <c r="H1441" s="102">
        <f>SUM(H1438:H1440)</f>
        <v>27.55</v>
      </c>
    </row>
    <row r="1442" spans="1:8">
      <c r="B1442" s="628" t="s">
        <v>607</v>
      </c>
      <c r="C1442" s="628"/>
      <c r="D1442" s="103" t="s">
        <v>579</v>
      </c>
      <c r="E1442" s="103" t="s">
        <v>580</v>
      </c>
      <c r="F1442" s="103" t="s">
        <v>581</v>
      </c>
      <c r="G1442" s="103" t="s">
        <v>582</v>
      </c>
      <c r="H1442" s="103" t="s">
        <v>583</v>
      </c>
    </row>
    <row r="1443" spans="1:8">
      <c r="B1443" s="159" t="s">
        <v>639</v>
      </c>
      <c r="C1443" s="221" t="s">
        <v>640</v>
      </c>
      <c r="D1443" s="159" t="s">
        <v>119</v>
      </c>
      <c r="E1443" s="159" t="s">
        <v>121</v>
      </c>
      <c r="F1443" s="174">
        <v>0.25</v>
      </c>
      <c r="G1443" s="160">
        <v>31.34</v>
      </c>
      <c r="H1443" s="160">
        <f>ROUND(ROUND(F1443,8)*G1443,2)</f>
        <v>7.84</v>
      </c>
    </row>
    <row r="1444" spans="1:8">
      <c r="B1444" s="159" t="s">
        <v>625</v>
      </c>
      <c r="C1444" s="221" t="s">
        <v>626</v>
      </c>
      <c r="D1444" s="159" t="s">
        <v>119</v>
      </c>
      <c r="E1444" s="159" t="s">
        <v>121</v>
      </c>
      <c r="F1444" s="174">
        <v>0.25</v>
      </c>
      <c r="G1444" s="160">
        <v>23.75</v>
      </c>
      <c r="H1444" s="160">
        <f>ROUND(ROUND(F1444,8)*G1444,2)</f>
        <v>5.94</v>
      </c>
    </row>
    <row r="1445" spans="1:8">
      <c r="B1445" s="222"/>
      <c r="C1445" s="222"/>
      <c r="D1445" s="222"/>
      <c r="E1445" s="222"/>
      <c r="F1445" s="630" t="s">
        <v>585</v>
      </c>
      <c r="G1445" s="630"/>
      <c r="H1445" s="224">
        <f>H1443+H1444</f>
        <v>13.780000000000001</v>
      </c>
    </row>
    <row r="1446" spans="1:8">
      <c r="B1446" s="222"/>
      <c r="C1446" s="222"/>
      <c r="D1446" s="222"/>
      <c r="E1446" s="222"/>
      <c r="F1446" s="645" t="s">
        <v>464</v>
      </c>
      <c r="G1446" s="645"/>
      <c r="H1446" s="158">
        <f>H1445+H1441</f>
        <v>41.33</v>
      </c>
    </row>
    <row r="1447" spans="1:8">
      <c r="B1447" s="222"/>
      <c r="C1447" s="222"/>
      <c r="D1447" s="222"/>
      <c r="E1447" s="222"/>
      <c r="F1447" s="226"/>
      <c r="G1447" s="226"/>
      <c r="H1447" s="226"/>
    </row>
    <row r="1448" spans="1:8">
      <c r="B1448" s="245" t="s">
        <v>2544</v>
      </c>
    </row>
    <row r="1449" spans="1:8">
      <c r="B1449" s="222"/>
      <c r="C1449" s="222"/>
      <c r="D1449" s="222"/>
      <c r="E1449" s="222"/>
      <c r="F1449" s="111"/>
      <c r="G1449" s="111"/>
      <c r="H1449" s="228"/>
    </row>
    <row r="1450" spans="1:8" ht="27" customHeight="1">
      <c r="A1450" s="178" t="str">
        <f>'3 - PLAN. ORÇAMENTÁRIA'!A284</f>
        <v>4.1.6.1.31</v>
      </c>
      <c r="B1450" s="178" t="str">
        <f>'3 - PLAN. ORÇAMENTÁRIA'!B284</f>
        <v>CCU 034</v>
      </c>
      <c r="C1450" s="631" t="str">
        <f>'3 - PLAN. ORÇAMENTÁRIA'!C284</f>
        <v>AQUECEDOR DE PASSAGEM ELÉTRICO INDIVIDUAL, BAIXA PRESSÃO - 5.000 W / 6.400 W REF. 43.03.212/SP OBRAS</v>
      </c>
      <c r="D1450" s="632"/>
      <c r="E1450" s="632"/>
      <c r="F1450" s="632"/>
      <c r="G1450" s="633"/>
      <c r="H1450" s="131" t="s">
        <v>144</v>
      </c>
    </row>
    <row r="1451" spans="1:8" ht="12.75" customHeight="1">
      <c r="B1451" s="628" t="s">
        <v>593</v>
      </c>
      <c r="C1451" s="628"/>
      <c r="D1451" s="103" t="s">
        <v>579</v>
      </c>
      <c r="E1451" s="103" t="s">
        <v>580</v>
      </c>
      <c r="F1451" s="103" t="s">
        <v>581</v>
      </c>
      <c r="G1451" s="103" t="s">
        <v>582</v>
      </c>
      <c r="H1451" s="103" t="s">
        <v>583</v>
      </c>
    </row>
    <row r="1452" spans="1:8" ht="12.75" customHeight="1">
      <c r="B1452" s="159" t="str">
        <f>'6 - COTAÇÃO MERCADO'!B15</f>
        <v>COT 01.002</v>
      </c>
      <c r="C1452" s="221" t="str">
        <f>'6 - COTAÇÃO MERCADO'!C15</f>
        <v>AQUECEDOR CENTRAL PARA CHUVEIRO ACESSÍVEL (REF. AQUECEDOR CENTRAL FLEX DIGITAL 10,5KW/220V, CARDAL) OU SIMILAR</v>
      </c>
      <c r="D1452" s="159" t="s">
        <v>1881</v>
      </c>
      <c r="E1452" s="159" t="s">
        <v>1048</v>
      </c>
      <c r="F1452" s="174">
        <v>1</v>
      </c>
      <c r="G1452" s="160">
        <f>'6 - COTAÇÃO MERCADO'!D15</f>
        <v>2116.5</v>
      </c>
      <c r="H1452" s="160">
        <f>ROUND(ROUND(F1452,8)*G1452,2)</f>
        <v>2116.5</v>
      </c>
    </row>
    <row r="1453" spans="1:8" ht="12.75" customHeight="1">
      <c r="B1453" s="222"/>
      <c r="C1453" s="222"/>
      <c r="D1453" s="222"/>
      <c r="E1453" s="222"/>
      <c r="F1453" s="630" t="s">
        <v>604</v>
      </c>
      <c r="G1453" s="630"/>
      <c r="H1453" s="102">
        <f>H1452</f>
        <v>2116.5</v>
      </c>
    </row>
    <row r="1454" spans="1:8" ht="12.75" customHeight="1">
      <c r="B1454" s="628" t="s">
        <v>584</v>
      </c>
      <c r="C1454" s="628"/>
      <c r="D1454" s="103" t="s">
        <v>579</v>
      </c>
      <c r="E1454" s="103" t="s">
        <v>580</v>
      </c>
      <c r="F1454" s="103" t="s">
        <v>581</v>
      </c>
      <c r="G1454" s="103" t="s">
        <v>582</v>
      </c>
      <c r="H1454" s="103" t="s">
        <v>583</v>
      </c>
    </row>
    <row r="1455" spans="1:8" ht="12.75" customHeight="1">
      <c r="B1455" s="159">
        <v>88248</v>
      </c>
      <c r="C1455" s="221" t="s">
        <v>611</v>
      </c>
      <c r="D1455" s="159" t="s">
        <v>119</v>
      </c>
      <c r="E1455" s="159" t="s">
        <v>121</v>
      </c>
      <c r="F1455" s="174">
        <v>4</v>
      </c>
      <c r="G1455" s="160">
        <v>24.02</v>
      </c>
      <c r="H1455" s="160">
        <f>ROUND(ROUND(F1455,8)*G1455,2)</f>
        <v>96.08</v>
      </c>
    </row>
    <row r="1456" spans="1:8" ht="12.75" customHeight="1">
      <c r="B1456" s="159">
        <v>88247</v>
      </c>
      <c r="C1456" s="221" t="s">
        <v>608</v>
      </c>
      <c r="D1456" s="159" t="s">
        <v>119</v>
      </c>
      <c r="E1456" s="159" t="s">
        <v>121</v>
      </c>
      <c r="F1456" s="174">
        <v>1</v>
      </c>
      <c r="G1456" s="160">
        <v>25</v>
      </c>
      <c r="H1456" s="160">
        <f>ROUND(ROUND(F1456,8)*G1456,2)</f>
        <v>25</v>
      </c>
    </row>
    <row r="1457" spans="1:8" ht="12.75" customHeight="1">
      <c r="B1457" s="159">
        <v>88264</v>
      </c>
      <c r="C1457" s="221" t="s">
        <v>609</v>
      </c>
      <c r="D1457" s="159" t="s">
        <v>119</v>
      </c>
      <c r="E1457" s="159" t="s">
        <v>619</v>
      </c>
      <c r="F1457" s="174">
        <v>1</v>
      </c>
      <c r="G1457" s="160">
        <v>31.72</v>
      </c>
      <c r="H1457" s="160">
        <f>ROUND(ROUND(F1457,8)*G1457,2)</f>
        <v>31.72</v>
      </c>
    </row>
    <row r="1458" spans="1:8" ht="12.75" customHeight="1">
      <c r="B1458" s="159">
        <v>88267</v>
      </c>
      <c r="C1458" s="221" t="s">
        <v>612</v>
      </c>
      <c r="D1458" s="159" t="s">
        <v>119</v>
      </c>
      <c r="E1458" s="159" t="s">
        <v>121</v>
      </c>
      <c r="F1458" s="174">
        <v>4</v>
      </c>
      <c r="G1458" s="160">
        <v>30.62</v>
      </c>
      <c r="H1458" s="160">
        <f>ROUND(ROUND(F1458,8)*G1458,2)</f>
        <v>122.48</v>
      </c>
    </row>
    <row r="1459" spans="1:8" ht="12.75" customHeight="1">
      <c r="B1459" s="222"/>
      <c r="C1459" s="222"/>
      <c r="D1459" s="222"/>
      <c r="E1459" s="222"/>
      <c r="F1459" s="630" t="s">
        <v>585</v>
      </c>
      <c r="G1459" s="630"/>
      <c r="H1459" s="102">
        <f>SUM(H1455:H1458)</f>
        <v>275.28000000000003</v>
      </c>
    </row>
    <row r="1460" spans="1:8" ht="12.75" customHeight="1">
      <c r="B1460" s="222"/>
      <c r="C1460" s="222"/>
      <c r="D1460" s="222"/>
      <c r="E1460" s="222"/>
      <c r="F1460" s="630" t="s">
        <v>464</v>
      </c>
      <c r="G1460" s="630"/>
      <c r="H1460" s="102">
        <f>H1459+H1453</f>
        <v>2391.7800000000002</v>
      </c>
    </row>
    <row r="1461" spans="1:8" ht="12.75" customHeight="1">
      <c r="B1461" s="222"/>
      <c r="C1461" s="222"/>
      <c r="D1461" s="222"/>
      <c r="E1461" s="222"/>
      <c r="F1461" s="226"/>
      <c r="G1461" s="226"/>
      <c r="H1461" s="226"/>
    </row>
    <row r="1462" spans="1:8">
      <c r="B1462" s="245" t="s">
        <v>2544</v>
      </c>
    </row>
    <row r="1463" spans="1:8">
      <c r="B1463" s="222"/>
      <c r="C1463" s="222"/>
      <c r="D1463" s="222"/>
      <c r="E1463" s="222"/>
      <c r="F1463" s="111"/>
      <c r="G1463" s="111"/>
      <c r="H1463" s="228"/>
    </row>
    <row r="1464" spans="1:8" ht="27" customHeight="1">
      <c r="A1464" s="178" t="str">
        <f>'3 - PLAN. ORÇAMENTÁRIA'!A296</f>
        <v>4.1.8.1</v>
      </c>
      <c r="B1464" s="178" t="str">
        <f>'3 - PLAN. ORÇAMENTÁRIA'!B296</f>
        <v>CCU 037</v>
      </c>
      <c r="C1464" s="631" t="str">
        <f>'3 - PLAN. ORÇAMENTÁRIA'!C296</f>
        <v>REVESTIMENTO EM PLACA DE ALUMÍNIO COMPOSTO "ACM", ESPESSURA DE 4 MM E ACABAMENTO EM PVDF, CORES DIVERSAS REF. 21.03.151/SP OBRAS</v>
      </c>
      <c r="D1464" s="632"/>
      <c r="E1464" s="632"/>
      <c r="F1464" s="632"/>
      <c r="G1464" s="633"/>
      <c r="H1464" s="131" t="s">
        <v>139</v>
      </c>
    </row>
    <row r="1465" spans="1:8" ht="12.75" customHeight="1">
      <c r="B1465" s="628" t="s">
        <v>593</v>
      </c>
      <c r="C1465" s="628"/>
      <c r="D1465" s="103" t="s">
        <v>579</v>
      </c>
      <c r="E1465" s="103" t="s">
        <v>580</v>
      </c>
      <c r="F1465" s="103" t="s">
        <v>581</v>
      </c>
      <c r="G1465" s="103" t="s">
        <v>582</v>
      </c>
      <c r="H1465" s="103" t="s">
        <v>583</v>
      </c>
    </row>
    <row r="1466" spans="1:8" ht="12.75" customHeight="1">
      <c r="B1466" s="173" t="s">
        <v>2319</v>
      </c>
      <c r="C1466" s="221" t="s">
        <v>2320</v>
      </c>
      <c r="D1466" s="159" t="s">
        <v>119</v>
      </c>
      <c r="E1466" s="159" t="s">
        <v>200</v>
      </c>
      <c r="F1466" s="174">
        <v>2.4834999999999998</v>
      </c>
      <c r="G1466" s="160">
        <v>36.340000000000003</v>
      </c>
      <c r="H1466" s="160">
        <f t="shared" ref="H1466:H1471" si="60">ROUND(ROUND(F1466,8)*G1466,2)</f>
        <v>90.25</v>
      </c>
    </row>
    <row r="1467" spans="1:8" ht="12.75" customHeight="1">
      <c r="B1467" s="159" t="s">
        <v>1089</v>
      </c>
      <c r="C1467" s="221" t="s">
        <v>1090</v>
      </c>
      <c r="D1467" s="159" t="s">
        <v>592</v>
      </c>
      <c r="E1467" s="159" t="s">
        <v>1106</v>
      </c>
      <c r="F1467" s="174">
        <v>2.125</v>
      </c>
      <c r="G1467" s="160">
        <v>47.46</v>
      </c>
      <c r="H1467" s="160">
        <f t="shared" si="60"/>
        <v>100.85</v>
      </c>
    </row>
    <row r="1468" spans="1:8" ht="12.75" customHeight="1">
      <c r="B1468" s="159" t="s">
        <v>1091</v>
      </c>
      <c r="C1468" s="221" t="s">
        <v>1092</v>
      </c>
      <c r="D1468" s="159" t="s">
        <v>592</v>
      </c>
      <c r="E1468" s="159" t="s">
        <v>1048</v>
      </c>
      <c r="F1468" s="174">
        <v>6.2725</v>
      </c>
      <c r="G1468" s="160">
        <v>0.33</v>
      </c>
      <c r="H1468" s="160">
        <f t="shared" si="60"/>
        <v>2.0699999999999998</v>
      </c>
    </row>
    <row r="1469" spans="1:8" ht="12.75" customHeight="1">
      <c r="B1469" s="159" t="s">
        <v>1093</v>
      </c>
      <c r="C1469" s="221" t="s">
        <v>1094</v>
      </c>
      <c r="D1469" s="159" t="s">
        <v>592</v>
      </c>
      <c r="E1469" s="159" t="s">
        <v>139</v>
      </c>
      <c r="F1469" s="174">
        <v>1.3</v>
      </c>
      <c r="G1469" s="160">
        <v>177.34</v>
      </c>
      <c r="H1469" s="160">
        <f t="shared" si="60"/>
        <v>230.54</v>
      </c>
    </row>
    <row r="1470" spans="1:8" ht="12.75" customHeight="1">
      <c r="B1470" s="159" t="s">
        <v>1095</v>
      </c>
      <c r="C1470" s="221" t="s">
        <v>1096</v>
      </c>
      <c r="D1470" s="159" t="s">
        <v>592</v>
      </c>
      <c r="E1470" s="159" t="s">
        <v>200</v>
      </c>
      <c r="F1470" s="174">
        <v>1.5054000000000001</v>
      </c>
      <c r="G1470" s="160">
        <v>44.96</v>
      </c>
      <c r="H1470" s="160">
        <f t="shared" si="60"/>
        <v>67.680000000000007</v>
      </c>
    </row>
    <row r="1471" spans="1:8" ht="12.75" customHeight="1">
      <c r="B1471" s="173" t="s">
        <v>2321</v>
      </c>
      <c r="C1471" s="221" t="s">
        <v>2322</v>
      </c>
      <c r="D1471" s="159" t="s">
        <v>119</v>
      </c>
      <c r="E1471" s="159" t="s">
        <v>139</v>
      </c>
      <c r="F1471" s="174">
        <v>1.2749999999999999</v>
      </c>
      <c r="G1471" s="160">
        <v>0.69</v>
      </c>
      <c r="H1471" s="160">
        <f t="shared" si="60"/>
        <v>0.88</v>
      </c>
    </row>
    <row r="1472" spans="1:8" ht="12.75" customHeight="1">
      <c r="B1472" s="222"/>
      <c r="C1472" s="222"/>
      <c r="D1472" s="222"/>
      <c r="E1472" s="222"/>
      <c r="F1472" s="630" t="s">
        <v>604</v>
      </c>
      <c r="G1472" s="630"/>
      <c r="H1472" s="102">
        <f>SUM(H1466:H1471)</f>
        <v>492.27</v>
      </c>
    </row>
    <row r="1473" spans="1:8" ht="12.75" customHeight="1">
      <c r="B1473" s="628" t="s">
        <v>584</v>
      </c>
      <c r="C1473" s="628"/>
      <c r="D1473" s="103" t="s">
        <v>579</v>
      </c>
      <c r="E1473" s="103" t="s">
        <v>580</v>
      </c>
      <c r="F1473" s="103" t="s">
        <v>581</v>
      </c>
      <c r="G1473" s="103" t="s">
        <v>582</v>
      </c>
      <c r="H1473" s="103" t="s">
        <v>583</v>
      </c>
    </row>
    <row r="1474" spans="1:8" ht="12.75" customHeight="1">
      <c r="B1474" s="159">
        <v>88251</v>
      </c>
      <c r="C1474" s="221" t="s">
        <v>1107</v>
      </c>
      <c r="D1474" s="159" t="s">
        <v>119</v>
      </c>
      <c r="E1474" s="159" t="s">
        <v>121</v>
      </c>
      <c r="F1474" s="174">
        <v>10.069900000000001</v>
      </c>
      <c r="G1474" s="160">
        <v>24.57</v>
      </c>
      <c r="H1474" s="160">
        <f>ROUND(ROUND(F1474,8)*G1474,2)</f>
        <v>247.42</v>
      </c>
    </row>
    <row r="1475" spans="1:8" ht="12.75" customHeight="1">
      <c r="B1475" s="159">
        <v>88315</v>
      </c>
      <c r="C1475" s="221" t="s">
        <v>668</v>
      </c>
      <c r="D1475" s="159" t="s">
        <v>119</v>
      </c>
      <c r="E1475" s="159" t="s">
        <v>121</v>
      </c>
      <c r="F1475" s="174">
        <v>2.5175000000000001</v>
      </c>
      <c r="G1475" s="160">
        <v>31.13</v>
      </c>
      <c r="H1475" s="160">
        <f>ROUND(ROUND(F1475,8)*G1475,2)</f>
        <v>78.37</v>
      </c>
    </row>
    <row r="1476" spans="1:8" ht="12.75" customHeight="1">
      <c r="B1476" s="222"/>
      <c r="C1476" s="222"/>
      <c r="D1476" s="222"/>
      <c r="E1476" s="222"/>
      <c r="F1476" s="630" t="s">
        <v>585</v>
      </c>
      <c r="G1476" s="630"/>
      <c r="H1476" s="102">
        <f>H1474+H1475</f>
        <v>325.78999999999996</v>
      </c>
    </row>
    <row r="1477" spans="1:8" ht="12.75" customHeight="1">
      <c r="B1477" s="222"/>
      <c r="C1477" s="222"/>
      <c r="D1477" s="222"/>
      <c r="E1477" s="222"/>
      <c r="F1477" s="630" t="s">
        <v>464</v>
      </c>
      <c r="G1477" s="630"/>
      <c r="H1477" s="102">
        <f>H1472+H1476</f>
        <v>818.06</v>
      </c>
    </row>
    <row r="1478" spans="1:8" ht="12.75" customHeight="1">
      <c r="B1478" s="222"/>
      <c r="C1478" s="222"/>
      <c r="D1478" s="222"/>
      <c r="E1478" s="222"/>
      <c r="F1478" s="226"/>
      <c r="G1478" s="226"/>
      <c r="H1478" s="226"/>
    </row>
    <row r="1479" spans="1:8">
      <c r="B1479" s="245" t="s">
        <v>2544</v>
      </c>
    </row>
    <row r="1480" spans="1:8">
      <c r="B1480" s="222"/>
      <c r="C1480" s="222"/>
      <c r="D1480" s="222"/>
      <c r="E1480" s="222"/>
      <c r="F1480" s="111"/>
      <c r="G1480" s="111"/>
      <c r="H1480" s="228"/>
    </row>
    <row r="1481" spans="1:8" ht="27" customHeight="1">
      <c r="A1481" s="178" t="str">
        <f>'3 - PLAN. ORÇAMENTÁRIA'!A301</f>
        <v>4.2.3</v>
      </c>
      <c r="B1481" s="178" t="str">
        <f>'3 - PLAN. ORÇAMENTÁRIA'!B301</f>
        <v>CCU 038</v>
      </c>
      <c r="C1481" s="631" t="str">
        <f>'3 - PLAN. ORÇAMENTÁRIA'!C301</f>
        <v>PLACA PARA SINALIZAÇÃO TÁTIL (INÍCIO OU FINAL) EM BRAILE PARA CORRIMÃO REF. 30.06.010/SP OBRAS</v>
      </c>
      <c r="D1481" s="632"/>
      <c r="E1481" s="632"/>
      <c r="F1481" s="632"/>
      <c r="G1481" s="633"/>
      <c r="H1481" s="131" t="s">
        <v>144</v>
      </c>
    </row>
    <row r="1482" spans="1:8" ht="12.75" customHeight="1">
      <c r="B1482" s="628" t="s">
        <v>593</v>
      </c>
      <c r="C1482" s="628"/>
      <c r="D1482" s="103" t="s">
        <v>579</v>
      </c>
      <c r="E1482" s="103" t="s">
        <v>580</v>
      </c>
      <c r="F1482" s="103" t="s">
        <v>581</v>
      </c>
      <c r="G1482" s="103" t="s">
        <v>582</v>
      </c>
      <c r="H1482" s="103" t="s">
        <v>583</v>
      </c>
    </row>
    <row r="1483" spans="1:8" ht="12.75" customHeight="1">
      <c r="B1483" s="130" t="s">
        <v>1835</v>
      </c>
      <c r="C1483" s="229" t="s">
        <v>1836</v>
      </c>
      <c r="D1483" s="130" t="s">
        <v>592</v>
      </c>
      <c r="E1483" s="130" t="s">
        <v>144</v>
      </c>
      <c r="F1483" s="230">
        <v>1</v>
      </c>
      <c r="G1483" s="227">
        <v>10.73</v>
      </c>
      <c r="H1483" s="160">
        <f>ROUND(ROUND(F1483,8)*G1483,2)</f>
        <v>10.73</v>
      </c>
    </row>
    <row r="1484" spans="1:8" ht="12.75" customHeight="1">
      <c r="B1484" s="222"/>
      <c r="C1484" s="222"/>
      <c r="D1484" s="222"/>
      <c r="E1484" s="222"/>
      <c r="F1484" s="630" t="s">
        <v>604</v>
      </c>
      <c r="G1484" s="630"/>
      <c r="H1484" s="102">
        <f>H1483</f>
        <v>10.73</v>
      </c>
    </row>
    <row r="1485" spans="1:8" ht="12.75" customHeight="1">
      <c r="B1485" s="628" t="s">
        <v>584</v>
      </c>
      <c r="C1485" s="628"/>
      <c r="D1485" s="103" t="s">
        <v>579</v>
      </c>
      <c r="E1485" s="103" t="s">
        <v>580</v>
      </c>
      <c r="F1485" s="103" t="s">
        <v>581</v>
      </c>
      <c r="G1485" s="103" t="s">
        <v>582</v>
      </c>
      <c r="H1485" s="103" t="s">
        <v>583</v>
      </c>
    </row>
    <row r="1486" spans="1:8" ht="12.75" customHeight="1">
      <c r="B1486" s="159">
        <v>88241</v>
      </c>
      <c r="C1486" s="221" t="s">
        <v>998</v>
      </c>
      <c r="D1486" s="159" t="s">
        <v>119</v>
      </c>
      <c r="E1486" s="159" t="s">
        <v>121</v>
      </c>
      <c r="F1486" s="174">
        <v>3.5000000000000003E-2</v>
      </c>
      <c r="G1486" s="160">
        <v>24.49</v>
      </c>
      <c r="H1486" s="160">
        <f>ROUND(ROUND(F1486,8)*G1486,2)</f>
        <v>0.86</v>
      </c>
    </row>
    <row r="1487" spans="1:8" ht="12.75" customHeight="1">
      <c r="B1487" s="159">
        <v>88309</v>
      </c>
      <c r="C1487" s="221" t="s">
        <v>640</v>
      </c>
      <c r="D1487" s="159" t="s">
        <v>119</v>
      </c>
      <c r="E1487" s="159" t="s">
        <v>121</v>
      </c>
      <c r="F1487" s="174">
        <v>3.5000000000000003E-2</v>
      </c>
      <c r="G1487" s="160">
        <v>31.34</v>
      </c>
      <c r="H1487" s="160">
        <f>ROUND(ROUND(F1487,8)*G1487,2)</f>
        <v>1.1000000000000001</v>
      </c>
    </row>
    <row r="1488" spans="1:8" ht="12.75" customHeight="1">
      <c r="B1488" s="222"/>
      <c r="C1488" s="222"/>
      <c r="D1488" s="222"/>
      <c r="E1488" s="222"/>
      <c r="F1488" s="630" t="s">
        <v>585</v>
      </c>
      <c r="G1488" s="630"/>
      <c r="H1488" s="102">
        <f>H1486+H1487</f>
        <v>1.96</v>
      </c>
    </row>
    <row r="1489" spans="1:8" ht="12.75" customHeight="1">
      <c r="B1489" s="222"/>
      <c r="C1489" s="222"/>
      <c r="D1489" s="222"/>
      <c r="E1489" s="222"/>
      <c r="F1489" s="630" t="s">
        <v>464</v>
      </c>
      <c r="G1489" s="630"/>
      <c r="H1489" s="102">
        <f>H1484+H1488</f>
        <v>12.690000000000001</v>
      </c>
    </row>
    <row r="1490" spans="1:8" ht="12.75" customHeight="1">
      <c r="B1490" s="222"/>
      <c r="C1490" s="222"/>
      <c r="D1490" s="222"/>
      <c r="E1490" s="222"/>
      <c r="F1490" s="226"/>
      <c r="G1490" s="226"/>
      <c r="H1490" s="226"/>
    </row>
    <row r="1491" spans="1:8">
      <c r="B1491" s="245" t="s">
        <v>2544</v>
      </c>
    </row>
    <row r="1492" spans="1:8">
      <c r="B1492" s="222"/>
      <c r="C1492" s="222"/>
      <c r="D1492" s="222"/>
      <c r="E1492" s="222"/>
      <c r="F1492" s="111"/>
      <c r="G1492" s="111"/>
      <c r="H1492" s="228"/>
    </row>
    <row r="1493" spans="1:8" ht="27" customHeight="1">
      <c r="A1493" s="178" t="str">
        <f>'3 - PLAN. ORÇAMENTÁRIA'!A302</f>
        <v>4.2.4</v>
      </c>
      <c r="B1493" s="178" t="str">
        <f>'3 - PLAN. ORÇAMENTÁRIA'!B302</f>
        <v>CCU 039</v>
      </c>
      <c r="C1493" s="631" t="str">
        <f>'3 - PLAN. ORÇAMENTÁRIA'!C302</f>
        <v>PLACA DE IDENTIFICAÇÃO EM ALUMÍNIO PARA WC, COM DESENHO UNIVERSAL DE ACESSIBILIDADE REF. 30.06.080/SP OBRAS</v>
      </c>
      <c r="D1493" s="632"/>
      <c r="E1493" s="632"/>
      <c r="F1493" s="632"/>
      <c r="G1493" s="633"/>
      <c r="H1493" s="131" t="s">
        <v>144</v>
      </c>
    </row>
    <row r="1494" spans="1:8" ht="12.75" customHeight="1">
      <c r="B1494" s="628" t="s">
        <v>593</v>
      </c>
      <c r="C1494" s="628"/>
      <c r="D1494" s="103" t="s">
        <v>579</v>
      </c>
      <c r="E1494" s="103" t="s">
        <v>580</v>
      </c>
      <c r="F1494" s="103" t="s">
        <v>581</v>
      </c>
      <c r="G1494" s="103" t="s">
        <v>582</v>
      </c>
      <c r="H1494" s="103" t="s">
        <v>583</v>
      </c>
    </row>
    <row r="1495" spans="1:8" ht="12.75" customHeight="1">
      <c r="B1495" s="130" t="s">
        <v>2219</v>
      </c>
      <c r="C1495" s="229" t="s">
        <v>2220</v>
      </c>
      <c r="D1495" s="130" t="s">
        <v>592</v>
      </c>
      <c r="E1495" s="130" t="s">
        <v>144</v>
      </c>
      <c r="F1495" s="230">
        <v>1</v>
      </c>
      <c r="G1495" s="227">
        <v>30.5</v>
      </c>
      <c r="H1495" s="160">
        <f>ROUND(ROUND(F1495,8)*G1495,2)</f>
        <v>30.5</v>
      </c>
    </row>
    <row r="1496" spans="1:8" ht="12.75" customHeight="1">
      <c r="B1496" s="222"/>
      <c r="C1496" s="222"/>
      <c r="D1496" s="222"/>
      <c r="E1496" s="222"/>
      <c r="F1496" s="630" t="s">
        <v>604</v>
      </c>
      <c r="G1496" s="630"/>
      <c r="H1496" s="102">
        <f>H1495</f>
        <v>30.5</v>
      </c>
    </row>
    <row r="1497" spans="1:8" ht="12.75" customHeight="1">
      <c r="B1497" s="628" t="s">
        <v>584</v>
      </c>
      <c r="C1497" s="628"/>
      <c r="D1497" s="103" t="s">
        <v>579</v>
      </c>
      <c r="E1497" s="103" t="s">
        <v>580</v>
      </c>
      <c r="F1497" s="103" t="s">
        <v>581</v>
      </c>
      <c r="G1497" s="103" t="s">
        <v>582</v>
      </c>
      <c r="H1497" s="103" t="s">
        <v>583</v>
      </c>
    </row>
    <row r="1498" spans="1:8" ht="12.75" customHeight="1">
      <c r="B1498" s="159">
        <v>88316</v>
      </c>
      <c r="C1498" s="221" t="s">
        <v>626</v>
      </c>
      <c r="D1498" s="159" t="s">
        <v>119</v>
      </c>
      <c r="E1498" s="159" t="s">
        <v>121</v>
      </c>
      <c r="F1498" s="174">
        <v>0.2</v>
      </c>
      <c r="G1498" s="160">
        <v>23.75</v>
      </c>
      <c r="H1498" s="160">
        <f>ROUND(ROUND(F1498,8)*G1498,2)</f>
        <v>4.75</v>
      </c>
    </row>
    <row r="1499" spans="1:8" ht="12.75" customHeight="1">
      <c r="B1499" s="222"/>
      <c r="C1499" s="222"/>
      <c r="D1499" s="222"/>
      <c r="E1499" s="222"/>
      <c r="F1499" s="630" t="s">
        <v>585</v>
      </c>
      <c r="G1499" s="630"/>
      <c r="H1499" s="102">
        <f>H1498</f>
        <v>4.75</v>
      </c>
    </row>
    <row r="1500" spans="1:8" ht="12.75" customHeight="1">
      <c r="B1500" s="222"/>
      <c r="C1500" s="222"/>
      <c r="D1500" s="222"/>
      <c r="E1500" s="222"/>
      <c r="F1500" s="630" t="s">
        <v>464</v>
      </c>
      <c r="G1500" s="630"/>
      <c r="H1500" s="102">
        <f>H1496+H1499</f>
        <v>35.25</v>
      </c>
    </row>
    <row r="1501" spans="1:8" ht="12.75" customHeight="1">
      <c r="B1501" s="222"/>
      <c r="C1501" s="222"/>
      <c r="D1501" s="222"/>
      <c r="E1501" s="222"/>
      <c r="F1501" s="226"/>
      <c r="G1501" s="226"/>
      <c r="H1501" s="226"/>
    </row>
    <row r="1502" spans="1:8">
      <c r="B1502" s="245" t="s">
        <v>2544</v>
      </c>
    </row>
    <row r="1503" spans="1:8">
      <c r="B1503" s="222"/>
      <c r="C1503" s="222"/>
      <c r="D1503" s="222"/>
      <c r="E1503" s="222"/>
      <c r="F1503" s="111"/>
      <c r="G1503" s="111"/>
      <c r="H1503" s="228"/>
    </row>
    <row r="1504" spans="1:8" ht="27" customHeight="1">
      <c r="A1504" s="246" t="str">
        <f>'3 - PLAN. ORÇAMENTÁRIA'!A523</f>
        <v>6.1.1.6</v>
      </c>
      <c r="B1504" s="178" t="str">
        <f>'3 - PLAN. ORÇAMENTÁRIA'!B523</f>
        <v>CCU 054</v>
      </c>
      <c r="C1504" s="631" t="str">
        <f>'3 - PLAN. ORÇAMENTÁRIA'!C523</f>
        <v>PERFILADO PERFURADO 38 X 38 MM EM CHAPA 14 PRÉ-ZINCADA, COM ACESSÓRIOS REF. 38.07.300/SP OBRAS</v>
      </c>
      <c r="D1504" s="632"/>
      <c r="E1504" s="632"/>
      <c r="F1504" s="632"/>
      <c r="G1504" s="633"/>
      <c r="H1504" s="131" t="s">
        <v>173</v>
      </c>
    </row>
    <row r="1505" spans="1:10" ht="12.75" customHeight="1">
      <c r="B1505" s="628" t="s">
        <v>593</v>
      </c>
      <c r="C1505" s="628"/>
      <c r="D1505" s="103" t="s">
        <v>579</v>
      </c>
      <c r="E1505" s="103" t="s">
        <v>580</v>
      </c>
      <c r="F1505" s="103" t="s">
        <v>581</v>
      </c>
      <c r="G1505" s="103" t="s">
        <v>582</v>
      </c>
      <c r="H1505" s="103" t="s">
        <v>583</v>
      </c>
    </row>
    <row r="1506" spans="1:10" ht="12.75" customHeight="1">
      <c r="B1506" s="239" t="s">
        <v>2646</v>
      </c>
      <c r="C1506" s="229" t="s">
        <v>2645</v>
      </c>
      <c r="D1506" s="130" t="s">
        <v>119</v>
      </c>
      <c r="E1506" s="130" t="s">
        <v>173</v>
      </c>
      <c r="F1506" s="230">
        <v>1.25</v>
      </c>
      <c r="G1506" s="227">
        <v>7.56</v>
      </c>
      <c r="H1506" s="160">
        <f>ROUND(ROUND(F1506,8)*G1506,2)</f>
        <v>9.4499999999999993</v>
      </c>
      <c r="J1506" s="220" t="str">
        <f>B1514</f>
        <v>Obs: Foi adotado o item 38.07.300 do SP Obras como base e por questão de similaridade com o que se pede em projeto e ajuste para a fonte SINAPI, foram alterados o Material e a Mão de Obra</v>
      </c>
    </row>
    <row r="1507" spans="1:10">
      <c r="B1507" s="222"/>
      <c r="C1507" s="222"/>
      <c r="D1507" s="222"/>
      <c r="E1507" s="222"/>
      <c r="F1507" s="630" t="s">
        <v>604</v>
      </c>
      <c r="G1507" s="630"/>
      <c r="H1507" s="102">
        <f>H1506</f>
        <v>9.4499999999999993</v>
      </c>
    </row>
    <row r="1508" spans="1:10" ht="12.75" customHeight="1">
      <c r="B1508" s="628" t="s">
        <v>584</v>
      </c>
      <c r="C1508" s="628"/>
      <c r="D1508" s="103" t="s">
        <v>579</v>
      </c>
      <c r="E1508" s="103" t="s">
        <v>580</v>
      </c>
      <c r="F1508" s="103" t="s">
        <v>581</v>
      </c>
      <c r="G1508" s="103" t="s">
        <v>582</v>
      </c>
      <c r="H1508" s="103" t="s">
        <v>583</v>
      </c>
    </row>
    <row r="1509" spans="1:10">
      <c r="B1509" s="159">
        <v>88247</v>
      </c>
      <c r="C1509" s="221" t="s">
        <v>608</v>
      </c>
      <c r="D1509" s="159" t="s">
        <v>119</v>
      </c>
      <c r="E1509" s="159" t="s">
        <v>121</v>
      </c>
      <c r="F1509" s="174">
        <v>0.25</v>
      </c>
      <c r="G1509" s="160">
        <v>25</v>
      </c>
      <c r="H1509" s="160">
        <f>ROUND(ROUND(F1509,8)*G1509,2)</f>
        <v>6.25</v>
      </c>
    </row>
    <row r="1510" spans="1:10">
      <c r="B1510" s="159">
        <v>88264</v>
      </c>
      <c r="C1510" s="221" t="s">
        <v>609</v>
      </c>
      <c r="D1510" s="159" t="s">
        <v>119</v>
      </c>
      <c r="E1510" s="159" t="s">
        <v>121</v>
      </c>
      <c r="F1510" s="174">
        <v>0.25</v>
      </c>
      <c r="G1510" s="160">
        <v>31.72</v>
      </c>
      <c r="H1510" s="160">
        <f>ROUND(ROUND(F1510,8)*G1510,2)</f>
        <v>7.93</v>
      </c>
    </row>
    <row r="1511" spans="1:10" ht="12.75" customHeight="1">
      <c r="B1511" s="222"/>
      <c r="C1511" s="222"/>
      <c r="D1511" s="222"/>
      <c r="E1511" s="222"/>
      <c r="F1511" s="630" t="s">
        <v>585</v>
      </c>
      <c r="G1511" s="630"/>
      <c r="H1511" s="102">
        <f>H1509+H1510</f>
        <v>14.18</v>
      </c>
    </row>
    <row r="1512" spans="1:10" ht="12.75" customHeight="1">
      <c r="B1512" s="222"/>
      <c r="C1512" s="222"/>
      <c r="D1512" s="222"/>
      <c r="E1512" s="222"/>
      <c r="F1512" s="630" t="s">
        <v>464</v>
      </c>
      <c r="G1512" s="630"/>
      <c r="H1512" s="102">
        <f>H1507+H1511</f>
        <v>23.63</v>
      </c>
    </row>
    <row r="1513" spans="1:10" ht="12.75" customHeight="1">
      <c r="B1513" s="222"/>
      <c r="C1513" s="222"/>
      <c r="D1513" s="222"/>
      <c r="E1513" s="222"/>
      <c r="F1513" s="646"/>
      <c r="G1513" s="646"/>
      <c r="H1513" s="646"/>
    </row>
    <row r="1514" spans="1:10">
      <c r="B1514" s="245" t="s">
        <v>2639</v>
      </c>
    </row>
    <row r="1515" spans="1:10">
      <c r="B1515" s="222"/>
      <c r="C1515" s="222"/>
      <c r="D1515" s="222"/>
      <c r="E1515" s="222"/>
      <c r="F1515" s="111"/>
      <c r="G1515" s="111"/>
      <c r="H1515" s="228"/>
    </row>
    <row r="1516" spans="1:10" ht="27" customHeight="1">
      <c r="A1516" s="178" t="str">
        <f>'3 - PLAN. ORÇAMENTÁRIA'!A525</f>
        <v>6.1.1.8</v>
      </c>
      <c r="B1516" s="178" t="str">
        <f>'3 - PLAN. ORÇAMENTÁRIA'!B525</f>
        <v>CCU 056</v>
      </c>
      <c r="C1516" s="631" t="str">
        <f>'3 - PLAN. ORÇAMENTÁRIA'!C525</f>
        <v>TAMPA DE ENCAIXE PARA ELETROCALHA, GALVANIZADA A FOGO, L= 300 MM REF. 38.22.660/SP OBRAS</v>
      </c>
      <c r="D1516" s="632"/>
      <c r="E1516" s="632"/>
      <c r="F1516" s="632"/>
      <c r="G1516" s="633"/>
      <c r="H1516" s="131" t="s">
        <v>173</v>
      </c>
    </row>
    <row r="1517" spans="1:10">
      <c r="B1517" s="628" t="s">
        <v>593</v>
      </c>
      <c r="C1517" s="628"/>
      <c r="D1517" s="103" t="s">
        <v>579</v>
      </c>
      <c r="E1517" s="103" t="s">
        <v>580</v>
      </c>
      <c r="F1517" s="103" t="s">
        <v>581</v>
      </c>
      <c r="G1517" s="103" t="s">
        <v>582</v>
      </c>
      <c r="H1517" s="103" t="s">
        <v>583</v>
      </c>
    </row>
    <row r="1518" spans="1:10" ht="12.75" customHeight="1">
      <c r="B1518" s="159" t="s">
        <v>680</v>
      </c>
      <c r="C1518" s="221" t="s">
        <v>681</v>
      </c>
      <c r="D1518" s="159" t="s">
        <v>592</v>
      </c>
      <c r="E1518" s="159" t="s">
        <v>173</v>
      </c>
      <c r="F1518" s="174">
        <v>1.3</v>
      </c>
      <c r="G1518" s="160">
        <v>85.44</v>
      </c>
      <c r="H1518" s="160">
        <f>ROUND(ROUND(F1518,8)*G1518,2)</f>
        <v>111.07</v>
      </c>
    </row>
    <row r="1519" spans="1:10" ht="12.75" customHeight="1">
      <c r="B1519" s="222"/>
      <c r="C1519" s="222"/>
      <c r="D1519" s="222"/>
      <c r="E1519" s="222"/>
      <c r="F1519" s="630" t="s">
        <v>604</v>
      </c>
      <c r="G1519" s="630"/>
      <c r="H1519" s="102">
        <f>H1518</f>
        <v>111.07</v>
      </c>
    </row>
    <row r="1520" spans="1:10" ht="12.75" customHeight="1">
      <c r="B1520" s="628" t="s">
        <v>584</v>
      </c>
      <c r="C1520" s="628"/>
      <c r="D1520" s="103" t="s">
        <v>579</v>
      </c>
      <c r="E1520" s="103" t="s">
        <v>580</v>
      </c>
      <c r="F1520" s="103" t="s">
        <v>581</v>
      </c>
      <c r="G1520" s="103" t="s">
        <v>582</v>
      </c>
      <c r="H1520" s="103" t="s">
        <v>583</v>
      </c>
    </row>
    <row r="1521" spans="1:10">
      <c r="B1521" s="159">
        <v>88247</v>
      </c>
      <c r="C1521" s="221" t="s">
        <v>608</v>
      </c>
      <c r="D1521" s="159" t="s">
        <v>119</v>
      </c>
      <c r="E1521" s="159" t="s">
        <v>121</v>
      </c>
      <c r="F1521" s="174">
        <v>0.05</v>
      </c>
      <c r="G1521" s="160">
        <v>25</v>
      </c>
      <c r="H1521" s="160">
        <f>ROUND(ROUND(F1521,8)*G1521,2)</f>
        <v>1.25</v>
      </c>
    </row>
    <row r="1522" spans="1:10" ht="12.75" customHeight="1">
      <c r="B1522" s="159">
        <v>88264</v>
      </c>
      <c r="C1522" s="221" t="s">
        <v>609</v>
      </c>
      <c r="D1522" s="159" t="s">
        <v>119</v>
      </c>
      <c r="E1522" s="159" t="s">
        <v>121</v>
      </c>
      <c r="F1522" s="174">
        <v>0.05</v>
      </c>
      <c r="G1522" s="160">
        <v>31.72</v>
      </c>
      <c r="H1522" s="160">
        <f>ROUND(ROUND(F1522,8)*G1522,2)</f>
        <v>1.59</v>
      </c>
    </row>
    <row r="1523" spans="1:10" ht="12.75" customHeight="1">
      <c r="B1523" s="222"/>
      <c r="C1523" s="222"/>
      <c r="D1523" s="222"/>
      <c r="E1523" s="222"/>
      <c r="F1523" s="630" t="s">
        <v>585</v>
      </c>
      <c r="G1523" s="630"/>
      <c r="H1523" s="102">
        <f>H1521+H1522</f>
        <v>2.84</v>
      </c>
    </row>
    <row r="1524" spans="1:10" ht="12.75" customHeight="1">
      <c r="B1524" s="222"/>
      <c r="C1524" s="222"/>
      <c r="D1524" s="222"/>
      <c r="E1524" s="222"/>
      <c r="F1524" s="630" t="s">
        <v>464</v>
      </c>
      <c r="G1524" s="630"/>
      <c r="H1524" s="102">
        <f>H1519+H1523</f>
        <v>113.91</v>
      </c>
    </row>
    <row r="1525" spans="1:10">
      <c r="B1525" s="222"/>
      <c r="C1525" s="222"/>
      <c r="D1525" s="222"/>
      <c r="E1525" s="222"/>
      <c r="F1525" s="646"/>
      <c r="G1525" s="646"/>
      <c r="H1525" s="646"/>
    </row>
    <row r="1526" spans="1:10">
      <c r="B1526" s="245" t="s">
        <v>2544</v>
      </c>
    </row>
    <row r="1527" spans="1:10">
      <c r="B1527" s="222"/>
      <c r="C1527" s="222"/>
      <c r="D1527" s="222"/>
      <c r="E1527" s="222"/>
      <c r="F1527" s="111"/>
      <c r="G1527" s="111"/>
      <c r="H1527" s="228"/>
    </row>
    <row r="1528" spans="1:10" ht="27" customHeight="1">
      <c r="A1528" s="246" t="str">
        <f>'3 - PLAN. ORÇAMENTÁRIA'!A534</f>
        <v>6.1.2.6</v>
      </c>
      <c r="B1528" s="178" t="str">
        <f>'3 - PLAN. ORÇAMENTÁRIA'!B534</f>
        <v>CCU 061</v>
      </c>
      <c r="C1528" s="631" t="str">
        <f>'3 - PLAN. ORÇAMENTÁRIA'!C534</f>
        <v>QUADRO DE DISTRIBUIÇÃO EM CHAPA METALICA C/ PORTA 1200X600X600 MM, COM PLACA DE MONTAGEM REF. 37.06.014/SP OBRAS</v>
      </c>
      <c r="D1528" s="632"/>
      <c r="E1528" s="632"/>
      <c r="F1528" s="632"/>
      <c r="G1528" s="633"/>
      <c r="H1528" s="131" t="s">
        <v>139</v>
      </c>
      <c r="J1528" s="220" t="str">
        <f>B1539</f>
        <v>Obs: Será utilizado o item 37.06.014 do SP Obras para melhor atender as dimensões de projeto, visto que não existe nenhum item na fonte SINAPI que contemple o que foi projetado.</v>
      </c>
    </row>
    <row r="1529" spans="1:10" ht="12.75" customHeight="1">
      <c r="B1529" s="628" t="s">
        <v>593</v>
      </c>
      <c r="C1529" s="628"/>
      <c r="D1529" s="103" t="s">
        <v>579</v>
      </c>
      <c r="E1529" s="103" t="s">
        <v>580</v>
      </c>
      <c r="F1529" s="103" t="s">
        <v>581</v>
      </c>
      <c r="G1529" s="103" t="s">
        <v>582</v>
      </c>
      <c r="H1529" s="103" t="s">
        <v>583</v>
      </c>
    </row>
    <row r="1530" spans="1:10" ht="12.75" customHeight="1">
      <c r="B1530" s="159" t="s">
        <v>688</v>
      </c>
      <c r="C1530" s="221" t="s">
        <v>689</v>
      </c>
      <c r="D1530" s="159" t="s">
        <v>592</v>
      </c>
      <c r="E1530" s="159" t="s">
        <v>139</v>
      </c>
      <c r="F1530" s="174">
        <v>1</v>
      </c>
      <c r="G1530" s="160">
        <v>2523.62</v>
      </c>
      <c r="H1530" s="160">
        <f>ROUND(ROUND(F1530,8)*G1530,2)</f>
        <v>2523.62</v>
      </c>
    </row>
    <row r="1531" spans="1:10" ht="12.75" customHeight="1">
      <c r="B1531" s="222"/>
      <c r="C1531" s="222"/>
      <c r="D1531" s="222"/>
      <c r="E1531" s="222"/>
      <c r="F1531" s="630" t="s">
        <v>604</v>
      </c>
      <c r="G1531" s="630"/>
      <c r="H1531" s="102">
        <f>H1530</f>
        <v>2523.62</v>
      </c>
    </row>
    <row r="1532" spans="1:10" ht="12.75" customHeight="1">
      <c r="B1532" s="628" t="s">
        <v>584</v>
      </c>
      <c r="C1532" s="628"/>
      <c r="D1532" s="103" t="s">
        <v>579</v>
      </c>
      <c r="E1532" s="103" t="s">
        <v>580</v>
      </c>
      <c r="F1532" s="103" t="s">
        <v>581</v>
      </c>
      <c r="G1532" s="103" t="s">
        <v>582</v>
      </c>
      <c r="H1532" s="103" t="s">
        <v>583</v>
      </c>
    </row>
    <row r="1533" spans="1:10" ht="12.75" customHeight="1">
      <c r="B1533" s="159">
        <v>88247</v>
      </c>
      <c r="C1533" s="221" t="s">
        <v>608</v>
      </c>
      <c r="D1533" s="159" t="s">
        <v>119</v>
      </c>
      <c r="E1533" s="159" t="s">
        <v>121</v>
      </c>
      <c r="F1533" s="174">
        <v>2</v>
      </c>
      <c r="G1533" s="160">
        <v>25</v>
      </c>
      <c r="H1533" s="160">
        <f>ROUND(ROUND(F1533,8)*G1533,2)</f>
        <v>50</v>
      </c>
    </row>
    <row r="1534" spans="1:10" ht="12.75" customHeight="1">
      <c r="B1534" s="159">
        <v>88264</v>
      </c>
      <c r="C1534" s="221" t="s">
        <v>609</v>
      </c>
      <c r="D1534" s="159" t="s">
        <v>119</v>
      </c>
      <c r="E1534" s="159" t="s">
        <v>121</v>
      </c>
      <c r="F1534" s="174">
        <v>2</v>
      </c>
      <c r="G1534" s="160">
        <v>31.72</v>
      </c>
      <c r="H1534" s="160">
        <f>ROUND(ROUND(F1534,8)*G1534,2)</f>
        <v>63.44</v>
      </c>
    </row>
    <row r="1535" spans="1:10" ht="12.75" customHeight="1">
      <c r="B1535" s="159">
        <v>88266</v>
      </c>
      <c r="C1535" s="221" t="s">
        <v>999</v>
      </c>
      <c r="D1535" s="159" t="s">
        <v>119</v>
      </c>
      <c r="E1535" s="159" t="s">
        <v>121</v>
      </c>
      <c r="F1535" s="174">
        <v>0.5</v>
      </c>
      <c r="G1535" s="160">
        <v>38.270000000000003</v>
      </c>
      <c r="H1535" s="160">
        <f>ROUND(ROUND(F1535,8)*G1535,2)</f>
        <v>19.14</v>
      </c>
    </row>
    <row r="1536" spans="1:10" ht="12.75" customHeight="1">
      <c r="B1536" s="222"/>
      <c r="C1536" s="222"/>
      <c r="D1536" s="222"/>
      <c r="E1536" s="222"/>
      <c r="F1536" s="630" t="s">
        <v>585</v>
      </c>
      <c r="G1536" s="630"/>
      <c r="H1536" s="102">
        <f>H1533+H1534+H1535</f>
        <v>132.57999999999998</v>
      </c>
    </row>
    <row r="1537" spans="1:10" ht="12.75" customHeight="1">
      <c r="B1537" s="222"/>
      <c r="C1537" s="222"/>
      <c r="D1537" s="222"/>
      <c r="E1537" s="222"/>
      <c r="F1537" s="630" t="s">
        <v>464</v>
      </c>
      <c r="G1537" s="630"/>
      <c r="H1537" s="102">
        <f>H1531+H1536</f>
        <v>2656.2</v>
      </c>
    </row>
    <row r="1538" spans="1:10" ht="12.75" customHeight="1">
      <c r="B1538" s="222"/>
      <c r="C1538" s="222"/>
      <c r="D1538" s="222"/>
      <c r="E1538" s="222"/>
      <c r="F1538" s="646"/>
      <c r="G1538" s="646"/>
      <c r="H1538" s="646"/>
    </row>
    <row r="1539" spans="1:10">
      <c r="B1539" s="245" t="s">
        <v>2653</v>
      </c>
    </row>
    <row r="1540" spans="1:10">
      <c r="B1540" s="222"/>
      <c r="C1540" s="222"/>
      <c r="D1540" s="222"/>
      <c r="E1540" s="222"/>
      <c r="F1540" s="111"/>
      <c r="G1540" s="111"/>
      <c r="H1540" s="228"/>
    </row>
    <row r="1541" spans="1:10" ht="27" customHeight="1">
      <c r="A1541" s="246" t="str">
        <f>'3 - PLAN. ORÇAMENTÁRIA'!A535</f>
        <v>6.1.2.7</v>
      </c>
      <c r="B1541" s="178" t="str">
        <f>'3 - PLAN. ORÇAMENTÁRIA'!B535</f>
        <v>CCU 062</v>
      </c>
      <c r="C1541" s="631" t="str">
        <f>'3 - PLAN. ORÇAMENTÁRIA'!C535</f>
        <v>QUADRO DE DISTRIBUIÇÃO EM CHAPA METALICA C/ PORTA 600X400X250 MM, COM PLACA DE MONTAGEM REF. 37.06.014/SP OBRAS</v>
      </c>
      <c r="D1541" s="632"/>
      <c r="E1541" s="632"/>
      <c r="F1541" s="632"/>
      <c r="G1541" s="633"/>
      <c r="H1541" s="131" t="s">
        <v>139</v>
      </c>
      <c r="J1541" s="220" t="str">
        <f>B1552</f>
        <v>Obs: Será utilizado o item 37.06.014 do SP Obras para melhor atender as dimensões de projeto, visto que não existe nenhum item na fonte SINAPI que contemple o que foi projetado.</v>
      </c>
    </row>
    <row r="1542" spans="1:10" ht="12.75" customHeight="1">
      <c r="B1542" s="628" t="s">
        <v>593</v>
      </c>
      <c r="C1542" s="628"/>
      <c r="D1542" s="103" t="s">
        <v>579</v>
      </c>
      <c r="E1542" s="103" t="s">
        <v>580</v>
      </c>
      <c r="F1542" s="103" t="s">
        <v>581</v>
      </c>
      <c r="G1542" s="103" t="s">
        <v>582</v>
      </c>
      <c r="H1542" s="103" t="s">
        <v>583</v>
      </c>
    </row>
    <row r="1543" spans="1:10" ht="25.5">
      <c r="B1543" s="159" t="s">
        <v>688</v>
      </c>
      <c r="C1543" s="221" t="s">
        <v>689</v>
      </c>
      <c r="D1543" s="159" t="s">
        <v>592</v>
      </c>
      <c r="E1543" s="159" t="s">
        <v>139</v>
      </c>
      <c r="F1543" s="174">
        <v>1</v>
      </c>
      <c r="G1543" s="160">
        <v>2523.62</v>
      </c>
      <c r="H1543" s="160">
        <f>ROUND(ROUND(F1543,8)*G1543,2)</f>
        <v>2523.62</v>
      </c>
    </row>
    <row r="1544" spans="1:10" ht="12.75" customHeight="1">
      <c r="B1544" s="222"/>
      <c r="C1544" s="222"/>
      <c r="D1544" s="222"/>
      <c r="E1544" s="222"/>
      <c r="F1544" s="630" t="s">
        <v>604</v>
      </c>
      <c r="G1544" s="630"/>
      <c r="H1544" s="102">
        <f>H1543</f>
        <v>2523.62</v>
      </c>
    </row>
    <row r="1545" spans="1:10" ht="12.75" customHeight="1">
      <c r="B1545" s="628" t="s">
        <v>584</v>
      </c>
      <c r="C1545" s="628"/>
      <c r="D1545" s="103" t="s">
        <v>579</v>
      </c>
      <c r="E1545" s="103" t="s">
        <v>580</v>
      </c>
      <c r="F1545" s="103" t="s">
        <v>581</v>
      </c>
      <c r="G1545" s="103" t="s">
        <v>582</v>
      </c>
      <c r="H1545" s="103" t="s">
        <v>583</v>
      </c>
    </row>
    <row r="1546" spans="1:10" ht="12.75" customHeight="1">
      <c r="B1546" s="159">
        <v>88247</v>
      </c>
      <c r="C1546" s="221" t="s">
        <v>608</v>
      </c>
      <c r="D1546" s="159" t="s">
        <v>119</v>
      </c>
      <c r="E1546" s="159" t="s">
        <v>121</v>
      </c>
      <c r="F1546" s="174">
        <v>2</v>
      </c>
      <c r="G1546" s="160">
        <v>25</v>
      </c>
      <c r="H1546" s="160">
        <f>ROUND(ROUND(F1546,8)*G1546,2)</f>
        <v>50</v>
      </c>
    </row>
    <row r="1547" spans="1:10" ht="12.75" customHeight="1">
      <c r="B1547" s="159">
        <v>88264</v>
      </c>
      <c r="C1547" s="221" t="s">
        <v>609</v>
      </c>
      <c r="D1547" s="159" t="s">
        <v>119</v>
      </c>
      <c r="E1547" s="159" t="s">
        <v>121</v>
      </c>
      <c r="F1547" s="174">
        <v>2</v>
      </c>
      <c r="G1547" s="160">
        <v>31.72</v>
      </c>
      <c r="H1547" s="160">
        <f>ROUND(ROUND(F1547,8)*G1547,2)</f>
        <v>63.44</v>
      </c>
    </row>
    <row r="1548" spans="1:10" ht="12.75" customHeight="1">
      <c r="B1548" s="159">
        <v>88266</v>
      </c>
      <c r="C1548" s="221" t="s">
        <v>999</v>
      </c>
      <c r="D1548" s="159" t="s">
        <v>119</v>
      </c>
      <c r="E1548" s="159" t="s">
        <v>121</v>
      </c>
      <c r="F1548" s="174">
        <v>0.5</v>
      </c>
      <c r="G1548" s="160">
        <v>38.270000000000003</v>
      </c>
      <c r="H1548" s="160">
        <f>ROUND(ROUND(F1548,8)*G1548,2)</f>
        <v>19.14</v>
      </c>
    </row>
    <row r="1549" spans="1:10" ht="25.5" customHeight="1">
      <c r="B1549" s="222"/>
      <c r="C1549" s="222"/>
      <c r="D1549" s="222"/>
      <c r="E1549" s="222"/>
      <c r="F1549" s="630" t="s">
        <v>585</v>
      </c>
      <c r="G1549" s="630"/>
      <c r="H1549" s="102">
        <f>H1546+H1547+H1548</f>
        <v>132.57999999999998</v>
      </c>
    </row>
    <row r="1550" spans="1:10" ht="12.75" customHeight="1">
      <c r="B1550" s="222"/>
      <c r="C1550" s="222"/>
      <c r="D1550" s="222"/>
      <c r="E1550" s="222"/>
      <c r="F1550" s="630" t="s">
        <v>464</v>
      </c>
      <c r="G1550" s="630"/>
      <c r="H1550" s="102">
        <f>H1544+H1549</f>
        <v>2656.2</v>
      </c>
    </row>
    <row r="1551" spans="1:10" ht="12.75" customHeight="1">
      <c r="B1551" s="222"/>
      <c r="C1551" s="222"/>
      <c r="D1551" s="222"/>
      <c r="E1551" s="222"/>
      <c r="F1551" s="646"/>
      <c r="G1551" s="646"/>
      <c r="H1551" s="646"/>
    </row>
    <row r="1552" spans="1:10">
      <c r="B1552" s="245" t="s">
        <v>2653</v>
      </c>
    </row>
    <row r="1553" spans="1:10">
      <c r="B1553" s="222"/>
      <c r="C1553" s="222"/>
      <c r="D1553" s="222"/>
      <c r="E1553" s="222"/>
      <c r="F1553" s="111"/>
      <c r="G1553" s="111"/>
      <c r="H1553" s="228"/>
    </row>
    <row r="1554" spans="1:10" ht="27" customHeight="1">
      <c r="A1554" s="246" t="str">
        <f>'3 - PLAN. ORÇAMENTÁRIA'!A590</f>
        <v>6.1.5.9</v>
      </c>
      <c r="B1554" s="178" t="str">
        <f>'3 - PLAN. ORÇAMENTÁRIA'!B590</f>
        <v>CCU 066</v>
      </c>
      <c r="C1554" s="631" t="str">
        <f>'3 - PLAN. ORÇAMENTÁRIA'!C590</f>
        <v>TERMINAL DE PRESSÃO/COMPRESSÃO PARA CABO DE 35 MM² REF. 39.10.130/SP OBRAS</v>
      </c>
      <c r="D1554" s="632"/>
      <c r="E1554" s="632"/>
      <c r="F1554" s="632"/>
      <c r="G1554" s="633"/>
      <c r="H1554" s="131" t="s">
        <v>144</v>
      </c>
    </row>
    <row r="1555" spans="1:10" ht="12.75" customHeight="1">
      <c r="B1555" s="628" t="s">
        <v>593</v>
      </c>
      <c r="C1555" s="628"/>
      <c r="D1555" s="103" t="s">
        <v>579</v>
      </c>
      <c r="E1555" s="103" t="s">
        <v>580</v>
      </c>
      <c r="F1555" s="103" t="s">
        <v>581</v>
      </c>
      <c r="G1555" s="103" t="s">
        <v>582</v>
      </c>
      <c r="H1555" s="103" t="s">
        <v>583</v>
      </c>
    </row>
    <row r="1556" spans="1:10" ht="25.5">
      <c r="B1556" s="173" t="s">
        <v>2643</v>
      </c>
      <c r="C1556" s="221" t="s">
        <v>2644</v>
      </c>
      <c r="D1556" s="159" t="s">
        <v>119</v>
      </c>
      <c r="E1556" s="159" t="s">
        <v>144</v>
      </c>
      <c r="F1556" s="174">
        <v>1</v>
      </c>
      <c r="G1556" s="160">
        <v>3.24</v>
      </c>
      <c r="H1556" s="160">
        <f>ROUND(ROUND(F1556,8)*G1556,2)</f>
        <v>3.24</v>
      </c>
      <c r="J1556" s="220" t="str">
        <f>B1564</f>
        <v>Obs: Foi adotado o item 39.10.130 do SP Obras como base e por questão de similaridade com o que se pede em projeto e ajuste para a fonte SINAPI, foram alterados o Material e a Mão de Obra</v>
      </c>
    </row>
    <row r="1557" spans="1:10">
      <c r="B1557" s="222"/>
      <c r="C1557" s="222"/>
      <c r="D1557" s="222"/>
      <c r="E1557" s="222"/>
      <c r="F1557" s="630" t="s">
        <v>604</v>
      </c>
      <c r="G1557" s="630"/>
      <c r="H1557" s="102">
        <f>H1556</f>
        <v>3.24</v>
      </c>
    </row>
    <row r="1558" spans="1:10" ht="12.75" customHeight="1">
      <c r="B1558" s="628" t="s">
        <v>584</v>
      </c>
      <c r="C1558" s="628"/>
      <c r="D1558" s="103" t="s">
        <v>579</v>
      </c>
      <c r="E1558" s="103" t="s">
        <v>580</v>
      </c>
      <c r="F1558" s="103" t="s">
        <v>581</v>
      </c>
      <c r="G1558" s="103" t="s">
        <v>582</v>
      </c>
      <c r="H1558" s="103" t="s">
        <v>583</v>
      </c>
    </row>
    <row r="1559" spans="1:10">
      <c r="B1559" s="159">
        <v>88247</v>
      </c>
      <c r="C1559" s="221" t="s">
        <v>608</v>
      </c>
      <c r="D1559" s="159" t="s">
        <v>119</v>
      </c>
      <c r="E1559" s="159" t="s">
        <v>121</v>
      </c>
      <c r="F1559" s="174">
        <v>0.15</v>
      </c>
      <c r="G1559" s="160">
        <v>25</v>
      </c>
      <c r="H1559" s="160">
        <f>ROUND(ROUND(F1559,8)*G1559,2)</f>
        <v>3.75</v>
      </c>
    </row>
    <row r="1560" spans="1:10" ht="12.75" customHeight="1">
      <c r="B1560" s="159">
        <v>88264</v>
      </c>
      <c r="C1560" s="221" t="s">
        <v>609</v>
      </c>
      <c r="D1560" s="159" t="s">
        <v>119</v>
      </c>
      <c r="E1560" s="159" t="s">
        <v>121</v>
      </c>
      <c r="F1560" s="174">
        <v>0.15</v>
      </c>
      <c r="G1560" s="160">
        <v>31.72</v>
      </c>
      <c r="H1560" s="160">
        <f>ROUND(ROUND(F1560,8)*G1560,2)</f>
        <v>4.76</v>
      </c>
    </row>
    <row r="1561" spans="1:10">
      <c r="B1561" s="222"/>
      <c r="C1561" s="222"/>
      <c r="D1561" s="222"/>
      <c r="E1561" s="222"/>
      <c r="F1561" s="630" t="s">
        <v>585</v>
      </c>
      <c r="G1561" s="630"/>
      <c r="H1561" s="102">
        <f>H1559+H1560</f>
        <v>8.51</v>
      </c>
    </row>
    <row r="1562" spans="1:10">
      <c r="B1562" s="222"/>
      <c r="C1562" s="222"/>
      <c r="D1562" s="222"/>
      <c r="E1562" s="222"/>
      <c r="F1562" s="630" t="s">
        <v>464</v>
      </c>
      <c r="G1562" s="630"/>
      <c r="H1562" s="102">
        <f>H1557+H1561</f>
        <v>11.75</v>
      </c>
    </row>
    <row r="1563" spans="1:10">
      <c r="B1563" s="222"/>
      <c r="C1563" s="222"/>
      <c r="D1563" s="222"/>
      <c r="E1563" s="222"/>
      <c r="F1563" s="646"/>
      <c r="G1563" s="646"/>
      <c r="H1563" s="646"/>
    </row>
    <row r="1564" spans="1:10">
      <c r="B1564" s="245" t="s">
        <v>2647</v>
      </c>
    </row>
    <row r="1565" spans="1:10">
      <c r="B1565" s="222"/>
      <c r="C1565" s="222"/>
      <c r="D1565" s="222"/>
      <c r="E1565" s="222"/>
      <c r="F1565" s="111"/>
      <c r="G1565" s="111"/>
      <c r="H1565" s="228"/>
    </row>
    <row r="1566" spans="1:10" ht="27" customHeight="1">
      <c r="A1566" s="178" t="str">
        <f>'3 - PLAN. ORÇAMENTÁRIA'!A555</f>
        <v>6.1.3.14</v>
      </c>
      <c r="B1566" s="178" t="str">
        <f>'3 - PLAN. ORÇAMENTÁRIA'!B555</f>
        <v>CCU 068</v>
      </c>
      <c r="C1566" s="631" t="str">
        <f>'3 - PLAN. ORÇAMENTÁRIA'!C555</f>
        <v>DISPOSITIVO DIFERENCIAL RESIDUAL DE 125 A X 30 MA - 4 POLOS REF. 37.17.114/SP OBRAS</v>
      </c>
      <c r="D1566" s="632"/>
      <c r="E1566" s="632"/>
      <c r="F1566" s="632"/>
      <c r="G1566" s="633"/>
      <c r="H1566" s="131" t="s">
        <v>144</v>
      </c>
    </row>
    <row r="1567" spans="1:10" ht="12.75" customHeight="1">
      <c r="B1567" s="628" t="s">
        <v>593</v>
      </c>
      <c r="C1567" s="628"/>
      <c r="D1567" s="103" t="s">
        <v>579</v>
      </c>
      <c r="E1567" s="103" t="s">
        <v>580</v>
      </c>
      <c r="F1567" s="103" t="s">
        <v>581</v>
      </c>
      <c r="G1567" s="103" t="s">
        <v>582</v>
      </c>
      <c r="H1567" s="103" t="s">
        <v>583</v>
      </c>
    </row>
    <row r="1568" spans="1:10">
      <c r="B1568" s="173" t="s">
        <v>2360</v>
      </c>
      <c r="C1568" s="221" t="s">
        <v>2361</v>
      </c>
      <c r="D1568" s="159" t="s">
        <v>592</v>
      </c>
      <c r="E1568" s="159" t="s">
        <v>144</v>
      </c>
      <c r="F1568" s="174">
        <v>1</v>
      </c>
      <c r="G1568" s="160">
        <v>2066.5100000000002</v>
      </c>
      <c r="H1568" s="160">
        <f>ROUND(ROUND(F1568,8)*G1568,2)</f>
        <v>2066.5100000000002</v>
      </c>
    </row>
    <row r="1569" spans="1:8" ht="12.75" customHeight="1">
      <c r="B1569" s="222"/>
      <c r="C1569" s="222"/>
      <c r="D1569" s="222"/>
      <c r="E1569" s="222"/>
      <c r="F1569" s="630" t="s">
        <v>604</v>
      </c>
      <c r="G1569" s="630"/>
      <c r="H1569" s="102">
        <f>H1568</f>
        <v>2066.5100000000002</v>
      </c>
    </row>
    <row r="1570" spans="1:8" ht="12.75" customHeight="1">
      <c r="B1570" s="628" t="s">
        <v>584</v>
      </c>
      <c r="C1570" s="628"/>
      <c r="D1570" s="103" t="s">
        <v>579</v>
      </c>
      <c r="E1570" s="103" t="s">
        <v>580</v>
      </c>
      <c r="F1570" s="103" t="s">
        <v>581</v>
      </c>
      <c r="G1570" s="103" t="s">
        <v>582</v>
      </c>
      <c r="H1570" s="103" t="s">
        <v>583</v>
      </c>
    </row>
    <row r="1571" spans="1:8" ht="12.75" customHeight="1">
      <c r="B1571" s="159">
        <v>88247</v>
      </c>
      <c r="C1571" s="221" t="s">
        <v>608</v>
      </c>
      <c r="D1571" s="159" t="s">
        <v>119</v>
      </c>
      <c r="E1571" s="159" t="s">
        <v>121</v>
      </c>
      <c r="F1571" s="174">
        <v>0.25</v>
      </c>
      <c r="G1571" s="160">
        <v>25</v>
      </c>
      <c r="H1571" s="160">
        <f>ROUND(ROUND(F1571,8)*G1571,2)</f>
        <v>6.25</v>
      </c>
    </row>
    <row r="1572" spans="1:8">
      <c r="B1572" s="159">
        <v>88264</v>
      </c>
      <c r="C1572" s="221" t="s">
        <v>609</v>
      </c>
      <c r="D1572" s="159" t="s">
        <v>119</v>
      </c>
      <c r="E1572" s="159" t="s">
        <v>121</v>
      </c>
      <c r="F1572" s="174">
        <v>0.25</v>
      </c>
      <c r="G1572" s="160">
        <v>31.72</v>
      </c>
      <c r="H1572" s="160">
        <f>ROUND(ROUND(F1572,8)*G1572,2)</f>
        <v>7.93</v>
      </c>
    </row>
    <row r="1573" spans="1:8" ht="12.75" customHeight="1">
      <c r="B1573" s="222"/>
      <c r="C1573" s="222"/>
      <c r="D1573" s="222"/>
      <c r="E1573" s="222"/>
      <c r="F1573" s="630" t="s">
        <v>585</v>
      </c>
      <c r="G1573" s="630"/>
      <c r="H1573" s="102">
        <f>H1571+H1572</f>
        <v>14.18</v>
      </c>
    </row>
    <row r="1574" spans="1:8">
      <c r="B1574" s="222"/>
      <c r="C1574" s="222"/>
      <c r="D1574" s="222"/>
      <c r="E1574" s="222"/>
      <c r="F1574" s="630" t="s">
        <v>464</v>
      </c>
      <c r="G1574" s="630"/>
      <c r="H1574" s="102">
        <f>H1569+H1573</f>
        <v>2080.69</v>
      </c>
    </row>
    <row r="1575" spans="1:8" ht="12.75" customHeight="1">
      <c r="B1575" s="222"/>
      <c r="C1575" s="222"/>
      <c r="D1575" s="222"/>
      <c r="E1575" s="222"/>
      <c r="F1575" s="646"/>
      <c r="G1575" s="646"/>
      <c r="H1575" s="646"/>
    </row>
    <row r="1576" spans="1:8">
      <c r="B1576" s="245" t="s">
        <v>2544</v>
      </c>
    </row>
    <row r="1577" spans="1:8">
      <c r="B1577" s="222"/>
      <c r="C1577" s="222"/>
      <c r="D1577" s="222"/>
      <c r="E1577" s="222"/>
      <c r="F1577" s="111"/>
      <c r="G1577" s="111"/>
      <c r="H1577" s="228"/>
    </row>
    <row r="1578" spans="1:8" ht="27" customHeight="1">
      <c r="A1578" s="178" t="str">
        <f>'3 - PLAN. ORÇAMENTÁRIA'!A556</f>
        <v>6.1.3.15</v>
      </c>
      <c r="B1578" s="178" t="str">
        <f>'3 - PLAN. ORÇAMENTÁRIA'!B556</f>
        <v>CCU 069</v>
      </c>
      <c r="C1578" s="631" t="str">
        <f>'3 - PLAN. ORÇAMENTÁRIA'!C556</f>
        <v>BARRAMENTO DE COBRE NU REF. 37.10.010/SP OBRAS</v>
      </c>
      <c r="D1578" s="632"/>
      <c r="E1578" s="632"/>
      <c r="F1578" s="632"/>
      <c r="G1578" s="633"/>
      <c r="H1578" s="131" t="s">
        <v>200</v>
      </c>
    </row>
    <row r="1579" spans="1:8" ht="12.75" customHeight="1">
      <c r="B1579" s="628" t="s">
        <v>593</v>
      </c>
      <c r="C1579" s="628"/>
      <c r="D1579" s="103" t="s">
        <v>579</v>
      </c>
      <c r="E1579" s="103" t="s">
        <v>580</v>
      </c>
      <c r="F1579" s="103" t="s">
        <v>581</v>
      </c>
      <c r="G1579" s="103" t="s">
        <v>582</v>
      </c>
      <c r="H1579" s="103" t="s">
        <v>583</v>
      </c>
    </row>
    <row r="1580" spans="1:8" ht="12.75" customHeight="1">
      <c r="B1580" s="130" t="s">
        <v>694</v>
      </c>
      <c r="C1580" s="229" t="s">
        <v>695</v>
      </c>
      <c r="D1580" s="130" t="s">
        <v>592</v>
      </c>
      <c r="E1580" s="130" t="s">
        <v>200</v>
      </c>
      <c r="F1580" s="230">
        <v>1</v>
      </c>
      <c r="G1580" s="227">
        <v>118.06</v>
      </c>
      <c r="H1580" s="160">
        <f>ROUND(ROUND(F1580,8)*G1580,2)</f>
        <v>118.06</v>
      </c>
    </row>
    <row r="1581" spans="1:8" ht="12.75" customHeight="1">
      <c r="B1581" s="222"/>
      <c r="C1581" s="222"/>
      <c r="D1581" s="222"/>
      <c r="E1581" s="222"/>
      <c r="F1581" s="630" t="s">
        <v>604</v>
      </c>
      <c r="G1581" s="630"/>
      <c r="H1581" s="102">
        <f>H1580</f>
        <v>118.06</v>
      </c>
    </row>
    <row r="1582" spans="1:8" ht="12.75" customHeight="1">
      <c r="B1582" s="628" t="s">
        <v>584</v>
      </c>
      <c r="C1582" s="628"/>
      <c r="D1582" s="103" t="s">
        <v>579</v>
      </c>
      <c r="E1582" s="103" t="s">
        <v>580</v>
      </c>
      <c r="F1582" s="103" t="s">
        <v>581</v>
      </c>
      <c r="G1582" s="103" t="s">
        <v>582</v>
      </c>
      <c r="H1582" s="103" t="s">
        <v>583</v>
      </c>
    </row>
    <row r="1583" spans="1:8" ht="12.75" customHeight="1">
      <c r="B1583" s="159">
        <v>88264</v>
      </c>
      <c r="C1583" s="221" t="s">
        <v>609</v>
      </c>
      <c r="D1583" s="159" t="s">
        <v>119</v>
      </c>
      <c r="E1583" s="159" t="s">
        <v>121</v>
      </c>
      <c r="F1583" s="174">
        <v>0.3</v>
      </c>
      <c r="G1583" s="160">
        <v>31.72</v>
      </c>
      <c r="H1583" s="160">
        <f>ROUND(ROUND(F1583,8)*G1583,2)</f>
        <v>9.52</v>
      </c>
    </row>
    <row r="1584" spans="1:8" ht="12.75" customHeight="1">
      <c r="B1584" s="222"/>
      <c r="C1584" s="222"/>
      <c r="D1584" s="222"/>
      <c r="E1584" s="222"/>
      <c r="F1584" s="630" t="s">
        <v>585</v>
      </c>
      <c r="G1584" s="630"/>
      <c r="H1584" s="102">
        <f>H1583</f>
        <v>9.52</v>
      </c>
    </row>
    <row r="1585" spans="1:8">
      <c r="B1585" s="222"/>
      <c r="C1585" s="222"/>
      <c r="D1585" s="222"/>
      <c r="E1585" s="222"/>
      <c r="F1585" s="630" t="s">
        <v>464</v>
      </c>
      <c r="G1585" s="630"/>
      <c r="H1585" s="102">
        <f>H1581+H1584</f>
        <v>127.58</v>
      </c>
    </row>
    <row r="1586" spans="1:8" ht="12.75" customHeight="1">
      <c r="B1586" s="222"/>
      <c r="C1586" s="222"/>
      <c r="D1586" s="222"/>
      <c r="E1586" s="222"/>
      <c r="F1586" s="646"/>
      <c r="G1586" s="646"/>
      <c r="H1586" s="646"/>
    </row>
    <row r="1587" spans="1:8">
      <c r="B1587" s="245" t="s">
        <v>2544</v>
      </c>
    </row>
    <row r="1588" spans="1:8">
      <c r="B1588" s="222"/>
      <c r="C1588" s="222"/>
      <c r="D1588" s="222"/>
      <c r="E1588" s="222"/>
      <c r="F1588" s="111"/>
      <c r="G1588" s="111"/>
      <c r="H1588" s="228"/>
    </row>
    <row r="1589" spans="1:8" ht="27" customHeight="1">
      <c r="A1589" s="178" t="str">
        <f>'3 - PLAN. ORÇAMENTÁRIA'!A558</f>
        <v>6.1.3.17</v>
      </c>
      <c r="B1589" s="178" t="str">
        <f>'3 - PLAN. ORÇAMENTÁRIA'!B558</f>
        <v>CCU 070</v>
      </c>
      <c r="C1589" s="631" t="str">
        <f>'3 - PLAN. ORÇAMENTÁRIA'!C558</f>
        <v>CHAVE COMUTADORA/SELETORA COM 1 POLO E 3 POSIÇÕES PARA 63 A REF. 40.12.020/SP OBRAS</v>
      </c>
      <c r="D1589" s="632"/>
      <c r="E1589" s="632"/>
      <c r="F1589" s="632"/>
      <c r="G1589" s="633"/>
      <c r="H1589" s="131" t="s">
        <v>144</v>
      </c>
    </row>
    <row r="1590" spans="1:8" ht="12.75" customHeight="1">
      <c r="B1590" s="628" t="s">
        <v>593</v>
      </c>
      <c r="C1590" s="628"/>
      <c r="D1590" s="103" t="s">
        <v>579</v>
      </c>
      <c r="E1590" s="103" t="s">
        <v>580</v>
      </c>
      <c r="F1590" s="103" t="s">
        <v>581</v>
      </c>
      <c r="G1590" s="103" t="s">
        <v>582</v>
      </c>
      <c r="H1590" s="103" t="s">
        <v>583</v>
      </c>
    </row>
    <row r="1591" spans="1:8" ht="12.75" customHeight="1">
      <c r="B1591" s="130" t="s">
        <v>696</v>
      </c>
      <c r="C1591" s="229" t="s">
        <v>697</v>
      </c>
      <c r="D1591" s="130" t="s">
        <v>592</v>
      </c>
      <c r="E1591" s="130" t="s">
        <v>144</v>
      </c>
      <c r="F1591" s="230">
        <v>1</v>
      </c>
      <c r="G1591" s="227">
        <v>627.33000000000004</v>
      </c>
      <c r="H1591" s="160">
        <f>ROUND(ROUND(F1591,8)*G1591,2)</f>
        <v>627.33000000000004</v>
      </c>
    </row>
    <row r="1592" spans="1:8" ht="12.75" customHeight="1">
      <c r="B1592" s="222"/>
      <c r="C1592" s="222"/>
      <c r="D1592" s="222"/>
      <c r="E1592" s="222"/>
      <c r="F1592" s="630" t="s">
        <v>604</v>
      </c>
      <c r="G1592" s="630"/>
      <c r="H1592" s="102">
        <f>H1591</f>
        <v>627.33000000000004</v>
      </c>
    </row>
    <row r="1593" spans="1:8" ht="12.75" customHeight="1">
      <c r="B1593" s="628" t="s">
        <v>584</v>
      </c>
      <c r="C1593" s="628"/>
      <c r="D1593" s="103" t="s">
        <v>579</v>
      </c>
      <c r="E1593" s="103" t="s">
        <v>580</v>
      </c>
      <c r="F1593" s="103" t="s">
        <v>581</v>
      </c>
      <c r="G1593" s="103" t="s">
        <v>582</v>
      </c>
      <c r="H1593" s="103" t="s">
        <v>583</v>
      </c>
    </row>
    <row r="1594" spans="1:8" ht="25.5" customHeight="1">
      <c r="B1594" s="159">
        <v>88247</v>
      </c>
      <c r="C1594" s="221" t="s">
        <v>608</v>
      </c>
      <c r="D1594" s="159" t="s">
        <v>119</v>
      </c>
      <c r="E1594" s="159" t="s">
        <v>121</v>
      </c>
      <c r="F1594" s="174">
        <v>0.4</v>
      </c>
      <c r="G1594" s="160">
        <v>25</v>
      </c>
      <c r="H1594" s="160">
        <f>ROUND(ROUND(F1594,8)*G1594,2)</f>
        <v>10</v>
      </c>
    </row>
    <row r="1595" spans="1:8" ht="12.75" customHeight="1">
      <c r="B1595" s="159">
        <v>88264</v>
      </c>
      <c r="C1595" s="221" t="s">
        <v>609</v>
      </c>
      <c r="D1595" s="159" t="s">
        <v>119</v>
      </c>
      <c r="E1595" s="159" t="s">
        <v>121</v>
      </c>
      <c r="F1595" s="174">
        <v>0.4</v>
      </c>
      <c r="G1595" s="160">
        <v>31.72</v>
      </c>
      <c r="H1595" s="160">
        <f>ROUND(ROUND(F1595,8)*G1595,2)</f>
        <v>12.69</v>
      </c>
    </row>
    <row r="1596" spans="1:8">
      <c r="B1596" s="222"/>
      <c r="C1596" s="222"/>
      <c r="D1596" s="222"/>
      <c r="E1596" s="222"/>
      <c r="F1596" s="630" t="s">
        <v>585</v>
      </c>
      <c r="G1596" s="630"/>
      <c r="H1596" s="102">
        <f>H1594+H1595</f>
        <v>22.689999999999998</v>
      </c>
    </row>
    <row r="1597" spans="1:8" ht="12.75" customHeight="1">
      <c r="B1597" s="222"/>
      <c r="C1597" s="222"/>
      <c r="D1597" s="222"/>
      <c r="E1597" s="222"/>
      <c r="F1597" s="630" t="s">
        <v>464</v>
      </c>
      <c r="G1597" s="630"/>
      <c r="H1597" s="102">
        <f>H1592+H1596</f>
        <v>650.02</v>
      </c>
    </row>
    <row r="1598" spans="1:8" ht="12.75" customHeight="1">
      <c r="B1598" s="222"/>
      <c r="C1598" s="222"/>
      <c r="D1598" s="222"/>
      <c r="E1598" s="222"/>
      <c r="F1598" s="646"/>
      <c r="G1598" s="646"/>
      <c r="H1598" s="646"/>
    </row>
    <row r="1599" spans="1:8">
      <c r="B1599" s="245" t="s">
        <v>2544</v>
      </c>
    </row>
    <row r="1600" spans="1:8">
      <c r="B1600" s="222"/>
      <c r="C1600" s="222"/>
      <c r="D1600" s="222"/>
      <c r="E1600" s="222"/>
      <c r="F1600" s="111"/>
      <c r="G1600" s="111"/>
      <c r="H1600" s="228"/>
    </row>
    <row r="1601" spans="1:10">
      <c r="A1601" s="246" t="str">
        <f>'3 - PLAN. ORÇAMENTÁRIA'!A572</f>
        <v>6.1.4.10</v>
      </c>
      <c r="B1601" s="178" t="str">
        <f>'3 - PLAN. ORÇAMENTÁRIA'!B572</f>
        <v>CCU 071</v>
      </c>
      <c r="C1601" s="631" t="str">
        <f>'3 - PLAN. ORÇAMENTÁRIA'!C572</f>
        <v>TOMADA STECK DE SOBREPOR - 125A 3P+T REF. S09422/ORSE</v>
      </c>
      <c r="D1601" s="632"/>
      <c r="E1601" s="632"/>
      <c r="F1601" s="632"/>
      <c r="G1601" s="633"/>
      <c r="H1601" s="131" t="str">
        <f>'3 - PLAN. ORÇAMENTÁRIA'!E572</f>
        <v>CJ</v>
      </c>
      <c r="J1601" s="220" t="str">
        <f>B1611</f>
        <v>Obs: Foi adotado o item S09422 do ORSE como base e por questão de similaridade ao que se pede em projeto, foi alterado a Mão de Obra para o SINAPI e o material para Cotação Externa</v>
      </c>
    </row>
    <row r="1602" spans="1:10">
      <c r="B1602" s="628" t="s">
        <v>593</v>
      </c>
      <c r="C1602" s="628"/>
      <c r="D1602" s="103" t="s">
        <v>579</v>
      </c>
      <c r="E1602" s="103" t="s">
        <v>580</v>
      </c>
      <c r="F1602" s="103" t="s">
        <v>581</v>
      </c>
      <c r="G1602" s="103" t="s">
        <v>582</v>
      </c>
      <c r="H1602" s="103" t="s">
        <v>583</v>
      </c>
    </row>
    <row r="1603" spans="1:10">
      <c r="B1603" s="130" t="str">
        <f>'6 - COTAÇÃO MERCADO'!B132</f>
        <v>COT 01.015</v>
      </c>
      <c r="C1603" s="229" t="str">
        <f>'6 - COTAÇÃO MERCADO'!C132</f>
        <v>TOMADA STECK DE SOBREPOR - 125A 3P+T</v>
      </c>
      <c r="D1603" s="130" t="s">
        <v>592</v>
      </c>
      <c r="E1603" s="130" t="s">
        <v>315</v>
      </c>
      <c r="F1603" s="230">
        <v>1</v>
      </c>
      <c r="G1603" s="227">
        <f>'6 - COTAÇÃO MERCADO'!D132</f>
        <v>575.13</v>
      </c>
      <c r="H1603" s="160">
        <f>ROUND(ROUND(F1603,8)*G1603,2)</f>
        <v>575.13</v>
      </c>
    </row>
    <row r="1604" spans="1:10">
      <c r="B1604" s="222"/>
      <c r="C1604" s="222"/>
      <c r="D1604" s="222"/>
      <c r="E1604" s="222"/>
      <c r="F1604" s="630" t="s">
        <v>604</v>
      </c>
      <c r="G1604" s="630"/>
      <c r="H1604" s="102">
        <f>H1603</f>
        <v>575.13</v>
      </c>
    </row>
    <row r="1605" spans="1:10">
      <c r="B1605" s="628" t="s">
        <v>607</v>
      </c>
      <c r="C1605" s="628"/>
      <c r="D1605" s="103" t="s">
        <v>579</v>
      </c>
      <c r="E1605" s="103" t="s">
        <v>580</v>
      </c>
      <c r="F1605" s="103" t="s">
        <v>581</v>
      </c>
      <c r="G1605" s="103" t="s">
        <v>582</v>
      </c>
      <c r="H1605" s="103" t="s">
        <v>583</v>
      </c>
    </row>
    <row r="1606" spans="1:10">
      <c r="B1606" s="159">
        <v>88264</v>
      </c>
      <c r="C1606" s="221" t="s">
        <v>609</v>
      </c>
      <c r="D1606" s="159" t="s">
        <v>119</v>
      </c>
      <c r="E1606" s="159" t="s">
        <v>121</v>
      </c>
      <c r="F1606" s="174">
        <v>0.45</v>
      </c>
      <c r="G1606" s="160">
        <v>31.72</v>
      </c>
      <c r="H1606" s="160">
        <f>ROUND(ROUND(F1606,8)*G1606,2)</f>
        <v>14.27</v>
      </c>
    </row>
    <row r="1607" spans="1:10">
      <c r="B1607" s="159">
        <v>88316</v>
      </c>
      <c r="C1607" s="221" t="s">
        <v>626</v>
      </c>
      <c r="D1607" s="159" t="s">
        <v>119</v>
      </c>
      <c r="E1607" s="159" t="s">
        <v>121</v>
      </c>
      <c r="F1607" s="174">
        <v>0.45</v>
      </c>
      <c r="G1607" s="160">
        <v>23.75</v>
      </c>
      <c r="H1607" s="160">
        <f>ROUND(ROUND(F1607,8)*G1607,2)</f>
        <v>10.69</v>
      </c>
    </row>
    <row r="1608" spans="1:10">
      <c r="B1608" s="222"/>
      <c r="C1608" s="222"/>
      <c r="D1608" s="222"/>
      <c r="E1608" s="222"/>
      <c r="F1608" s="630" t="s">
        <v>585</v>
      </c>
      <c r="G1608" s="630"/>
      <c r="H1608" s="102">
        <f>H1606+H1607</f>
        <v>24.96</v>
      </c>
    </row>
    <row r="1609" spans="1:10">
      <c r="B1609" s="222"/>
      <c r="C1609" s="222"/>
      <c r="D1609" s="222"/>
      <c r="E1609" s="222"/>
      <c r="F1609" s="630" t="s">
        <v>464</v>
      </c>
      <c r="G1609" s="630"/>
      <c r="H1609" s="102">
        <f>H1604+H1608</f>
        <v>600.09</v>
      </c>
    </row>
    <row r="1610" spans="1:10">
      <c r="B1610" s="222"/>
      <c r="C1610" s="222"/>
      <c r="D1610" s="222"/>
      <c r="E1610" s="222"/>
      <c r="F1610" s="646"/>
      <c r="G1610" s="646"/>
      <c r="H1610" s="646"/>
    </row>
    <row r="1611" spans="1:10">
      <c r="B1611" s="245" t="s">
        <v>2674</v>
      </c>
    </row>
    <row r="1612" spans="1:10">
      <c r="B1612" s="222"/>
      <c r="C1612" s="222"/>
      <c r="D1612" s="222"/>
      <c r="E1612" s="222"/>
      <c r="F1612" s="111"/>
      <c r="G1612" s="111"/>
      <c r="H1612" s="228"/>
    </row>
    <row r="1613" spans="1:10" ht="27" customHeight="1">
      <c r="A1613" s="246" t="str">
        <f>'3 - PLAN. ORÇAMENTÁRIA'!A589</f>
        <v>6.1.5.8</v>
      </c>
      <c r="B1613" s="178" t="str">
        <f>'3 - PLAN. ORÇAMENTÁRIA'!B589</f>
        <v>CCU 073</v>
      </c>
      <c r="C1613" s="631" t="str">
        <f>'3 - PLAN. ORÇAMENTÁRIA'!C589</f>
        <v>TERMINAL DE PRESSÃO/COMPRESSÃO PARA CABO DE 70 MM² REF. 39.10.200/ SP OBRAS</v>
      </c>
      <c r="D1613" s="632"/>
      <c r="E1613" s="632"/>
      <c r="F1613" s="632"/>
      <c r="G1613" s="633"/>
      <c r="H1613" s="131" t="s">
        <v>144</v>
      </c>
    </row>
    <row r="1614" spans="1:10" ht="12.75" customHeight="1">
      <c r="B1614" s="628" t="s">
        <v>593</v>
      </c>
      <c r="C1614" s="628"/>
      <c r="D1614" s="103" t="s">
        <v>579</v>
      </c>
      <c r="E1614" s="103" t="s">
        <v>580</v>
      </c>
      <c r="F1614" s="103" t="s">
        <v>581</v>
      </c>
      <c r="G1614" s="103" t="s">
        <v>582</v>
      </c>
      <c r="H1614" s="103" t="s">
        <v>583</v>
      </c>
    </row>
    <row r="1615" spans="1:10" ht="12.75" customHeight="1">
      <c r="B1615" s="239" t="s">
        <v>2650</v>
      </c>
      <c r="C1615" s="229" t="s">
        <v>2651</v>
      </c>
      <c r="D1615" s="130" t="s">
        <v>119</v>
      </c>
      <c r="E1615" s="130" t="s">
        <v>144</v>
      </c>
      <c r="F1615" s="230">
        <v>1</v>
      </c>
      <c r="G1615" s="227">
        <v>7.01</v>
      </c>
      <c r="H1615" s="160">
        <f>ROUND(ROUND(F1615,8)*G1615,2)</f>
        <v>7.01</v>
      </c>
      <c r="J1615" s="220" t="str">
        <f>B1623</f>
        <v>Obs: Foi adotado o item 39.10.200 do SP Obras como base e por questão de similaridade com o que se pede em projeto e ajuste para a fonte SINAPI, foram alterados o Material e a Mão de Obra</v>
      </c>
    </row>
    <row r="1616" spans="1:10" ht="12.75" customHeight="1">
      <c r="B1616" s="222"/>
      <c r="C1616" s="222"/>
      <c r="D1616" s="222"/>
      <c r="E1616" s="222"/>
      <c r="F1616" s="630" t="s">
        <v>604</v>
      </c>
      <c r="G1616" s="630"/>
      <c r="H1616" s="102">
        <f>H1615</f>
        <v>7.01</v>
      </c>
    </row>
    <row r="1617" spans="1:10" ht="12.75" customHeight="1">
      <c r="B1617" s="628" t="s">
        <v>584</v>
      </c>
      <c r="C1617" s="628"/>
      <c r="D1617" s="103" t="s">
        <v>579</v>
      </c>
      <c r="E1617" s="103" t="s">
        <v>580</v>
      </c>
      <c r="F1617" s="103" t="s">
        <v>581</v>
      </c>
      <c r="G1617" s="103" t="s">
        <v>582</v>
      </c>
      <c r="H1617" s="103" t="s">
        <v>583</v>
      </c>
    </row>
    <row r="1618" spans="1:10" ht="12.75" customHeight="1">
      <c r="B1618" s="159">
        <v>88247</v>
      </c>
      <c r="C1618" s="221" t="s">
        <v>608</v>
      </c>
      <c r="D1618" s="159" t="s">
        <v>119</v>
      </c>
      <c r="E1618" s="159" t="s">
        <v>121</v>
      </c>
      <c r="F1618" s="174">
        <v>0.15</v>
      </c>
      <c r="G1618" s="160">
        <v>25</v>
      </c>
      <c r="H1618" s="160">
        <f>ROUND(ROUND(F1618,8)*G1618,2)</f>
        <v>3.75</v>
      </c>
    </row>
    <row r="1619" spans="1:10" ht="12.75" customHeight="1">
      <c r="B1619" s="159">
        <v>88264</v>
      </c>
      <c r="C1619" s="221" t="s">
        <v>609</v>
      </c>
      <c r="D1619" s="159" t="s">
        <v>119</v>
      </c>
      <c r="E1619" s="159" t="s">
        <v>121</v>
      </c>
      <c r="F1619" s="174">
        <v>0.15</v>
      </c>
      <c r="G1619" s="160">
        <v>31.72</v>
      </c>
      <c r="H1619" s="160">
        <f>ROUND(ROUND(F1619,8)*G1619,2)</f>
        <v>4.76</v>
      </c>
    </row>
    <row r="1620" spans="1:10" ht="25.5" customHeight="1">
      <c r="B1620" s="222"/>
      <c r="C1620" s="222"/>
      <c r="D1620" s="222"/>
      <c r="E1620" s="222"/>
      <c r="F1620" s="630" t="s">
        <v>585</v>
      </c>
      <c r="G1620" s="630"/>
      <c r="H1620" s="102">
        <f>H1618+H1619</f>
        <v>8.51</v>
      </c>
    </row>
    <row r="1621" spans="1:10" ht="12.75" customHeight="1">
      <c r="B1621" s="222"/>
      <c r="C1621" s="222"/>
      <c r="D1621" s="222"/>
      <c r="E1621" s="222"/>
      <c r="F1621" s="630" t="s">
        <v>464</v>
      </c>
      <c r="G1621" s="630"/>
      <c r="H1621" s="102">
        <f>H1616+H1620</f>
        <v>15.52</v>
      </c>
    </row>
    <row r="1622" spans="1:10">
      <c r="B1622" s="222"/>
      <c r="C1622" s="222"/>
      <c r="D1622" s="222"/>
      <c r="E1622" s="222"/>
      <c r="F1622" s="646"/>
      <c r="G1622" s="646"/>
      <c r="H1622" s="646"/>
    </row>
    <row r="1623" spans="1:10">
      <c r="B1623" s="245" t="s">
        <v>2648</v>
      </c>
    </row>
    <row r="1624" spans="1:10">
      <c r="B1624" s="222"/>
      <c r="C1624" s="222"/>
      <c r="D1624" s="222"/>
      <c r="E1624" s="222"/>
      <c r="F1624" s="111"/>
      <c r="G1624" s="111"/>
      <c r="H1624" s="228"/>
    </row>
    <row r="1625" spans="1:10" ht="27" customHeight="1">
      <c r="A1625" s="246" t="str">
        <f>'3 - PLAN. ORÇAMENTÁRIA'!A591</f>
        <v>6.1.5.10</v>
      </c>
      <c r="B1625" s="178" t="str">
        <f>'3 - PLAN. ORÇAMENTÁRIA'!B591</f>
        <v>CCU 074</v>
      </c>
      <c r="C1625" s="631" t="str">
        <f>'3 - PLAN. ORÇAMENTÁRIA'!C591</f>
        <v>TERMINAL DE PRESSÃO/COMPRESSÃO PARA CABO DE 25 MM² REF. 39.10.120/SP OBRAS</v>
      </c>
      <c r="D1625" s="632"/>
      <c r="E1625" s="632"/>
      <c r="F1625" s="632"/>
      <c r="G1625" s="633"/>
      <c r="H1625" s="131" t="s">
        <v>144</v>
      </c>
    </row>
    <row r="1626" spans="1:10" ht="12.75" customHeight="1">
      <c r="B1626" s="628" t="s">
        <v>593</v>
      </c>
      <c r="C1626" s="628"/>
      <c r="D1626" s="103" t="s">
        <v>579</v>
      </c>
      <c r="E1626" s="103" t="s">
        <v>580</v>
      </c>
      <c r="F1626" s="103" t="s">
        <v>581</v>
      </c>
      <c r="G1626" s="103" t="s">
        <v>582</v>
      </c>
      <c r="H1626" s="103" t="s">
        <v>583</v>
      </c>
    </row>
    <row r="1627" spans="1:10" ht="12.75" customHeight="1">
      <c r="B1627" s="239" t="s">
        <v>2461</v>
      </c>
      <c r="C1627" s="229" t="s">
        <v>2462</v>
      </c>
      <c r="D1627" s="130" t="s">
        <v>119</v>
      </c>
      <c r="E1627" s="130" t="s">
        <v>144</v>
      </c>
      <c r="F1627" s="230">
        <v>1</v>
      </c>
      <c r="G1627" s="227">
        <v>2.08</v>
      </c>
      <c r="H1627" s="160">
        <f>ROUND(ROUND(F1627,8)*G1627,2)</f>
        <v>2.08</v>
      </c>
      <c r="J1627" s="220" t="str">
        <f>B1635</f>
        <v>Obs: Foi adotado o item 39.10.120 do SP Obras como base e por questão de similaridade com o que se pede em projeto e ajuste para a fonte SINAPI, foram alterados o Material e a Mão de Obra</v>
      </c>
    </row>
    <row r="1628" spans="1:10" ht="12.75" customHeight="1">
      <c r="B1628" s="222"/>
      <c r="C1628" s="222"/>
      <c r="D1628" s="222"/>
      <c r="E1628" s="222"/>
      <c r="F1628" s="630" t="s">
        <v>604</v>
      </c>
      <c r="G1628" s="630"/>
      <c r="H1628" s="102">
        <f>H1627</f>
        <v>2.08</v>
      </c>
    </row>
    <row r="1629" spans="1:10" ht="12.75" customHeight="1">
      <c r="B1629" s="628" t="s">
        <v>584</v>
      </c>
      <c r="C1629" s="628"/>
      <c r="D1629" s="103" t="s">
        <v>579</v>
      </c>
      <c r="E1629" s="103" t="s">
        <v>580</v>
      </c>
      <c r="F1629" s="103" t="s">
        <v>581</v>
      </c>
      <c r="G1629" s="103" t="s">
        <v>582</v>
      </c>
      <c r="H1629" s="103" t="s">
        <v>583</v>
      </c>
    </row>
    <row r="1630" spans="1:10" ht="12.75" customHeight="1">
      <c r="B1630" s="159">
        <v>88247</v>
      </c>
      <c r="C1630" s="221" t="s">
        <v>608</v>
      </c>
      <c r="D1630" s="159" t="s">
        <v>119</v>
      </c>
      <c r="E1630" s="159" t="s">
        <v>121</v>
      </c>
      <c r="F1630" s="174">
        <v>0.15</v>
      </c>
      <c r="G1630" s="160">
        <v>25</v>
      </c>
      <c r="H1630" s="160">
        <f>ROUND(ROUND(F1630,8)*G1630,2)</f>
        <v>3.75</v>
      </c>
    </row>
    <row r="1631" spans="1:10" ht="12.75" customHeight="1">
      <c r="B1631" s="159">
        <v>88264</v>
      </c>
      <c r="C1631" s="221" t="s">
        <v>609</v>
      </c>
      <c r="D1631" s="159" t="s">
        <v>119</v>
      </c>
      <c r="E1631" s="159" t="s">
        <v>121</v>
      </c>
      <c r="F1631" s="174">
        <v>0.15</v>
      </c>
      <c r="G1631" s="160">
        <v>31.72</v>
      </c>
      <c r="H1631" s="160">
        <f>ROUND(ROUND(F1631,8)*G1631,2)</f>
        <v>4.76</v>
      </c>
    </row>
    <row r="1632" spans="1:10" ht="12.75" customHeight="1">
      <c r="B1632" s="222"/>
      <c r="C1632" s="222"/>
      <c r="D1632" s="222"/>
      <c r="E1632" s="222"/>
      <c r="F1632" s="630" t="s">
        <v>585</v>
      </c>
      <c r="G1632" s="630"/>
      <c r="H1632" s="102">
        <f>H1630+H1631</f>
        <v>8.51</v>
      </c>
    </row>
    <row r="1633" spans="1:8">
      <c r="B1633" s="222"/>
      <c r="C1633" s="222"/>
      <c r="D1633" s="222"/>
      <c r="E1633" s="222"/>
      <c r="F1633" s="630" t="s">
        <v>464</v>
      </c>
      <c r="G1633" s="630"/>
      <c r="H1633" s="102">
        <f>H1628+H1632</f>
        <v>10.59</v>
      </c>
    </row>
    <row r="1634" spans="1:8" ht="12.75" customHeight="1">
      <c r="B1634" s="222"/>
      <c r="C1634" s="222"/>
      <c r="D1634" s="222"/>
      <c r="E1634" s="222"/>
      <c r="F1634" s="646"/>
      <c r="G1634" s="646"/>
      <c r="H1634" s="646"/>
    </row>
    <row r="1635" spans="1:8">
      <c r="B1635" s="245" t="s">
        <v>2649</v>
      </c>
    </row>
    <row r="1636" spans="1:8">
      <c r="B1636" s="222"/>
      <c r="C1636" s="222"/>
      <c r="D1636" s="222"/>
      <c r="E1636" s="222"/>
      <c r="F1636" s="111"/>
      <c r="G1636" s="111"/>
      <c r="H1636" s="228"/>
    </row>
    <row r="1637" spans="1:8" ht="27" customHeight="1">
      <c r="A1637" s="178" t="str">
        <f>'3 - PLAN. ORÇAMENTÁRIA'!A592</f>
        <v>6.1.5.11</v>
      </c>
      <c r="B1637" s="178" t="str">
        <f>'3 - PLAN. ORÇAMENTÁRIA'!B592</f>
        <v>CCU 075</v>
      </c>
      <c r="C1637" s="631" t="str">
        <f>'3 - PLAN. ORÇAMENTÁRIA'!C592</f>
        <v>TERMINAL DE PRESSÃO/COMPRESSÃO PARA CABO DE 16 MM² REF. 39.10.080/SP OBRAS</v>
      </c>
      <c r="D1637" s="632"/>
      <c r="E1637" s="632"/>
      <c r="F1637" s="632"/>
      <c r="G1637" s="633"/>
      <c r="H1637" s="131" t="s">
        <v>144</v>
      </c>
    </row>
    <row r="1638" spans="1:8" ht="12.75" customHeight="1">
      <c r="B1638" s="628" t="s">
        <v>593</v>
      </c>
      <c r="C1638" s="628"/>
      <c r="D1638" s="103" t="s">
        <v>579</v>
      </c>
      <c r="E1638" s="103" t="s">
        <v>580</v>
      </c>
      <c r="F1638" s="103" t="s">
        <v>581</v>
      </c>
      <c r="G1638" s="103" t="s">
        <v>582</v>
      </c>
      <c r="H1638" s="103" t="s">
        <v>583</v>
      </c>
    </row>
    <row r="1639" spans="1:8" ht="12.75" customHeight="1">
      <c r="B1639" s="130" t="s">
        <v>702</v>
      </c>
      <c r="C1639" s="229" t="s">
        <v>703</v>
      </c>
      <c r="D1639" s="130" t="s">
        <v>592</v>
      </c>
      <c r="E1639" s="130" t="s">
        <v>144</v>
      </c>
      <c r="F1639" s="230">
        <v>1</v>
      </c>
      <c r="G1639" s="227">
        <v>10.14</v>
      </c>
      <c r="H1639" s="160">
        <f>ROUND(ROUND(F1639,8)*G1639,2)</f>
        <v>10.14</v>
      </c>
    </row>
    <row r="1640" spans="1:8" ht="12.75" customHeight="1">
      <c r="B1640" s="222"/>
      <c r="C1640" s="222"/>
      <c r="D1640" s="222"/>
      <c r="E1640" s="222"/>
      <c r="F1640" s="630" t="s">
        <v>604</v>
      </c>
      <c r="G1640" s="630"/>
      <c r="H1640" s="102">
        <f>H1639</f>
        <v>10.14</v>
      </c>
    </row>
    <row r="1641" spans="1:8" ht="25.5" customHeight="1">
      <c r="B1641" s="628" t="s">
        <v>584</v>
      </c>
      <c r="C1641" s="628"/>
      <c r="D1641" s="103" t="s">
        <v>579</v>
      </c>
      <c r="E1641" s="103" t="s">
        <v>580</v>
      </c>
      <c r="F1641" s="103" t="s">
        <v>581</v>
      </c>
      <c r="G1641" s="103" t="s">
        <v>582</v>
      </c>
      <c r="H1641" s="103" t="s">
        <v>583</v>
      </c>
    </row>
    <row r="1642" spans="1:8" ht="12.75" customHeight="1">
      <c r="B1642" s="159">
        <v>88247</v>
      </c>
      <c r="C1642" s="221" t="s">
        <v>608</v>
      </c>
      <c r="D1642" s="159" t="s">
        <v>119</v>
      </c>
      <c r="E1642" s="159" t="s">
        <v>121</v>
      </c>
      <c r="F1642" s="174">
        <v>0.15</v>
      </c>
      <c r="G1642" s="160">
        <v>25</v>
      </c>
      <c r="H1642" s="160">
        <f>ROUND(ROUND(F1642,8)*G1642,2)</f>
        <v>3.75</v>
      </c>
    </row>
    <row r="1643" spans="1:8" ht="12.75" customHeight="1">
      <c r="B1643" s="159">
        <v>88264</v>
      </c>
      <c r="C1643" s="221" t="s">
        <v>609</v>
      </c>
      <c r="D1643" s="159" t="s">
        <v>119</v>
      </c>
      <c r="E1643" s="159" t="s">
        <v>121</v>
      </c>
      <c r="F1643" s="174">
        <v>0.15</v>
      </c>
      <c r="G1643" s="160">
        <v>31.72</v>
      </c>
      <c r="H1643" s="160">
        <f>ROUND(ROUND(F1643,8)*G1643,2)</f>
        <v>4.76</v>
      </c>
    </row>
    <row r="1644" spans="1:8" ht="12.75" customHeight="1">
      <c r="B1644" s="222"/>
      <c r="C1644" s="222"/>
      <c r="D1644" s="222"/>
      <c r="E1644" s="222"/>
      <c r="F1644" s="630" t="s">
        <v>585</v>
      </c>
      <c r="G1644" s="630"/>
      <c r="H1644" s="102">
        <f>H1642+H1643</f>
        <v>8.51</v>
      </c>
    </row>
    <row r="1645" spans="1:8" ht="12.75" customHeight="1">
      <c r="B1645" s="222"/>
      <c r="C1645" s="222"/>
      <c r="D1645" s="222"/>
      <c r="E1645" s="222"/>
      <c r="F1645" s="630" t="s">
        <v>464</v>
      </c>
      <c r="G1645" s="630"/>
      <c r="H1645" s="102">
        <f>H1640+H1644</f>
        <v>18.649999999999999</v>
      </c>
    </row>
    <row r="1646" spans="1:8" ht="12.75" customHeight="1">
      <c r="B1646" s="222"/>
      <c r="C1646" s="222"/>
      <c r="D1646" s="222"/>
      <c r="E1646" s="222"/>
      <c r="F1646" s="646"/>
      <c r="G1646" s="646"/>
      <c r="H1646" s="646"/>
    </row>
    <row r="1647" spans="1:8">
      <c r="B1647" s="245" t="s">
        <v>2544</v>
      </c>
    </row>
    <row r="1648" spans="1:8">
      <c r="B1648" s="222"/>
      <c r="C1648" s="222"/>
      <c r="D1648" s="222"/>
      <c r="E1648" s="222"/>
      <c r="F1648" s="111"/>
      <c r="G1648" s="111"/>
      <c r="H1648" s="228"/>
    </row>
    <row r="1649" spans="1:10" ht="27" customHeight="1">
      <c r="A1649" s="246" t="str">
        <f>'3 - PLAN. ORÇAMENTÁRIA'!A596</f>
        <v>6.2.1</v>
      </c>
      <c r="B1649" s="178" t="str">
        <f>'3 - PLAN. ORÇAMENTÁRIA'!B596</f>
        <v>CCU 076</v>
      </c>
      <c r="C1649" s="631" t="str">
        <f>'3 - PLAN. ORÇAMENTÁRIA'!C596</f>
        <v>BARRA CONDUTORA CHATA EM ALUMÍNIO DE 7/8´ X 1/8´, INCLUSIVE ACESSÓRIOS DE FIXAÇÃO REF. 42.05.440/SP OBRAS</v>
      </c>
      <c r="D1649" s="632"/>
      <c r="E1649" s="632"/>
      <c r="F1649" s="632"/>
      <c r="G1649" s="633"/>
      <c r="H1649" s="131" t="s">
        <v>173</v>
      </c>
      <c r="J1649" s="220" t="str">
        <f>B1659</f>
        <v>Obs: Foi adotado o item 42.05.440 do SP Obras, pois o item do SINAPI similar está com o valor zerado</v>
      </c>
    </row>
    <row r="1650" spans="1:10" ht="12.75" customHeight="1">
      <c r="B1650" s="628" t="s">
        <v>593</v>
      </c>
      <c r="C1650" s="628"/>
      <c r="D1650" s="103" t="s">
        <v>579</v>
      </c>
      <c r="E1650" s="103" t="s">
        <v>580</v>
      </c>
      <c r="F1650" s="103" t="s">
        <v>581</v>
      </c>
      <c r="G1650" s="103" t="s">
        <v>582</v>
      </c>
      <c r="H1650" s="103" t="s">
        <v>583</v>
      </c>
    </row>
    <row r="1651" spans="1:10" ht="12.75" customHeight="1">
      <c r="B1651" s="130" t="s">
        <v>718</v>
      </c>
      <c r="C1651" s="229" t="s">
        <v>719</v>
      </c>
      <c r="D1651" s="130" t="s">
        <v>592</v>
      </c>
      <c r="E1651" s="130" t="s">
        <v>173</v>
      </c>
      <c r="F1651" s="230">
        <v>1.0375000000000001</v>
      </c>
      <c r="G1651" s="227">
        <v>8.2899999999999991</v>
      </c>
      <c r="H1651" s="160">
        <f>ROUND(ROUND(F1651,8)*G1651,2)</f>
        <v>8.6</v>
      </c>
    </row>
    <row r="1652" spans="1:10" ht="12.75" customHeight="1">
      <c r="B1652" s="222"/>
      <c r="C1652" s="222"/>
      <c r="D1652" s="222"/>
      <c r="E1652" s="222"/>
      <c r="F1652" s="630" t="s">
        <v>604</v>
      </c>
      <c r="G1652" s="630"/>
      <c r="H1652" s="102">
        <f>H1651</f>
        <v>8.6</v>
      </c>
    </row>
    <row r="1653" spans="1:10">
      <c r="B1653" s="628" t="s">
        <v>584</v>
      </c>
      <c r="C1653" s="628"/>
      <c r="D1653" s="103" t="s">
        <v>579</v>
      </c>
      <c r="E1653" s="103" t="s">
        <v>580</v>
      </c>
      <c r="F1653" s="103" t="s">
        <v>581</v>
      </c>
      <c r="G1653" s="103" t="s">
        <v>582</v>
      </c>
      <c r="H1653" s="103" t="s">
        <v>583</v>
      </c>
    </row>
    <row r="1654" spans="1:10" ht="12.75" customHeight="1">
      <c r="B1654" s="159">
        <v>88247</v>
      </c>
      <c r="C1654" s="221" t="s">
        <v>608</v>
      </c>
      <c r="D1654" s="159" t="s">
        <v>119</v>
      </c>
      <c r="E1654" s="159" t="s">
        <v>121</v>
      </c>
      <c r="F1654" s="174">
        <v>0.5</v>
      </c>
      <c r="G1654" s="160">
        <v>25</v>
      </c>
      <c r="H1654" s="160">
        <f>ROUND(ROUND(F1654,8)*G1654,2)</f>
        <v>12.5</v>
      </c>
    </row>
    <row r="1655" spans="1:10">
      <c r="B1655" s="159">
        <v>88264</v>
      </c>
      <c r="C1655" s="221" t="s">
        <v>609</v>
      </c>
      <c r="D1655" s="159" t="s">
        <v>119</v>
      </c>
      <c r="E1655" s="159" t="s">
        <v>121</v>
      </c>
      <c r="F1655" s="174">
        <v>0.5</v>
      </c>
      <c r="G1655" s="160">
        <v>31.72</v>
      </c>
      <c r="H1655" s="160">
        <f>ROUND(ROUND(F1655,8)*G1655,2)</f>
        <v>15.86</v>
      </c>
    </row>
    <row r="1656" spans="1:10" ht="12.75" customHeight="1">
      <c r="B1656" s="222"/>
      <c r="C1656" s="222"/>
      <c r="D1656" s="222"/>
      <c r="E1656" s="222"/>
      <c r="F1656" s="630" t="s">
        <v>585</v>
      </c>
      <c r="G1656" s="630"/>
      <c r="H1656" s="102">
        <f>H1654+H1655</f>
        <v>28.36</v>
      </c>
    </row>
    <row r="1657" spans="1:10">
      <c r="B1657" s="222"/>
      <c r="C1657" s="222"/>
      <c r="D1657" s="222"/>
      <c r="E1657" s="222"/>
      <c r="F1657" s="630" t="s">
        <v>464</v>
      </c>
      <c r="G1657" s="630"/>
      <c r="H1657" s="102">
        <f>H1652+H1656</f>
        <v>36.96</v>
      </c>
    </row>
    <row r="1658" spans="1:10">
      <c r="B1658" s="222"/>
      <c r="C1658" s="222"/>
      <c r="D1658" s="222"/>
      <c r="E1658" s="222"/>
      <c r="F1658" s="646"/>
      <c r="G1658" s="646"/>
      <c r="H1658" s="646"/>
    </row>
    <row r="1659" spans="1:10">
      <c r="B1659" s="245" t="s">
        <v>2652</v>
      </c>
    </row>
    <row r="1660" spans="1:10">
      <c r="B1660" s="222"/>
      <c r="C1660" s="222"/>
      <c r="D1660" s="222"/>
      <c r="E1660" s="222"/>
      <c r="F1660" s="111"/>
      <c r="G1660" s="111"/>
      <c r="H1660" s="228"/>
    </row>
    <row r="1661" spans="1:10" ht="27" customHeight="1">
      <c r="A1661" s="178" t="str">
        <f>'3 - PLAN. ORÇAMENTÁRIA'!A597</f>
        <v>6.2.2</v>
      </c>
      <c r="B1661" s="178" t="str">
        <f>'3 - PLAN. ORÇAMENTÁRIA'!B597</f>
        <v>CCU 077</v>
      </c>
      <c r="C1661" s="631" t="str">
        <f>'3 - PLAN. ORÇAMENTÁRIA'!C597</f>
        <v>CAPTOR TIPO TERMINAL AÉREO, H= 300 MM EM ALUMÍNIO REF. 42.01.086/SP OBRAS</v>
      </c>
      <c r="D1661" s="632"/>
      <c r="E1661" s="632"/>
      <c r="F1661" s="632"/>
      <c r="G1661" s="633"/>
      <c r="H1661" s="131" t="s">
        <v>144</v>
      </c>
    </row>
    <row r="1662" spans="1:10" ht="12.75" customHeight="1">
      <c r="B1662" s="628" t="s">
        <v>593</v>
      </c>
      <c r="C1662" s="628"/>
      <c r="D1662" s="103" t="s">
        <v>579</v>
      </c>
      <c r="E1662" s="103" t="s">
        <v>580</v>
      </c>
      <c r="F1662" s="103" t="s">
        <v>581</v>
      </c>
      <c r="G1662" s="103" t="s">
        <v>582</v>
      </c>
      <c r="H1662" s="103" t="s">
        <v>583</v>
      </c>
    </row>
    <row r="1663" spans="1:10" ht="12.75" customHeight="1">
      <c r="B1663" s="159" t="s">
        <v>2068</v>
      </c>
      <c r="C1663" s="221" t="s">
        <v>2069</v>
      </c>
      <c r="D1663" s="159" t="s">
        <v>592</v>
      </c>
      <c r="E1663" s="159" t="s">
        <v>144</v>
      </c>
      <c r="F1663" s="174">
        <v>1</v>
      </c>
      <c r="G1663" s="160">
        <v>4.2300000000000004</v>
      </c>
      <c r="H1663" s="160">
        <f>ROUND(ROUND(F1663,8)*G1663,2)</f>
        <v>4.2300000000000004</v>
      </c>
    </row>
    <row r="1664" spans="1:10" ht="12.75" customHeight="1">
      <c r="B1664" s="222"/>
      <c r="C1664" s="222"/>
      <c r="D1664" s="222"/>
      <c r="E1664" s="222"/>
      <c r="F1664" s="630" t="s">
        <v>604</v>
      </c>
      <c r="G1664" s="630"/>
      <c r="H1664" s="102">
        <f>H1663</f>
        <v>4.2300000000000004</v>
      </c>
    </row>
    <row r="1665" spans="1:10" ht="12.75" customHeight="1">
      <c r="B1665" s="628" t="s">
        <v>584</v>
      </c>
      <c r="C1665" s="628"/>
      <c r="D1665" s="103" t="s">
        <v>579</v>
      </c>
      <c r="E1665" s="103" t="s">
        <v>580</v>
      </c>
      <c r="F1665" s="103" t="s">
        <v>581</v>
      </c>
      <c r="G1665" s="103" t="s">
        <v>582</v>
      </c>
      <c r="H1665" s="103" t="s">
        <v>583</v>
      </c>
    </row>
    <row r="1666" spans="1:10" ht="12.75" customHeight="1">
      <c r="B1666" s="159">
        <v>88247</v>
      </c>
      <c r="C1666" s="221" t="s">
        <v>608</v>
      </c>
      <c r="D1666" s="159" t="s">
        <v>119</v>
      </c>
      <c r="E1666" s="159" t="s">
        <v>121</v>
      </c>
      <c r="F1666" s="174">
        <v>0.25</v>
      </c>
      <c r="G1666" s="160">
        <v>25</v>
      </c>
      <c r="H1666" s="160">
        <f>ROUND(ROUND(F1666,8)*G1666,2)</f>
        <v>6.25</v>
      </c>
    </row>
    <row r="1667" spans="1:10" ht="12.75" customHeight="1">
      <c r="B1667" s="159">
        <v>88264</v>
      </c>
      <c r="C1667" s="221" t="s">
        <v>609</v>
      </c>
      <c r="D1667" s="159" t="s">
        <v>119</v>
      </c>
      <c r="E1667" s="159" t="s">
        <v>121</v>
      </c>
      <c r="F1667" s="174">
        <v>0.25</v>
      </c>
      <c r="G1667" s="160">
        <v>31.72</v>
      </c>
      <c r="H1667" s="160">
        <f>ROUND(ROUND(F1667,8)*G1667,2)</f>
        <v>7.93</v>
      </c>
    </row>
    <row r="1668" spans="1:10" ht="12.75" customHeight="1">
      <c r="B1668" s="222"/>
      <c r="C1668" s="222"/>
      <c r="D1668" s="222"/>
      <c r="E1668" s="222"/>
      <c r="F1668" s="630" t="s">
        <v>585</v>
      </c>
      <c r="G1668" s="630"/>
      <c r="H1668" s="102">
        <f>H1666+H1667</f>
        <v>14.18</v>
      </c>
    </row>
    <row r="1669" spans="1:10" ht="12.75" customHeight="1">
      <c r="B1669" s="222"/>
      <c r="C1669" s="222"/>
      <c r="D1669" s="222"/>
      <c r="E1669" s="222"/>
      <c r="F1669" s="630" t="s">
        <v>464</v>
      </c>
      <c r="G1669" s="630"/>
      <c r="H1669" s="102">
        <f>H1664+H1668</f>
        <v>18.41</v>
      </c>
    </row>
    <row r="1670" spans="1:10" ht="12.75" customHeight="1">
      <c r="B1670" s="222"/>
      <c r="C1670" s="222"/>
      <c r="D1670" s="222"/>
      <c r="E1670" s="222"/>
      <c r="F1670" s="646"/>
      <c r="G1670" s="646"/>
      <c r="H1670" s="646"/>
    </row>
    <row r="1671" spans="1:10">
      <c r="B1671" s="245" t="s">
        <v>2544</v>
      </c>
    </row>
    <row r="1672" spans="1:10">
      <c r="B1672" s="222"/>
      <c r="C1672" s="222"/>
      <c r="D1672" s="222"/>
      <c r="E1672" s="222"/>
      <c r="F1672" s="111"/>
      <c r="G1672" s="111"/>
      <c r="H1672" s="228"/>
    </row>
    <row r="1673" spans="1:10" ht="27" customHeight="1">
      <c r="A1673" s="246" t="str">
        <f>'3 - PLAN. ORÇAMENTÁRIA'!A598</f>
        <v>6.2.3</v>
      </c>
      <c r="B1673" s="178" t="str">
        <f>'3 - PLAN. ORÇAMENTÁRIA'!B598</f>
        <v>CCU 078</v>
      </c>
      <c r="C1673" s="631" t="str">
        <f>'3 - PLAN. ORÇAMENTÁRIA'!C598</f>
        <v>TERMINAL DE PRESSÃO/COMPRESSÃO PARA CABO DE 50 MM² REF. 39.10.160/SP OBRAS</v>
      </c>
      <c r="D1673" s="632"/>
      <c r="E1673" s="632"/>
      <c r="F1673" s="632"/>
      <c r="G1673" s="633"/>
      <c r="H1673" s="131" t="s">
        <v>144</v>
      </c>
    </row>
    <row r="1674" spans="1:10" ht="12.75" customHeight="1">
      <c r="B1674" s="628" t="s">
        <v>593</v>
      </c>
      <c r="C1674" s="628"/>
      <c r="D1674" s="103" t="s">
        <v>579</v>
      </c>
      <c r="E1674" s="103" t="s">
        <v>580</v>
      </c>
      <c r="F1674" s="103" t="s">
        <v>581</v>
      </c>
      <c r="G1674" s="103" t="s">
        <v>582</v>
      </c>
      <c r="H1674" s="103" t="s">
        <v>583</v>
      </c>
    </row>
    <row r="1675" spans="1:10" ht="12.75" customHeight="1">
      <c r="B1675" s="239" t="s">
        <v>2465</v>
      </c>
      <c r="C1675" s="229" t="s">
        <v>2466</v>
      </c>
      <c r="D1675" s="130" t="s">
        <v>119</v>
      </c>
      <c r="E1675" s="130" t="s">
        <v>144</v>
      </c>
      <c r="F1675" s="230">
        <v>1</v>
      </c>
      <c r="G1675" s="227">
        <v>5.62</v>
      </c>
      <c r="H1675" s="160">
        <f>ROUND(ROUND(F1675,8)*G1675,2)</f>
        <v>5.62</v>
      </c>
      <c r="J1675" s="220" t="str">
        <f>B1683</f>
        <v>Obs: Foi adotado o item 39.10.120 do SP Obras como base e por questão de similaridade com o que se pede em projeto e ajuste para a fonte SINAPI, foram alterados o Material e a Mão de Obra</v>
      </c>
    </row>
    <row r="1676" spans="1:10" ht="25.5" customHeight="1">
      <c r="B1676" s="222"/>
      <c r="C1676" s="222"/>
      <c r="D1676" s="222"/>
      <c r="E1676" s="222"/>
      <c r="F1676" s="630" t="s">
        <v>604</v>
      </c>
      <c r="G1676" s="630"/>
      <c r="H1676" s="102">
        <f>H1675</f>
        <v>5.62</v>
      </c>
    </row>
    <row r="1677" spans="1:10" ht="12.75" customHeight="1">
      <c r="B1677" s="628" t="s">
        <v>584</v>
      </c>
      <c r="C1677" s="628"/>
      <c r="D1677" s="103" t="s">
        <v>579</v>
      </c>
      <c r="E1677" s="103" t="s">
        <v>580</v>
      </c>
      <c r="F1677" s="103" t="s">
        <v>581</v>
      </c>
      <c r="G1677" s="103" t="s">
        <v>582</v>
      </c>
      <c r="H1677" s="103" t="s">
        <v>583</v>
      </c>
    </row>
    <row r="1678" spans="1:10">
      <c r="B1678" s="159">
        <v>88247</v>
      </c>
      <c r="C1678" s="221" t="s">
        <v>608</v>
      </c>
      <c r="D1678" s="159" t="s">
        <v>119</v>
      </c>
      <c r="E1678" s="159" t="s">
        <v>121</v>
      </c>
      <c r="F1678" s="174">
        <v>0.15</v>
      </c>
      <c r="G1678" s="160">
        <v>25</v>
      </c>
      <c r="H1678" s="160">
        <f>ROUND(ROUND(F1678,8)*G1678,2)</f>
        <v>3.75</v>
      </c>
    </row>
    <row r="1679" spans="1:10" ht="12.75" customHeight="1">
      <c r="B1679" s="159">
        <v>88264</v>
      </c>
      <c r="C1679" s="221" t="s">
        <v>609</v>
      </c>
      <c r="D1679" s="159" t="s">
        <v>119</v>
      </c>
      <c r="E1679" s="159" t="s">
        <v>121</v>
      </c>
      <c r="F1679" s="174">
        <v>0.15</v>
      </c>
      <c r="G1679" s="160">
        <v>31.72</v>
      </c>
      <c r="H1679" s="160">
        <f>ROUND(ROUND(F1679,8)*G1679,2)</f>
        <v>4.76</v>
      </c>
    </row>
    <row r="1680" spans="1:10">
      <c r="B1680" s="222"/>
      <c r="C1680" s="222"/>
      <c r="D1680" s="222"/>
      <c r="E1680" s="222"/>
      <c r="F1680" s="630" t="s">
        <v>585</v>
      </c>
      <c r="G1680" s="630"/>
      <c r="H1680" s="102">
        <f>H1678+H1679</f>
        <v>8.51</v>
      </c>
    </row>
    <row r="1681" spans="1:8">
      <c r="B1681" s="222"/>
      <c r="C1681" s="222"/>
      <c r="D1681" s="222"/>
      <c r="E1681" s="222"/>
      <c r="F1681" s="630" t="s">
        <v>464</v>
      </c>
      <c r="G1681" s="630"/>
      <c r="H1681" s="102">
        <f>H1676+H1680</f>
        <v>14.129999999999999</v>
      </c>
    </row>
    <row r="1682" spans="1:8" ht="12.75" customHeight="1">
      <c r="B1682" s="222"/>
      <c r="C1682" s="222"/>
      <c r="D1682" s="222"/>
      <c r="E1682" s="222"/>
      <c r="F1682" s="646"/>
      <c r="G1682" s="646"/>
      <c r="H1682" s="646"/>
    </row>
    <row r="1683" spans="1:8">
      <c r="B1683" s="245" t="s">
        <v>2649</v>
      </c>
    </row>
    <row r="1684" spans="1:8">
      <c r="B1684" s="222"/>
      <c r="C1684" s="222"/>
      <c r="D1684" s="222"/>
      <c r="E1684" s="222"/>
      <c r="F1684" s="111"/>
      <c r="G1684" s="111"/>
      <c r="H1684" s="228"/>
    </row>
    <row r="1685" spans="1:8" ht="27" customHeight="1">
      <c r="A1685" s="178" t="str">
        <f>'3 - PLAN. ORÇAMENTÁRIA'!A601</f>
        <v>6.2.6</v>
      </c>
      <c r="B1685" s="178" t="str">
        <f>'3 - PLAN. ORÇAMENTÁRIA'!B601</f>
        <v>CCU 082</v>
      </c>
      <c r="C1685" s="631" t="str">
        <f>'3 - PLAN. ORÇAMENTÁRIA'!C601</f>
        <v>SOLDA EXOTÉRMICA CONEXÃO CABO-CABO HORIZONTAL EM T, BITOLA DO CABO DE 16-16MM² A 50-35MM², 70-35MM² E 95-35MM² REF. 42.20.150/SP OBRAS</v>
      </c>
      <c r="D1685" s="632"/>
      <c r="E1685" s="632"/>
      <c r="F1685" s="632"/>
      <c r="G1685" s="633"/>
      <c r="H1685" s="131" t="s">
        <v>144</v>
      </c>
    </row>
    <row r="1686" spans="1:8" ht="25.5" customHeight="1">
      <c r="B1686" s="628" t="s">
        <v>593</v>
      </c>
      <c r="C1686" s="628"/>
      <c r="D1686" s="103" t="s">
        <v>579</v>
      </c>
      <c r="E1686" s="103" t="s">
        <v>580</v>
      </c>
      <c r="F1686" s="103" t="s">
        <v>581</v>
      </c>
      <c r="G1686" s="103" t="s">
        <v>582</v>
      </c>
      <c r="H1686" s="103" t="s">
        <v>583</v>
      </c>
    </row>
    <row r="1687" spans="1:8">
      <c r="B1687" s="130" t="s">
        <v>720</v>
      </c>
      <c r="C1687" s="229" t="s">
        <v>721</v>
      </c>
      <c r="D1687" s="130" t="s">
        <v>592</v>
      </c>
      <c r="E1687" s="130" t="s">
        <v>144</v>
      </c>
      <c r="F1687" s="230">
        <v>0.01</v>
      </c>
      <c r="G1687" s="227">
        <v>123.18</v>
      </c>
      <c r="H1687" s="160">
        <f>ROUND(ROUND(F1687,8)*G1687,2)</f>
        <v>1.23</v>
      </c>
    </row>
    <row r="1688" spans="1:8">
      <c r="B1688" s="130" t="s">
        <v>722</v>
      </c>
      <c r="C1688" s="229" t="s">
        <v>723</v>
      </c>
      <c r="D1688" s="130" t="s">
        <v>592</v>
      </c>
      <c r="E1688" s="130" t="s">
        <v>144</v>
      </c>
      <c r="F1688" s="230">
        <v>1</v>
      </c>
      <c r="G1688" s="227">
        <v>8.15</v>
      </c>
      <c r="H1688" s="160">
        <f>ROUND(ROUND(F1688,8)*G1688,2)</f>
        <v>8.15</v>
      </c>
    </row>
    <row r="1689" spans="1:8" ht="12.75" customHeight="1">
      <c r="B1689" s="130" t="s">
        <v>724</v>
      </c>
      <c r="C1689" s="229" t="s">
        <v>725</v>
      </c>
      <c r="D1689" s="130" t="s">
        <v>592</v>
      </c>
      <c r="E1689" s="130" t="s">
        <v>144</v>
      </c>
      <c r="F1689" s="230">
        <v>1.2500000000000001E-2</v>
      </c>
      <c r="G1689" s="227">
        <v>92.26</v>
      </c>
      <c r="H1689" s="160">
        <f>ROUND(ROUND(F1689,8)*G1689,2)</f>
        <v>1.1499999999999999</v>
      </c>
    </row>
    <row r="1690" spans="1:8" ht="12.75" customHeight="1">
      <c r="B1690" s="222"/>
      <c r="C1690" s="222"/>
      <c r="D1690" s="222"/>
      <c r="E1690" s="222"/>
      <c r="F1690" s="630" t="s">
        <v>604</v>
      </c>
      <c r="G1690" s="630"/>
      <c r="H1690" s="102">
        <f>SUM(H1687:H1689)</f>
        <v>10.530000000000001</v>
      </c>
    </row>
    <row r="1691" spans="1:8" ht="12.75" customHeight="1">
      <c r="B1691" s="628" t="s">
        <v>584</v>
      </c>
      <c r="C1691" s="628"/>
      <c r="D1691" s="103" t="s">
        <v>579</v>
      </c>
      <c r="E1691" s="103" t="s">
        <v>580</v>
      </c>
      <c r="F1691" s="103" t="s">
        <v>581</v>
      </c>
      <c r="G1691" s="103" t="s">
        <v>582</v>
      </c>
      <c r="H1691" s="103" t="s">
        <v>583</v>
      </c>
    </row>
    <row r="1692" spans="1:8" ht="12.75" customHeight="1">
      <c r="B1692" s="159">
        <v>88247</v>
      </c>
      <c r="C1692" s="221" t="s">
        <v>608</v>
      </c>
      <c r="D1692" s="159" t="s">
        <v>119</v>
      </c>
      <c r="E1692" s="159" t="s">
        <v>121</v>
      </c>
      <c r="F1692" s="174">
        <v>0.5</v>
      </c>
      <c r="G1692" s="160">
        <v>25</v>
      </c>
      <c r="H1692" s="160">
        <f>ROUND(ROUND(F1692,8)*G1692,2)</f>
        <v>12.5</v>
      </c>
    </row>
    <row r="1693" spans="1:8" ht="12.75" customHeight="1">
      <c r="B1693" s="159">
        <v>88264</v>
      </c>
      <c r="C1693" s="221" t="s">
        <v>609</v>
      </c>
      <c r="D1693" s="159" t="s">
        <v>119</v>
      </c>
      <c r="E1693" s="159" t="s">
        <v>121</v>
      </c>
      <c r="F1693" s="174">
        <v>0.5</v>
      </c>
      <c r="G1693" s="160">
        <v>31.72</v>
      </c>
      <c r="H1693" s="160">
        <f>ROUND(ROUND(F1693,8)*G1693,2)</f>
        <v>15.86</v>
      </c>
    </row>
    <row r="1694" spans="1:8" ht="12.75" customHeight="1">
      <c r="B1694" s="222"/>
      <c r="C1694" s="222"/>
      <c r="D1694" s="222"/>
      <c r="E1694" s="222"/>
      <c r="F1694" s="630" t="s">
        <v>585</v>
      </c>
      <c r="G1694" s="630"/>
      <c r="H1694" s="102">
        <f>H1692+H1693</f>
        <v>28.36</v>
      </c>
    </row>
    <row r="1695" spans="1:8" ht="12.75" customHeight="1">
      <c r="B1695" s="222"/>
      <c r="C1695" s="222"/>
      <c r="D1695" s="222"/>
      <c r="E1695" s="222"/>
      <c r="F1695" s="630" t="s">
        <v>464</v>
      </c>
      <c r="G1695" s="630"/>
      <c r="H1695" s="102">
        <f>H1690+H1694</f>
        <v>38.89</v>
      </c>
    </row>
    <row r="1696" spans="1:8" ht="12.75" customHeight="1">
      <c r="B1696" s="222"/>
      <c r="C1696" s="222"/>
      <c r="D1696" s="222"/>
      <c r="E1696" s="222"/>
      <c r="F1696" s="646"/>
      <c r="G1696" s="646"/>
      <c r="H1696" s="646"/>
    </row>
    <row r="1697" spans="1:8">
      <c r="B1697" s="245" t="s">
        <v>2544</v>
      </c>
    </row>
    <row r="1698" spans="1:8">
      <c r="B1698" s="222"/>
      <c r="C1698" s="222"/>
      <c r="D1698" s="222"/>
      <c r="E1698" s="222"/>
      <c r="F1698" s="111"/>
      <c r="G1698" s="111"/>
      <c r="H1698" s="228"/>
    </row>
    <row r="1699" spans="1:8" ht="27" customHeight="1">
      <c r="A1699" s="178" t="str">
        <f>'3 - PLAN. ORÇAMENTÁRIA'!A602</f>
        <v>6.2.7</v>
      </c>
      <c r="B1699" s="178" t="str">
        <f>'3 - PLAN. ORÇAMENTÁRIA'!B602</f>
        <v>CCU 083</v>
      </c>
      <c r="C1699" s="631" t="str">
        <f>'3 - PLAN. ORÇAMENTÁRIA'!C602</f>
        <v>SOLDA EXOTÉRMICA CONEXÃO CABO-HASTE NA LATERAL, BITOLA DO CABO DE 25MM² A 70MM² PARA HASTE DE 5/8" E 3/4" REF. 42.20.230/SP OBRAS</v>
      </c>
      <c r="D1699" s="632"/>
      <c r="E1699" s="632"/>
      <c r="F1699" s="632"/>
      <c r="G1699" s="633"/>
      <c r="H1699" s="131" t="s">
        <v>144</v>
      </c>
    </row>
    <row r="1700" spans="1:8" ht="12.75" customHeight="1">
      <c r="B1700" s="628" t="s">
        <v>593</v>
      </c>
      <c r="C1700" s="628"/>
      <c r="D1700" s="103" t="s">
        <v>579</v>
      </c>
      <c r="E1700" s="103" t="s">
        <v>580</v>
      </c>
      <c r="F1700" s="103" t="s">
        <v>581</v>
      </c>
      <c r="G1700" s="103" t="s">
        <v>582</v>
      </c>
      <c r="H1700" s="103" t="s">
        <v>583</v>
      </c>
    </row>
    <row r="1701" spans="1:8" ht="12.75" customHeight="1">
      <c r="B1701" s="130" t="s">
        <v>1097</v>
      </c>
      <c r="C1701" s="229" t="s">
        <v>1098</v>
      </c>
      <c r="D1701" s="130" t="s">
        <v>592</v>
      </c>
      <c r="E1701" s="130" t="s">
        <v>144</v>
      </c>
      <c r="F1701" s="230">
        <v>0.01</v>
      </c>
      <c r="G1701" s="227">
        <v>75.83</v>
      </c>
      <c r="H1701" s="160">
        <f>ROUND(ROUND(F1701,8)*G1701,2)</f>
        <v>0.76</v>
      </c>
    </row>
    <row r="1702" spans="1:8" ht="12.75" customHeight="1">
      <c r="B1702" s="130" t="s">
        <v>1099</v>
      </c>
      <c r="C1702" s="229" t="s">
        <v>1100</v>
      </c>
      <c r="D1702" s="130" t="s">
        <v>592</v>
      </c>
      <c r="E1702" s="130" t="s">
        <v>144</v>
      </c>
      <c r="F1702" s="230">
        <v>1</v>
      </c>
      <c r="G1702" s="227">
        <v>17.59</v>
      </c>
      <c r="H1702" s="160">
        <f>ROUND(ROUND(F1702,8)*G1702,2)</f>
        <v>17.59</v>
      </c>
    </row>
    <row r="1703" spans="1:8" ht="25.5">
      <c r="B1703" s="130" t="s">
        <v>1101</v>
      </c>
      <c r="C1703" s="229" t="s">
        <v>1102</v>
      </c>
      <c r="D1703" s="130" t="s">
        <v>592</v>
      </c>
      <c r="E1703" s="130" t="s">
        <v>144</v>
      </c>
      <c r="F1703" s="230">
        <v>1.2500000000000001E-2</v>
      </c>
      <c r="G1703" s="227">
        <v>184.63</v>
      </c>
      <c r="H1703" s="160">
        <f>ROUND(ROUND(F1703,8)*G1703,2)</f>
        <v>2.31</v>
      </c>
    </row>
    <row r="1704" spans="1:8" ht="12.75" customHeight="1">
      <c r="B1704" s="222"/>
      <c r="C1704" s="222"/>
      <c r="D1704" s="222"/>
      <c r="E1704" s="222"/>
      <c r="F1704" s="630" t="s">
        <v>604</v>
      </c>
      <c r="G1704" s="630"/>
      <c r="H1704" s="102">
        <f>H1701+H1702+H1703</f>
        <v>20.66</v>
      </c>
    </row>
    <row r="1705" spans="1:8" ht="12.75" customHeight="1">
      <c r="B1705" s="628" t="s">
        <v>584</v>
      </c>
      <c r="C1705" s="628"/>
      <c r="D1705" s="103" t="s">
        <v>579</v>
      </c>
      <c r="E1705" s="103" t="s">
        <v>580</v>
      </c>
      <c r="F1705" s="103" t="s">
        <v>581</v>
      </c>
      <c r="G1705" s="103" t="s">
        <v>582</v>
      </c>
      <c r="H1705" s="103" t="s">
        <v>583</v>
      </c>
    </row>
    <row r="1706" spans="1:8" ht="12.75" customHeight="1">
      <c r="B1706" s="159">
        <v>88247</v>
      </c>
      <c r="C1706" s="221" t="s">
        <v>608</v>
      </c>
      <c r="D1706" s="159" t="s">
        <v>119</v>
      </c>
      <c r="E1706" s="159" t="s">
        <v>121</v>
      </c>
      <c r="F1706" s="174">
        <v>0.5</v>
      </c>
      <c r="G1706" s="160">
        <v>25</v>
      </c>
      <c r="H1706" s="160">
        <f>ROUND(ROUND(F1706,8)*G1706,2)</f>
        <v>12.5</v>
      </c>
    </row>
    <row r="1707" spans="1:8" ht="12.75" customHeight="1">
      <c r="B1707" s="159">
        <v>88264</v>
      </c>
      <c r="C1707" s="221" t="s">
        <v>609</v>
      </c>
      <c r="D1707" s="159" t="s">
        <v>119</v>
      </c>
      <c r="E1707" s="159" t="s">
        <v>121</v>
      </c>
      <c r="F1707" s="174">
        <v>0.5</v>
      </c>
      <c r="G1707" s="160">
        <v>31.72</v>
      </c>
      <c r="H1707" s="160">
        <f>ROUND(ROUND(F1707,8)*G1707,2)</f>
        <v>15.86</v>
      </c>
    </row>
    <row r="1708" spans="1:8" ht="12.75" customHeight="1">
      <c r="B1708" s="222"/>
      <c r="C1708" s="222"/>
      <c r="D1708" s="222"/>
      <c r="E1708" s="222"/>
      <c r="F1708" s="630" t="s">
        <v>585</v>
      </c>
      <c r="G1708" s="630"/>
      <c r="H1708" s="102">
        <f>H1706+H1707</f>
        <v>28.36</v>
      </c>
    </row>
    <row r="1709" spans="1:8" ht="12.75" customHeight="1">
      <c r="B1709" s="222"/>
      <c r="C1709" s="222"/>
      <c r="D1709" s="222"/>
      <c r="E1709" s="222"/>
      <c r="F1709" s="630" t="s">
        <v>464</v>
      </c>
      <c r="G1709" s="630"/>
      <c r="H1709" s="102">
        <f>H1708+H1704</f>
        <v>49.019999999999996</v>
      </c>
    </row>
    <row r="1710" spans="1:8" ht="12.75" customHeight="1">
      <c r="B1710" s="222"/>
      <c r="C1710" s="222"/>
      <c r="D1710" s="222"/>
      <c r="E1710" s="222"/>
      <c r="F1710" s="226"/>
      <c r="G1710" s="226"/>
      <c r="H1710" s="226"/>
    </row>
    <row r="1711" spans="1:8">
      <c r="B1711" s="245" t="s">
        <v>2544</v>
      </c>
    </row>
    <row r="1712" spans="1:8">
      <c r="B1712" s="222"/>
      <c r="C1712" s="222"/>
      <c r="D1712" s="222"/>
      <c r="E1712" s="222"/>
      <c r="F1712" s="111"/>
      <c r="G1712" s="111"/>
      <c r="H1712" s="228"/>
    </row>
    <row r="1713" spans="1:8" ht="27" customHeight="1">
      <c r="A1713" s="178" t="str">
        <f>'3 - PLAN. ORÇAMENTÁRIA'!A603</f>
        <v>6.2.8</v>
      </c>
      <c r="B1713" s="178" t="str">
        <f>'3 - PLAN. ORÇAMENTÁRIA'!B603</f>
        <v>CCU 084</v>
      </c>
      <c r="C1713" s="631" t="str">
        <f>'3 - PLAN. ORÇAMENTÁRIA'!C603</f>
        <v>CAIXA DE EQUALIZAÇÃO, DE EMBUTIR, EM AÇO COM BARRAMENTO, DE 400 X 400 MM E TAMPA REF. 42.05.370/SP OBRAS</v>
      </c>
      <c r="D1713" s="632"/>
      <c r="E1713" s="632"/>
      <c r="F1713" s="632"/>
      <c r="G1713" s="633"/>
      <c r="H1713" s="131" t="s">
        <v>144</v>
      </c>
    </row>
    <row r="1714" spans="1:8" ht="12.75" customHeight="1">
      <c r="B1714" s="628" t="s">
        <v>593</v>
      </c>
      <c r="C1714" s="628"/>
      <c r="D1714" s="103" t="s">
        <v>579</v>
      </c>
      <c r="E1714" s="103" t="s">
        <v>580</v>
      </c>
      <c r="F1714" s="103" t="s">
        <v>581</v>
      </c>
      <c r="G1714" s="103" t="s">
        <v>582</v>
      </c>
      <c r="H1714" s="103" t="s">
        <v>583</v>
      </c>
    </row>
    <row r="1715" spans="1:8" ht="12.75" customHeight="1">
      <c r="B1715" s="130" t="s">
        <v>726</v>
      </c>
      <c r="C1715" s="229" t="s">
        <v>727</v>
      </c>
      <c r="D1715" s="130" t="s">
        <v>592</v>
      </c>
      <c r="E1715" s="130" t="s">
        <v>144</v>
      </c>
      <c r="F1715" s="230">
        <v>1</v>
      </c>
      <c r="G1715" s="227">
        <v>436.35</v>
      </c>
      <c r="H1715" s="160">
        <f>ROUND(ROUND(F1715,8)*G1715,2)</f>
        <v>436.35</v>
      </c>
    </row>
    <row r="1716" spans="1:8">
      <c r="B1716" s="222"/>
      <c r="C1716" s="222"/>
      <c r="D1716" s="222"/>
      <c r="E1716" s="222"/>
      <c r="F1716" s="630" t="s">
        <v>604</v>
      </c>
      <c r="G1716" s="630"/>
      <c r="H1716" s="102">
        <f>H1715</f>
        <v>436.35</v>
      </c>
    </row>
    <row r="1717" spans="1:8" ht="12.75" customHeight="1">
      <c r="B1717" s="628" t="s">
        <v>584</v>
      </c>
      <c r="C1717" s="628"/>
      <c r="D1717" s="103" t="s">
        <v>579</v>
      </c>
      <c r="E1717" s="103" t="s">
        <v>580</v>
      </c>
      <c r="F1717" s="103" t="s">
        <v>581</v>
      </c>
      <c r="G1717" s="103" t="s">
        <v>582</v>
      </c>
      <c r="H1717" s="103" t="s">
        <v>583</v>
      </c>
    </row>
    <row r="1718" spans="1:8">
      <c r="B1718" s="159">
        <v>88247</v>
      </c>
      <c r="C1718" s="221" t="s">
        <v>608</v>
      </c>
      <c r="D1718" s="159" t="s">
        <v>119</v>
      </c>
      <c r="E1718" s="159" t="s">
        <v>121</v>
      </c>
      <c r="F1718" s="174">
        <v>1</v>
      </c>
      <c r="G1718" s="160">
        <v>25</v>
      </c>
      <c r="H1718" s="160">
        <f>ROUND(ROUND(F1718,8)*G1718,2)</f>
        <v>25</v>
      </c>
    </row>
    <row r="1719" spans="1:8" ht="12.75" customHeight="1">
      <c r="B1719" s="159">
        <v>88264</v>
      </c>
      <c r="C1719" s="221" t="s">
        <v>609</v>
      </c>
      <c r="D1719" s="159" t="s">
        <v>119</v>
      </c>
      <c r="E1719" s="159" t="s">
        <v>121</v>
      </c>
      <c r="F1719" s="174">
        <v>1</v>
      </c>
      <c r="G1719" s="160">
        <v>31.72</v>
      </c>
      <c r="H1719" s="160">
        <f>ROUND(ROUND(F1719,8)*G1719,2)</f>
        <v>31.72</v>
      </c>
    </row>
    <row r="1720" spans="1:8" ht="25.5" customHeight="1">
      <c r="B1720" s="222"/>
      <c r="C1720" s="222"/>
      <c r="D1720" s="222"/>
      <c r="E1720" s="222"/>
      <c r="F1720" s="630" t="s">
        <v>585</v>
      </c>
      <c r="G1720" s="630"/>
      <c r="H1720" s="102">
        <f>H1718+H1719</f>
        <v>56.72</v>
      </c>
    </row>
    <row r="1721" spans="1:8" ht="12.75" customHeight="1">
      <c r="B1721" s="222"/>
      <c r="C1721" s="222"/>
      <c r="D1721" s="222"/>
      <c r="E1721" s="222"/>
      <c r="F1721" s="630" t="s">
        <v>464</v>
      </c>
      <c r="G1721" s="630"/>
      <c r="H1721" s="102">
        <f>H1716+H1720</f>
        <v>493.07000000000005</v>
      </c>
    </row>
    <row r="1722" spans="1:8" ht="12.75" customHeight="1">
      <c r="B1722" s="222"/>
      <c r="C1722" s="222"/>
      <c r="D1722" s="222"/>
      <c r="E1722" s="222"/>
      <c r="F1722" s="108"/>
      <c r="G1722" s="108"/>
      <c r="H1722" s="108"/>
    </row>
    <row r="1723" spans="1:8">
      <c r="B1723" s="245" t="s">
        <v>2544</v>
      </c>
    </row>
    <row r="1724" spans="1:8">
      <c r="B1724" s="222"/>
      <c r="C1724" s="222"/>
      <c r="D1724" s="222"/>
      <c r="E1724" s="222"/>
      <c r="F1724" s="111"/>
      <c r="G1724" s="111"/>
      <c r="H1724" s="228"/>
    </row>
    <row r="1725" spans="1:8" ht="12.75" customHeight="1">
      <c r="A1725" s="178" t="str">
        <f>'3 - PLAN. ORÇAMENTÁRIA'!A342</f>
        <v>4.3.35</v>
      </c>
      <c r="B1725" s="178" t="str">
        <f>'3 - PLAN. ORÇAMENTÁRIA'!B342</f>
        <v>CCU 085</v>
      </c>
      <c r="C1725" s="631" t="str">
        <f>'3 - PLAN. ORÇAMENTÁRIA'!C342</f>
        <v>FORNECIMENTO DE PEÇAS DIVERSAS PARA ESTRUTURA EM MADEIRA (BANCO EXTERNO) REF. 15.20.020/SP OBRAS</v>
      </c>
      <c r="D1725" s="632"/>
      <c r="E1725" s="632"/>
      <c r="F1725" s="632"/>
      <c r="G1725" s="633"/>
      <c r="H1725" s="131" t="str">
        <f>'3 - PLAN. ORÇAMENTÁRIA'!E75</f>
        <v>M3</v>
      </c>
    </row>
    <row r="1726" spans="1:8" ht="12.75" customHeight="1">
      <c r="B1726" s="628" t="s">
        <v>593</v>
      </c>
      <c r="C1726" s="628"/>
      <c r="D1726" s="103" t="s">
        <v>579</v>
      </c>
      <c r="E1726" s="103" t="s">
        <v>580</v>
      </c>
      <c r="F1726" s="103" t="s">
        <v>581</v>
      </c>
      <c r="G1726" s="103" t="s">
        <v>582</v>
      </c>
      <c r="H1726" s="103" t="s">
        <v>583</v>
      </c>
    </row>
    <row r="1727" spans="1:8" ht="12.75" customHeight="1">
      <c r="B1727" s="130" t="s">
        <v>2264</v>
      </c>
      <c r="C1727" s="229" t="s">
        <v>2323</v>
      </c>
      <c r="D1727" s="130" t="s">
        <v>592</v>
      </c>
      <c r="E1727" s="130" t="s">
        <v>167</v>
      </c>
      <c r="F1727" s="230">
        <v>1</v>
      </c>
      <c r="G1727" s="227">
        <v>4236.6499999999996</v>
      </c>
      <c r="H1727" s="160">
        <f>ROUND(ROUND(F1727,8)*G1727,2)</f>
        <v>4236.6499999999996</v>
      </c>
    </row>
    <row r="1728" spans="1:8" ht="12.75" customHeight="1">
      <c r="B1728" s="239" t="s">
        <v>615</v>
      </c>
      <c r="C1728" s="229" t="s">
        <v>616</v>
      </c>
      <c r="D1728" s="130" t="s">
        <v>119</v>
      </c>
      <c r="E1728" s="130" t="s">
        <v>200</v>
      </c>
      <c r="F1728" s="230">
        <v>3</v>
      </c>
      <c r="G1728" s="227">
        <v>18.399999999999999</v>
      </c>
      <c r="H1728" s="160">
        <f>ROUND(ROUND(F1728,8)*G1728,2)</f>
        <v>55.2</v>
      </c>
    </row>
    <row r="1729" spans="1:8" ht="12.75" customHeight="1">
      <c r="B1729" s="225"/>
      <c r="C1729" s="223"/>
      <c r="D1729" s="225"/>
      <c r="E1729" s="225"/>
      <c r="F1729" s="630" t="s">
        <v>604</v>
      </c>
      <c r="G1729" s="630"/>
      <c r="H1729" s="102">
        <f>H1727+H1728</f>
        <v>4291.8499999999995</v>
      </c>
    </row>
    <row r="1730" spans="1:8" ht="12.75" customHeight="1">
      <c r="B1730" s="628" t="s">
        <v>607</v>
      </c>
      <c r="C1730" s="628"/>
      <c r="D1730" s="103" t="s">
        <v>579</v>
      </c>
      <c r="E1730" s="103" t="s">
        <v>580</v>
      </c>
      <c r="F1730" s="103" t="s">
        <v>581</v>
      </c>
      <c r="G1730" s="103" t="s">
        <v>582</v>
      </c>
      <c r="H1730" s="103" t="s">
        <v>583</v>
      </c>
    </row>
    <row r="1731" spans="1:8" ht="12.75" customHeight="1">
      <c r="B1731" s="159">
        <v>88239</v>
      </c>
      <c r="C1731" s="221" t="s">
        <v>2265</v>
      </c>
      <c r="D1731" s="159" t="s">
        <v>119</v>
      </c>
      <c r="E1731" s="159" t="s">
        <v>121</v>
      </c>
      <c r="F1731" s="174">
        <v>30</v>
      </c>
      <c r="G1731" s="160">
        <v>24.4</v>
      </c>
      <c r="H1731" s="160">
        <f>ROUND(ROUND(F1731,8)*G1731,2)</f>
        <v>732</v>
      </c>
    </row>
    <row r="1732" spans="1:8" ht="12.75" customHeight="1">
      <c r="B1732" s="159">
        <v>88261</v>
      </c>
      <c r="C1732" s="221" t="s">
        <v>2266</v>
      </c>
      <c r="D1732" s="159" t="s">
        <v>119</v>
      </c>
      <c r="E1732" s="159" t="s">
        <v>121</v>
      </c>
      <c r="F1732" s="174">
        <v>30</v>
      </c>
      <c r="G1732" s="160">
        <v>30.91</v>
      </c>
      <c r="H1732" s="160">
        <f>ROUND(ROUND(F1732,8)*G1732,2)</f>
        <v>927.3</v>
      </c>
    </row>
    <row r="1733" spans="1:8" ht="12.75" customHeight="1">
      <c r="B1733" s="222"/>
      <c r="C1733" s="222"/>
      <c r="D1733" s="222"/>
      <c r="E1733" s="222"/>
      <c r="F1733" s="630" t="s">
        <v>585</v>
      </c>
      <c r="G1733" s="630"/>
      <c r="H1733" s="158">
        <f>H1731+H1732</f>
        <v>1659.3</v>
      </c>
    </row>
    <row r="1734" spans="1:8" ht="12.75" customHeight="1">
      <c r="B1734" s="222"/>
      <c r="C1734" s="222"/>
      <c r="D1734" s="222"/>
      <c r="E1734" s="222"/>
      <c r="F1734" s="645" t="s">
        <v>464</v>
      </c>
      <c r="G1734" s="645"/>
      <c r="H1734" s="158">
        <f>H1729+H1733</f>
        <v>5951.15</v>
      </c>
    </row>
    <row r="1735" spans="1:8" ht="12.75" customHeight="1">
      <c r="B1735" s="222"/>
      <c r="C1735" s="222"/>
      <c r="D1735" s="222"/>
      <c r="E1735" s="222"/>
      <c r="F1735" s="226"/>
      <c r="G1735" s="226"/>
      <c r="H1735" s="226"/>
    </row>
    <row r="1736" spans="1:8">
      <c r="B1736" s="245" t="s">
        <v>2544</v>
      </c>
    </row>
    <row r="1737" spans="1:8">
      <c r="B1737" s="222"/>
      <c r="C1737" s="222"/>
      <c r="D1737" s="222"/>
      <c r="E1737" s="222"/>
      <c r="F1737" s="111"/>
      <c r="G1737" s="111"/>
      <c r="H1737" s="228"/>
    </row>
    <row r="1738" spans="1:8" ht="27" customHeight="1">
      <c r="A1738" s="178" t="str">
        <f>'3 - PLAN. ORÇAMENTÁRIA'!A635</f>
        <v>6.4.1.13</v>
      </c>
      <c r="B1738" s="178" t="str">
        <f>'3 - PLAN. ORÇAMENTÁRIA'!B635</f>
        <v>CCU 087</v>
      </c>
      <c r="C1738" s="631" t="str">
        <f>'3 - PLAN. ORÇAMENTÁRIA'!C635</f>
        <v>TAMPA DE ENCAIXE PARA ELETROCALHA, GALVANIZADA A FOGO, L= 200 MM REF. 38.22.640/SP OBRAS</v>
      </c>
      <c r="D1738" s="632"/>
      <c r="E1738" s="632"/>
      <c r="F1738" s="632"/>
      <c r="G1738" s="633"/>
      <c r="H1738" s="131" t="s">
        <v>173</v>
      </c>
    </row>
    <row r="1739" spans="1:8" ht="12.75" customHeight="1">
      <c r="B1739" s="628" t="s">
        <v>593</v>
      </c>
      <c r="C1739" s="628"/>
      <c r="D1739" s="103" t="s">
        <v>579</v>
      </c>
      <c r="E1739" s="103" t="s">
        <v>580</v>
      </c>
      <c r="F1739" s="103" t="s">
        <v>581</v>
      </c>
      <c r="G1739" s="103" t="s">
        <v>582</v>
      </c>
      <c r="H1739" s="103" t="s">
        <v>583</v>
      </c>
    </row>
    <row r="1740" spans="1:8" ht="12.75" customHeight="1">
      <c r="B1740" s="130" t="s">
        <v>2988</v>
      </c>
      <c r="C1740" s="229" t="s">
        <v>2989</v>
      </c>
      <c r="D1740" s="130" t="s">
        <v>592</v>
      </c>
      <c r="E1740" s="130" t="s">
        <v>173</v>
      </c>
      <c r="F1740" s="230">
        <v>1.3</v>
      </c>
      <c r="G1740" s="311">
        <v>58.96</v>
      </c>
      <c r="H1740" s="160">
        <f>ROUND(ROUND(F1740,8)*G1740,2)</f>
        <v>76.650000000000006</v>
      </c>
    </row>
    <row r="1741" spans="1:8" ht="12.75" customHeight="1">
      <c r="B1741" s="222"/>
      <c r="C1741" s="222"/>
      <c r="D1741" s="222"/>
      <c r="E1741" s="222"/>
      <c r="F1741" s="630" t="s">
        <v>604</v>
      </c>
      <c r="G1741" s="630"/>
      <c r="H1741" s="102">
        <f>H1740</f>
        <v>76.650000000000006</v>
      </c>
    </row>
    <row r="1742" spans="1:8">
      <c r="B1742" s="628" t="s">
        <v>584</v>
      </c>
      <c r="C1742" s="628"/>
      <c r="D1742" s="103" t="s">
        <v>579</v>
      </c>
      <c r="E1742" s="103" t="s">
        <v>580</v>
      </c>
      <c r="F1742" s="103" t="s">
        <v>581</v>
      </c>
      <c r="G1742" s="103" t="s">
        <v>582</v>
      </c>
      <c r="H1742" s="103" t="s">
        <v>583</v>
      </c>
    </row>
    <row r="1743" spans="1:8">
      <c r="B1743" s="159">
        <v>88247</v>
      </c>
      <c r="C1743" s="221" t="s">
        <v>608</v>
      </c>
      <c r="D1743" s="159" t="s">
        <v>119</v>
      </c>
      <c r="E1743" s="159" t="s">
        <v>121</v>
      </c>
      <c r="F1743" s="174">
        <v>0.05</v>
      </c>
      <c r="G1743" s="160">
        <v>25</v>
      </c>
      <c r="H1743" s="160">
        <f>ROUND(ROUND(F1743,8)*G1743,2)</f>
        <v>1.25</v>
      </c>
    </row>
    <row r="1744" spans="1:8" ht="12.75" customHeight="1">
      <c r="B1744" s="159">
        <v>88264</v>
      </c>
      <c r="C1744" s="221" t="s">
        <v>609</v>
      </c>
      <c r="D1744" s="159" t="s">
        <v>119</v>
      </c>
      <c r="E1744" s="159" t="s">
        <v>121</v>
      </c>
      <c r="F1744" s="174">
        <v>0.05</v>
      </c>
      <c r="G1744" s="160">
        <v>31.72</v>
      </c>
      <c r="H1744" s="160">
        <f>ROUND(ROUND(F1744,8)*G1744,2)</f>
        <v>1.59</v>
      </c>
    </row>
    <row r="1745" spans="1:8">
      <c r="B1745" s="222"/>
      <c r="C1745" s="222"/>
      <c r="D1745" s="222"/>
      <c r="E1745" s="222"/>
      <c r="F1745" s="630" t="s">
        <v>585</v>
      </c>
      <c r="G1745" s="630"/>
      <c r="H1745" s="102">
        <f>H1743+H1744</f>
        <v>2.84</v>
      </c>
    </row>
    <row r="1746" spans="1:8">
      <c r="B1746" s="222"/>
      <c r="C1746" s="222"/>
      <c r="D1746" s="222"/>
      <c r="E1746" s="222"/>
      <c r="F1746" s="630" t="s">
        <v>464</v>
      </c>
      <c r="G1746" s="630"/>
      <c r="H1746" s="102">
        <f>H1741+H1745</f>
        <v>79.490000000000009</v>
      </c>
    </row>
    <row r="1747" spans="1:8" ht="12.75" customHeight="1">
      <c r="B1747" s="222"/>
      <c r="C1747" s="222"/>
      <c r="D1747" s="222"/>
      <c r="E1747" s="222"/>
      <c r="F1747" s="108"/>
      <c r="G1747" s="108"/>
      <c r="H1747" s="108"/>
    </row>
    <row r="1748" spans="1:8">
      <c r="B1748" s="245" t="s">
        <v>2544</v>
      </c>
    </row>
    <row r="1749" spans="1:8">
      <c r="B1749" s="222"/>
      <c r="C1749" s="222"/>
      <c r="D1749" s="222"/>
      <c r="E1749" s="222"/>
      <c r="F1749" s="111"/>
      <c r="G1749" s="111"/>
      <c r="H1749" s="228"/>
    </row>
    <row r="1750" spans="1:8" ht="27" customHeight="1">
      <c r="A1750" s="178" t="str">
        <f>'3 - PLAN. ORÇAMENTÁRIA'!A639</f>
        <v>6.4.2.2</v>
      </c>
      <c r="B1750" s="178" t="str">
        <f>'3 - PLAN. ORÇAMENTÁRIA'!B639</f>
        <v>CCU 089</v>
      </c>
      <c r="C1750" s="631" t="str">
        <f>'3 - PLAN. ORÇAMENTÁRIA'!C639</f>
        <v>SWITCH GIGABIT 24 PORTAS COM CAPACIDADE DE 10/100/1000/MBPS REF. 66.20.225/SP OBRAS</v>
      </c>
      <c r="D1750" s="632"/>
      <c r="E1750" s="632"/>
      <c r="F1750" s="632"/>
      <c r="G1750" s="633"/>
      <c r="H1750" s="131" t="s">
        <v>144</v>
      </c>
    </row>
    <row r="1751" spans="1:8" ht="12.75" customHeight="1">
      <c r="B1751" s="628" t="s">
        <v>593</v>
      </c>
      <c r="C1751" s="628"/>
      <c r="D1751" s="103" t="s">
        <v>579</v>
      </c>
      <c r="E1751" s="103" t="s">
        <v>580</v>
      </c>
      <c r="F1751" s="103" t="s">
        <v>581</v>
      </c>
      <c r="G1751" s="103" t="s">
        <v>582</v>
      </c>
      <c r="H1751" s="103" t="s">
        <v>583</v>
      </c>
    </row>
    <row r="1752" spans="1:8" ht="12.75" customHeight="1">
      <c r="B1752" s="130" t="s">
        <v>728</v>
      </c>
      <c r="C1752" s="229" t="s">
        <v>729</v>
      </c>
      <c r="D1752" s="130" t="s">
        <v>592</v>
      </c>
      <c r="E1752" s="130" t="s">
        <v>144</v>
      </c>
      <c r="F1752" s="230">
        <v>1</v>
      </c>
      <c r="G1752" s="227">
        <v>2203.2600000000002</v>
      </c>
      <c r="H1752" s="160">
        <f>ROUND(ROUND(F1752,8)*G1752,2)</f>
        <v>2203.2600000000002</v>
      </c>
    </row>
    <row r="1753" spans="1:8" ht="12.75" customHeight="1">
      <c r="B1753" s="222"/>
      <c r="C1753" s="222"/>
      <c r="D1753" s="222"/>
      <c r="E1753" s="222"/>
      <c r="F1753" s="630" t="s">
        <v>604</v>
      </c>
      <c r="G1753" s="630"/>
      <c r="H1753" s="102">
        <f>H1752</f>
        <v>2203.2600000000002</v>
      </c>
    </row>
    <row r="1754" spans="1:8" ht="12.75" customHeight="1">
      <c r="B1754" s="628" t="s">
        <v>584</v>
      </c>
      <c r="C1754" s="628"/>
      <c r="D1754" s="103" t="s">
        <v>579</v>
      </c>
      <c r="E1754" s="103" t="s">
        <v>580</v>
      </c>
      <c r="F1754" s="103" t="s">
        <v>581</v>
      </c>
      <c r="G1754" s="103" t="s">
        <v>582</v>
      </c>
      <c r="H1754" s="103" t="s">
        <v>583</v>
      </c>
    </row>
    <row r="1755" spans="1:8" ht="12.75" customHeight="1">
      <c r="B1755" s="159" t="s">
        <v>730</v>
      </c>
      <c r="C1755" s="221" t="s">
        <v>731</v>
      </c>
      <c r="D1755" s="159" t="s">
        <v>592</v>
      </c>
      <c r="E1755" s="159" t="s">
        <v>121</v>
      </c>
      <c r="F1755" s="174">
        <v>0.5</v>
      </c>
      <c r="G1755" s="160">
        <v>38.69</v>
      </c>
      <c r="H1755" s="160">
        <f>ROUND(ROUND(F1755,8)*G1755,2)</f>
        <v>19.350000000000001</v>
      </c>
    </row>
    <row r="1756" spans="1:8" ht="12.75" customHeight="1">
      <c r="B1756" s="222"/>
      <c r="C1756" s="222"/>
      <c r="D1756" s="222"/>
      <c r="E1756" s="222"/>
      <c r="F1756" s="630" t="s">
        <v>585</v>
      </c>
      <c r="G1756" s="630"/>
      <c r="H1756" s="102">
        <f>H1755</f>
        <v>19.350000000000001</v>
      </c>
    </row>
    <row r="1757" spans="1:8" ht="12.75" customHeight="1">
      <c r="B1757" s="222"/>
      <c r="C1757" s="222"/>
      <c r="D1757" s="222"/>
      <c r="E1757" s="222"/>
      <c r="F1757" s="630" t="s">
        <v>464</v>
      </c>
      <c r="G1757" s="630"/>
      <c r="H1757" s="102">
        <f>H1753+H1756</f>
        <v>2222.61</v>
      </c>
    </row>
    <row r="1758" spans="1:8" ht="12.75" customHeight="1">
      <c r="B1758" s="222"/>
      <c r="C1758" s="222"/>
      <c r="D1758" s="222"/>
      <c r="E1758" s="222"/>
      <c r="F1758" s="646"/>
      <c r="G1758" s="646"/>
      <c r="H1758" s="646"/>
    </row>
    <row r="1759" spans="1:8">
      <c r="B1759" s="245" t="s">
        <v>2544</v>
      </c>
    </row>
    <row r="1760" spans="1:8">
      <c r="B1760" s="222"/>
      <c r="C1760" s="222"/>
      <c r="D1760" s="222"/>
      <c r="E1760" s="222"/>
      <c r="F1760" s="111"/>
      <c r="G1760" s="111"/>
      <c r="H1760" s="228"/>
    </row>
    <row r="1761" spans="1:8" ht="27" customHeight="1">
      <c r="A1761" s="178" t="str">
        <f>'3 - PLAN. ORÇAMENTÁRIA'!A615</f>
        <v>6.3.2.3</v>
      </c>
      <c r="B1761" s="178" t="str">
        <f>'3 - PLAN. ORÇAMENTÁRIA'!B615</f>
        <v>CCU 090</v>
      </c>
      <c r="C1761" s="631" t="str">
        <f>'3 - PLAN. ORÇAMENTÁRIA'!C615</f>
        <v>GUIA ORGANIZADORA DE CABOS PARA RACK, 19´ 1 U REF. 66.20.150/SP OBRAS</v>
      </c>
      <c r="D1761" s="632"/>
      <c r="E1761" s="632"/>
      <c r="F1761" s="632"/>
      <c r="G1761" s="633"/>
      <c r="H1761" s="131" t="s">
        <v>144</v>
      </c>
    </row>
    <row r="1762" spans="1:8" ht="12.75" customHeight="1">
      <c r="B1762" s="628" t="s">
        <v>593</v>
      </c>
      <c r="C1762" s="628"/>
      <c r="D1762" s="103" t="s">
        <v>579</v>
      </c>
      <c r="E1762" s="103" t="s">
        <v>580</v>
      </c>
      <c r="F1762" s="103" t="s">
        <v>581</v>
      </c>
      <c r="G1762" s="103" t="s">
        <v>582</v>
      </c>
      <c r="H1762" s="103" t="s">
        <v>583</v>
      </c>
    </row>
    <row r="1763" spans="1:8" ht="12.75" customHeight="1">
      <c r="B1763" s="130" t="s">
        <v>732</v>
      </c>
      <c r="C1763" s="229" t="s">
        <v>733</v>
      </c>
      <c r="D1763" s="130" t="s">
        <v>592</v>
      </c>
      <c r="E1763" s="130" t="s">
        <v>144</v>
      </c>
      <c r="F1763" s="230">
        <v>1</v>
      </c>
      <c r="G1763" s="227">
        <v>22.1</v>
      </c>
      <c r="H1763" s="160">
        <f>ROUND(ROUND(F1763,8)*G1763,2)</f>
        <v>22.1</v>
      </c>
    </row>
    <row r="1764" spans="1:8" ht="12.75" customHeight="1">
      <c r="B1764" s="222"/>
      <c r="C1764" s="222"/>
      <c r="D1764" s="222"/>
      <c r="E1764" s="222"/>
      <c r="F1764" s="630" t="s">
        <v>604</v>
      </c>
      <c r="G1764" s="630"/>
      <c r="H1764" s="102">
        <f>H1763</f>
        <v>22.1</v>
      </c>
    </row>
    <row r="1765" spans="1:8" ht="12.75" customHeight="1">
      <c r="B1765" s="628" t="s">
        <v>584</v>
      </c>
      <c r="C1765" s="628"/>
      <c r="D1765" s="103" t="s">
        <v>579</v>
      </c>
      <c r="E1765" s="103" t="s">
        <v>580</v>
      </c>
      <c r="F1765" s="103" t="s">
        <v>581</v>
      </c>
      <c r="G1765" s="103" t="s">
        <v>582</v>
      </c>
      <c r="H1765" s="103" t="s">
        <v>583</v>
      </c>
    </row>
    <row r="1766" spans="1:8">
      <c r="B1766" s="159">
        <v>88266</v>
      </c>
      <c r="C1766" s="221" t="s">
        <v>999</v>
      </c>
      <c r="D1766" s="159" t="s">
        <v>119</v>
      </c>
      <c r="E1766" s="159" t="s">
        <v>121</v>
      </c>
      <c r="F1766" s="174">
        <v>0.1</v>
      </c>
      <c r="G1766" s="160">
        <v>38.270000000000003</v>
      </c>
      <c r="H1766" s="160">
        <f>ROUND(ROUND(F1766,8)*G1766,2)</f>
        <v>3.83</v>
      </c>
    </row>
    <row r="1767" spans="1:8" ht="12.75" customHeight="1">
      <c r="B1767" s="159" t="s">
        <v>730</v>
      </c>
      <c r="C1767" s="221" t="s">
        <v>731</v>
      </c>
      <c r="D1767" s="159" t="s">
        <v>592</v>
      </c>
      <c r="E1767" s="159" t="s">
        <v>121</v>
      </c>
      <c r="F1767" s="174">
        <v>0.2</v>
      </c>
      <c r="G1767" s="160">
        <v>38.69</v>
      </c>
      <c r="H1767" s="160">
        <f>ROUND(ROUND(F1767,8)*G1767,2)</f>
        <v>7.74</v>
      </c>
    </row>
    <row r="1768" spans="1:8">
      <c r="B1768" s="222"/>
      <c r="C1768" s="222"/>
      <c r="D1768" s="222"/>
      <c r="E1768" s="222"/>
      <c r="F1768" s="630" t="s">
        <v>585</v>
      </c>
      <c r="G1768" s="630"/>
      <c r="H1768" s="102">
        <f>H1766+H1767</f>
        <v>11.57</v>
      </c>
    </row>
    <row r="1769" spans="1:8" ht="12.75" customHeight="1">
      <c r="B1769" s="222"/>
      <c r="C1769" s="222"/>
      <c r="D1769" s="222"/>
      <c r="E1769" s="222"/>
      <c r="F1769" s="630" t="s">
        <v>464</v>
      </c>
      <c r="G1769" s="630"/>
      <c r="H1769" s="102">
        <f>H1764+H1768</f>
        <v>33.67</v>
      </c>
    </row>
    <row r="1770" spans="1:8" ht="12.75" customHeight="1">
      <c r="B1770" s="222"/>
      <c r="C1770" s="222"/>
      <c r="D1770" s="222"/>
      <c r="E1770" s="222"/>
      <c r="F1770" s="646"/>
      <c r="G1770" s="646"/>
      <c r="H1770" s="646"/>
    </row>
    <row r="1771" spans="1:8">
      <c r="B1771" s="245" t="s">
        <v>2544</v>
      </c>
    </row>
    <row r="1772" spans="1:8">
      <c r="B1772" s="222"/>
      <c r="C1772" s="222"/>
      <c r="D1772" s="222"/>
      <c r="E1772" s="222"/>
      <c r="F1772" s="111"/>
      <c r="G1772" s="111"/>
      <c r="H1772" s="228"/>
    </row>
    <row r="1773" spans="1:8" ht="27" customHeight="1">
      <c r="A1773" s="178" t="str">
        <f>'3 - PLAN. ORÇAMENTÁRIA'!A617</f>
        <v>6.3.2.5</v>
      </c>
      <c r="B1773" s="178" t="str">
        <f>'3 - PLAN. ORÇAMENTÁRIA'!B617</f>
        <v>CCU 091</v>
      </c>
      <c r="C1773" s="631" t="str">
        <f>'3 - PLAN. ORÇAMENTÁRIA'!C617</f>
        <v>RÉGUA COM 8 TOMADAS 2P+T 250 V, COM CABO TIPO FILTRO DE LINHA REF. P.13.000.030526/SP OBRAS</v>
      </c>
      <c r="D1773" s="632"/>
      <c r="E1773" s="632"/>
      <c r="F1773" s="632"/>
      <c r="G1773" s="633"/>
      <c r="H1773" s="131" t="s">
        <v>144</v>
      </c>
    </row>
    <row r="1774" spans="1:8" ht="25.5" customHeight="1">
      <c r="B1774" s="628" t="s">
        <v>593</v>
      </c>
      <c r="C1774" s="628"/>
      <c r="D1774" s="103" t="s">
        <v>579</v>
      </c>
      <c r="E1774" s="103" t="s">
        <v>580</v>
      </c>
      <c r="F1774" s="103" t="s">
        <v>581</v>
      </c>
      <c r="G1774" s="103" t="s">
        <v>582</v>
      </c>
      <c r="H1774" s="103" t="s">
        <v>583</v>
      </c>
    </row>
    <row r="1775" spans="1:8" ht="12.75" customHeight="1">
      <c r="B1775" s="130" t="s">
        <v>431</v>
      </c>
      <c r="C1775" s="229" t="s">
        <v>734</v>
      </c>
      <c r="D1775" s="130" t="s">
        <v>592</v>
      </c>
      <c r="E1775" s="130" t="s">
        <v>144</v>
      </c>
      <c r="F1775" s="230">
        <v>1</v>
      </c>
      <c r="G1775" s="227">
        <v>96.61</v>
      </c>
      <c r="H1775" s="160">
        <f>ROUND(ROUND(F1775,8)*G1775,2)</f>
        <v>96.61</v>
      </c>
    </row>
    <row r="1776" spans="1:8">
      <c r="B1776" s="222"/>
      <c r="C1776" s="222"/>
      <c r="D1776" s="222"/>
      <c r="E1776" s="222"/>
      <c r="F1776" s="630" t="s">
        <v>604</v>
      </c>
      <c r="G1776" s="630"/>
      <c r="H1776" s="102">
        <f>H1775</f>
        <v>96.61</v>
      </c>
    </row>
    <row r="1777" spans="1:8" ht="12.75" customHeight="1">
      <c r="B1777" s="222"/>
      <c r="C1777" s="222"/>
      <c r="D1777" s="222"/>
      <c r="E1777" s="222"/>
      <c r="F1777" s="630" t="s">
        <v>464</v>
      </c>
      <c r="G1777" s="630"/>
      <c r="H1777" s="102">
        <f>H1776</f>
        <v>96.61</v>
      </c>
    </row>
    <row r="1778" spans="1:8" ht="12.75" customHeight="1">
      <c r="B1778" s="222"/>
      <c r="C1778" s="222"/>
      <c r="D1778" s="222"/>
      <c r="E1778" s="222"/>
      <c r="F1778" s="646"/>
      <c r="G1778" s="646"/>
      <c r="H1778" s="646"/>
    </row>
    <row r="1779" spans="1:8">
      <c r="B1779" s="245" t="s">
        <v>2544</v>
      </c>
    </row>
    <row r="1780" spans="1:8">
      <c r="B1780" s="222"/>
      <c r="C1780" s="222"/>
      <c r="D1780" s="222"/>
      <c r="E1780" s="222"/>
      <c r="F1780" s="111"/>
      <c r="G1780" s="111"/>
      <c r="H1780" s="228"/>
    </row>
    <row r="1781" spans="1:8" ht="27" customHeight="1">
      <c r="A1781" s="178" t="str">
        <f>'3 - PLAN. ORÇAMENTÁRIA'!A618</f>
        <v>6.3.2.6</v>
      </c>
      <c r="B1781" s="178" t="str">
        <f>'3 - PLAN. ORÇAMENTÁRIA'!B618</f>
        <v>CCU 093</v>
      </c>
      <c r="C1781" s="631" t="str">
        <f>'3 - PLAN. ORÇAMENTÁRIA'!C618</f>
        <v>UNIDADE GERENCIADORA DIGITAL VÍDEO EM REDE (NVR) DE ATÉ 32 CÂMERAS IP, ARMAZENAMENTO DE 48 TB, 2 INTERFACE DE REDE GIGABIT ETHERNET E 16 ENTRADAS DE ALARME REF. 66.08.620/SP OBRAS</v>
      </c>
      <c r="D1781" s="632"/>
      <c r="E1781" s="632"/>
      <c r="F1781" s="632"/>
      <c r="G1781" s="633"/>
      <c r="H1781" s="131" t="s">
        <v>144</v>
      </c>
    </row>
    <row r="1782" spans="1:8" ht="12.75" customHeight="1">
      <c r="B1782" s="628" t="s">
        <v>593</v>
      </c>
      <c r="C1782" s="628"/>
      <c r="D1782" s="103" t="s">
        <v>579</v>
      </c>
      <c r="E1782" s="103" t="s">
        <v>580</v>
      </c>
      <c r="F1782" s="103" t="s">
        <v>581</v>
      </c>
      <c r="G1782" s="103" t="s">
        <v>582</v>
      </c>
      <c r="H1782" s="103" t="s">
        <v>583</v>
      </c>
    </row>
    <row r="1783" spans="1:8" ht="12.75" customHeight="1">
      <c r="B1783" s="130" t="s">
        <v>1104</v>
      </c>
      <c r="C1783" s="229" t="s">
        <v>1105</v>
      </c>
      <c r="D1783" s="130" t="s">
        <v>592</v>
      </c>
      <c r="E1783" s="130" t="s">
        <v>144</v>
      </c>
      <c r="F1783" s="230">
        <v>1</v>
      </c>
      <c r="G1783" s="227">
        <v>4566.1000000000004</v>
      </c>
      <c r="H1783" s="160">
        <f>ROUND(ROUND(F1783,8)*G1783,2)</f>
        <v>4566.1000000000004</v>
      </c>
    </row>
    <row r="1784" spans="1:8" ht="12.75" customHeight="1">
      <c r="B1784" s="222"/>
      <c r="C1784" s="222"/>
      <c r="D1784" s="222"/>
      <c r="E1784" s="222"/>
      <c r="F1784" s="630" t="s">
        <v>604</v>
      </c>
      <c r="G1784" s="630"/>
      <c r="H1784" s="102">
        <f>H1783</f>
        <v>4566.1000000000004</v>
      </c>
    </row>
    <row r="1785" spans="1:8" ht="12.75" customHeight="1">
      <c r="B1785" s="628" t="s">
        <v>584</v>
      </c>
      <c r="C1785" s="628"/>
      <c r="D1785" s="103" t="s">
        <v>579</v>
      </c>
      <c r="E1785" s="103" t="s">
        <v>580</v>
      </c>
      <c r="F1785" s="103" t="s">
        <v>581</v>
      </c>
      <c r="G1785" s="103" t="s">
        <v>582</v>
      </c>
      <c r="H1785" s="103" t="s">
        <v>583</v>
      </c>
    </row>
    <row r="1786" spans="1:8" ht="12.75" customHeight="1">
      <c r="B1786" s="159">
        <v>88266</v>
      </c>
      <c r="C1786" s="221" t="s">
        <v>999</v>
      </c>
      <c r="D1786" s="159" t="s">
        <v>119</v>
      </c>
      <c r="E1786" s="159" t="s">
        <v>121</v>
      </c>
      <c r="F1786" s="174">
        <v>2.5</v>
      </c>
      <c r="G1786" s="160">
        <v>38.270000000000003</v>
      </c>
      <c r="H1786" s="160">
        <f>ROUND(ROUND(F1786,8)*G1786,2)</f>
        <v>95.68</v>
      </c>
    </row>
    <row r="1787" spans="1:8" ht="12.75" customHeight="1">
      <c r="B1787" s="159" t="s">
        <v>730</v>
      </c>
      <c r="C1787" s="221" t="s">
        <v>731</v>
      </c>
      <c r="D1787" s="130" t="s">
        <v>592</v>
      </c>
      <c r="E1787" s="159" t="s">
        <v>121</v>
      </c>
      <c r="F1787" s="174">
        <v>5</v>
      </c>
      <c r="G1787" s="160">
        <v>38.69</v>
      </c>
      <c r="H1787" s="160">
        <f>ROUND(ROUND(F1787,8)*G1787,2)</f>
        <v>193.45</v>
      </c>
    </row>
    <row r="1788" spans="1:8" ht="12.75" customHeight="1">
      <c r="B1788" s="222"/>
      <c r="C1788" s="222"/>
      <c r="D1788" s="222"/>
      <c r="E1788" s="222"/>
      <c r="F1788" s="630" t="s">
        <v>585</v>
      </c>
      <c r="G1788" s="630"/>
      <c r="H1788" s="102">
        <f>H1786+H1787</f>
        <v>289.13</v>
      </c>
    </row>
    <row r="1789" spans="1:8" ht="12.75" customHeight="1">
      <c r="B1789" s="222"/>
      <c r="C1789" s="222"/>
      <c r="D1789" s="222"/>
      <c r="E1789" s="222"/>
      <c r="F1789" s="630" t="s">
        <v>464</v>
      </c>
      <c r="G1789" s="630"/>
      <c r="H1789" s="102">
        <f>H1784+H1788</f>
        <v>4855.2300000000005</v>
      </c>
    </row>
    <row r="1790" spans="1:8" ht="12.75" customHeight="1">
      <c r="B1790" s="222"/>
      <c r="C1790" s="222"/>
      <c r="D1790" s="222"/>
      <c r="E1790" s="222"/>
      <c r="F1790" s="226"/>
      <c r="G1790" s="226"/>
      <c r="H1790" s="226"/>
    </row>
    <row r="1791" spans="1:8">
      <c r="B1791" s="245" t="s">
        <v>2544</v>
      </c>
    </row>
    <row r="1792" spans="1:8">
      <c r="B1792" s="222"/>
      <c r="C1792" s="222"/>
      <c r="D1792" s="222"/>
      <c r="E1792" s="222"/>
      <c r="F1792" s="111"/>
      <c r="G1792" s="111"/>
      <c r="H1792" s="228"/>
    </row>
    <row r="1793" spans="1:8" ht="27" customHeight="1">
      <c r="A1793" s="178" t="str">
        <f>'3 - PLAN. ORÇAMENTÁRIA'!A685</f>
        <v>7.1.2.1</v>
      </c>
      <c r="B1793" s="178" t="str">
        <f>'3 - PLAN. ORÇAMENTÁRIA'!B685</f>
        <v>CCU 094</v>
      </c>
      <c r="C1793" s="631" t="str">
        <f>'3 - PLAN. ORÇAMENTÁRIA'!C685</f>
        <v>DUTOS EM CHAPA DE AÇO GALVANIZADO - DIMENSÕES E EXECUÇÕES CONFORME O PROJETO REF. 61.20.450/SP OBRAS</v>
      </c>
      <c r="D1793" s="632"/>
      <c r="E1793" s="632"/>
      <c r="F1793" s="632"/>
      <c r="G1793" s="633"/>
      <c r="H1793" s="131" t="s">
        <v>200</v>
      </c>
    </row>
    <row r="1794" spans="1:8" ht="12.75" customHeight="1">
      <c r="B1794" s="641" t="s">
        <v>593</v>
      </c>
      <c r="C1794" s="642"/>
      <c r="D1794" s="103" t="s">
        <v>579</v>
      </c>
      <c r="E1794" s="103" t="s">
        <v>580</v>
      </c>
      <c r="F1794" s="103" t="s">
        <v>581</v>
      </c>
      <c r="G1794" s="103" t="s">
        <v>582</v>
      </c>
      <c r="H1794" s="103" t="s">
        <v>583</v>
      </c>
    </row>
    <row r="1795" spans="1:8" ht="12.75" customHeight="1">
      <c r="B1795" s="130" t="s">
        <v>767</v>
      </c>
      <c r="C1795" s="229" t="s">
        <v>768</v>
      </c>
      <c r="D1795" s="130" t="s">
        <v>592</v>
      </c>
      <c r="E1795" s="130" t="s">
        <v>200</v>
      </c>
      <c r="F1795" s="230">
        <v>1.1499999999999999</v>
      </c>
      <c r="G1795" s="227">
        <v>11.35</v>
      </c>
      <c r="H1795" s="160">
        <f>ROUND(ROUND(F1795,8)*G1795,2)</f>
        <v>13.05</v>
      </c>
    </row>
    <row r="1796" spans="1:8" ht="12.75" customHeight="1">
      <c r="B1796" s="130" t="s">
        <v>676</v>
      </c>
      <c r="C1796" s="229" t="s">
        <v>677</v>
      </c>
      <c r="D1796" s="130" t="s">
        <v>592</v>
      </c>
      <c r="E1796" s="130" t="s">
        <v>173</v>
      </c>
      <c r="F1796" s="230">
        <v>7.2700000000000001E-2</v>
      </c>
      <c r="G1796" s="227">
        <v>25.88</v>
      </c>
      <c r="H1796" s="160">
        <f>ROUND(ROUND(F1796,8)*G1796,2)</f>
        <v>1.88</v>
      </c>
    </row>
    <row r="1797" spans="1:8" ht="12.75" customHeight="1">
      <c r="B1797" s="130" t="s">
        <v>769</v>
      </c>
      <c r="C1797" s="229" t="s">
        <v>770</v>
      </c>
      <c r="D1797" s="130" t="s">
        <v>592</v>
      </c>
      <c r="E1797" s="130" t="s">
        <v>173</v>
      </c>
      <c r="F1797" s="230">
        <v>0.67410000000000003</v>
      </c>
      <c r="G1797" s="227">
        <v>8.67</v>
      </c>
      <c r="H1797" s="160">
        <f>ROUND(ROUND(F1797,8)*G1797,2)</f>
        <v>5.84</v>
      </c>
    </row>
    <row r="1798" spans="1:8" ht="12.75" customHeight="1">
      <c r="B1798" s="222"/>
      <c r="C1798" s="222"/>
      <c r="D1798" s="222"/>
      <c r="E1798" s="222"/>
      <c r="F1798" s="643" t="s">
        <v>604</v>
      </c>
      <c r="G1798" s="644"/>
      <c r="H1798" s="102">
        <f>H1795+H1796+H1797</f>
        <v>20.77</v>
      </c>
    </row>
    <row r="1799" spans="1:8" ht="12.75" customHeight="1">
      <c r="B1799" s="641" t="s">
        <v>584</v>
      </c>
      <c r="C1799" s="642"/>
      <c r="D1799" s="103" t="s">
        <v>579</v>
      </c>
      <c r="E1799" s="103" t="s">
        <v>580</v>
      </c>
      <c r="F1799" s="103" t="s">
        <v>581</v>
      </c>
      <c r="G1799" s="103" t="s">
        <v>582</v>
      </c>
      <c r="H1799" s="103" t="s">
        <v>583</v>
      </c>
    </row>
    <row r="1800" spans="1:8" ht="12.75" customHeight="1">
      <c r="B1800" s="159">
        <v>88251</v>
      </c>
      <c r="C1800" s="221" t="s">
        <v>667</v>
      </c>
      <c r="D1800" s="159" t="s">
        <v>119</v>
      </c>
      <c r="E1800" s="159" t="s">
        <v>121</v>
      </c>
      <c r="F1800" s="174">
        <v>0.55000000000000004</v>
      </c>
      <c r="G1800" s="160">
        <v>24.57</v>
      </c>
      <c r="H1800" s="160">
        <f>ROUND(ROUND(F1800,8)*G1800,2)</f>
        <v>13.51</v>
      </c>
    </row>
    <row r="1801" spans="1:8" ht="12.75" customHeight="1">
      <c r="B1801" s="159">
        <v>88315</v>
      </c>
      <c r="C1801" s="221" t="s">
        <v>668</v>
      </c>
      <c r="D1801" s="159" t="s">
        <v>119</v>
      </c>
      <c r="E1801" s="159" t="s">
        <v>121</v>
      </c>
      <c r="F1801" s="174">
        <v>0.55000000000000004</v>
      </c>
      <c r="G1801" s="160">
        <v>31.13</v>
      </c>
      <c r="H1801" s="160">
        <f>ROUND(ROUND(F1801,8)*G1801,2)</f>
        <v>17.12</v>
      </c>
    </row>
    <row r="1802" spans="1:8" ht="12.75" customHeight="1">
      <c r="B1802" s="222"/>
      <c r="C1802" s="222"/>
      <c r="D1802" s="222"/>
      <c r="E1802" s="222"/>
      <c r="F1802" s="643" t="s">
        <v>585</v>
      </c>
      <c r="G1802" s="644"/>
      <c r="H1802" s="102">
        <f>H1800+H1801</f>
        <v>30.630000000000003</v>
      </c>
    </row>
    <row r="1803" spans="1:8" ht="12.75" customHeight="1">
      <c r="B1803" s="222"/>
      <c r="C1803" s="222"/>
      <c r="D1803" s="222"/>
      <c r="E1803" s="222"/>
      <c r="F1803" s="643" t="s">
        <v>464</v>
      </c>
      <c r="G1803" s="644"/>
      <c r="H1803" s="102">
        <f>H1798+H1802</f>
        <v>51.400000000000006</v>
      </c>
    </row>
    <row r="1804" spans="1:8">
      <c r="B1804" s="222"/>
      <c r="C1804" s="222"/>
      <c r="D1804" s="222"/>
      <c r="E1804" s="222"/>
      <c r="F1804" s="662"/>
      <c r="G1804" s="662"/>
      <c r="H1804" s="662"/>
    </row>
    <row r="1805" spans="1:8">
      <c r="B1805" s="245" t="s">
        <v>2544</v>
      </c>
    </row>
    <row r="1806" spans="1:8">
      <c r="B1806" s="222"/>
      <c r="C1806" s="222"/>
      <c r="D1806" s="222"/>
      <c r="E1806" s="222"/>
      <c r="F1806" s="111"/>
      <c r="G1806" s="111"/>
      <c r="H1806" s="228"/>
    </row>
    <row r="1807" spans="1:8" ht="27" customHeight="1">
      <c r="A1807" s="178" t="str">
        <f>'3 - PLAN. ORÇAMENTÁRIA'!A686</f>
        <v>7.1.2.2</v>
      </c>
      <c r="B1807" s="178" t="str">
        <f>'3 - PLAN. ORÇAMENTÁRIA'!B686</f>
        <v>CCU 095</v>
      </c>
      <c r="C1807" s="631" t="str">
        <f>'3 - PLAN. ORÇAMENTÁRIA'!C686</f>
        <v>GRELHA DE INSUFLAÇÃO DE AR EM ALUMÍNIO ANODIZADO, DE DUPLA DEFLEXÃO, TAMANHO: ACIMA DE 0,10 M² ATÉ 0,50 M² REF. 61.10.565/SP OBRAS</v>
      </c>
      <c r="D1807" s="632"/>
      <c r="E1807" s="632"/>
      <c r="F1807" s="632"/>
      <c r="G1807" s="633"/>
      <c r="H1807" s="131" t="s">
        <v>139</v>
      </c>
    </row>
    <row r="1808" spans="1:8" ht="12.75" customHeight="1">
      <c r="B1808" s="641" t="s">
        <v>593</v>
      </c>
      <c r="C1808" s="642"/>
      <c r="D1808" s="103" t="s">
        <v>579</v>
      </c>
      <c r="E1808" s="103" t="s">
        <v>580</v>
      </c>
      <c r="F1808" s="103" t="s">
        <v>581</v>
      </c>
      <c r="G1808" s="103" t="s">
        <v>582</v>
      </c>
      <c r="H1808" s="103" t="s">
        <v>583</v>
      </c>
    </row>
    <row r="1809" spans="1:10" ht="12.75" customHeight="1">
      <c r="B1809" s="130" t="s">
        <v>771</v>
      </c>
      <c r="C1809" s="229" t="s">
        <v>772</v>
      </c>
      <c r="D1809" s="130" t="s">
        <v>592</v>
      </c>
      <c r="E1809" s="130" t="s">
        <v>139</v>
      </c>
      <c r="F1809" s="230">
        <v>1</v>
      </c>
      <c r="G1809" s="227">
        <v>2141.7600000000002</v>
      </c>
      <c r="H1809" s="160">
        <f>ROUND(ROUND(F1809,8)*G1809,2)</f>
        <v>2141.7600000000002</v>
      </c>
    </row>
    <row r="1810" spans="1:10" ht="12.75" customHeight="1">
      <c r="B1810" s="222"/>
      <c r="C1810" s="222"/>
      <c r="D1810" s="222"/>
      <c r="E1810" s="222"/>
      <c r="F1810" s="643" t="s">
        <v>604</v>
      </c>
      <c r="G1810" s="644"/>
      <c r="H1810" s="102">
        <f>H1809</f>
        <v>2141.7600000000002</v>
      </c>
    </row>
    <row r="1811" spans="1:10" ht="12.75" customHeight="1">
      <c r="B1811" s="641" t="s">
        <v>584</v>
      </c>
      <c r="C1811" s="642"/>
      <c r="D1811" s="103" t="s">
        <v>579</v>
      </c>
      <c r="E1811" s="103" t="s">
        <v>580</v>
      </c>
      <c r="F1811" s="103" t="s">
        <v>581</v>
      </c>
      <c r="G1811" s="103" t="s">
        <v>582</v>
      </c>
      <c r="H1811" s="103" t="s">
        <v>583</v>
      </c>
    </row>
    <row r="1812" spans="1:10" ht="12.75" customHeight="1">
      <c r="B1812" s="159">
        <v>88241</v>
      </c>
      <c r="C1812" s="221" t="s">
        <v>998</v>
      </c>
      <c r="D1812" s="159" t="s">
        <v>119</v>
      </c>
      <c r="E1812" s="159" t="s">
        <v>121</v>
      </c>
      <c r="F1812" s="174">
        <v>2</v>
      </c>
      <c r="G1812" s="160">
        <v>24.49</v>
      </c>
      <c r="H1812" s="160">
        <f>ROUND(ROUND(F1812,8)*G1812,2)</f>
        <v>48.98</v>
      </c>
    </row>
    <row r="1813" spans="1:10" ht="12.75" customHeight="1">
      <c r="B1813" s="159" t="s">
        <v>773</v>
      </c>
      <c r="C1813" s="221" t="s">
        <v>774</v>
      </c>
      <c r="D1813" s="159" t="s">
        <v>592</v>
      </c>
      <c r="E1813" s="159" t="s">
        <v>121</v>
      </c>
      <c r="F1813" s="174">
        <v>2</v>
      </c>
      <c r="G1813" s="160">
        <v>38.64</v>
      </c>
      <c r="H1813" s="160">
        <f>ROUND(ROUND(F1813,8)*G1813,2)</f>
        <v>77.28</v>
      </c>
    </row>
    <row r="1814" spans="1:10" ht="12.75" customHeight="1">
      <c r="B1814" s="222"/>
      <c r="C1814" s="222"/>
      <c r="D1814" s="222"/>
      <c r="E1814" s="222"/>
      <c r="F1814" s="643" t="s">
        <v>585</v>
      </c>
      <c r="G1814" s="644"/>
      <c r="H1814" s="102">
        <f>H1812+H1813</f>
        <v>126.25999999999999</v>
      </c>
    </row>
    <row r="1815" spans="1:10" ht="25.5" customHeight="1">
      <c r="B1815" s="222"/>
      <c r="C1815" s="222"/>
      <c r="D1815" s="222"/>
      <c r="E1815" s="222"/>
      <c r="F1815" s="643" t="s">
        <v>464</v>
      </c>
      <c r="G1815" s="644"/>
      <c r="H1815" s="102">
        <f>H1810+H1814</f>
        <v>2268.0200000000004</v>
      </c>
    </row>
    <row r="1816" spans="1:10">
      <c r="B1816" s="222"/>
      <c r="C1816" s="222"/>
      <c r="D1816" s="222"/>
      <c r="E1816" s="222"/>
      <c r="F1816" s="646"/>
      <c r="G1816" s="646"/>
      <c r="H1816" s="646"/>
    </row>
    <row r="1817" spans="1:10">
      <c r="B1817" s="245" t="s">
        <v>2544</v>
      </c>
    </row>
    <row r="1818" spans="1:10">
      <c r="B1818" s="222"/>
      <c r="C1818" s="222"/>
      <c r="D1818" s="222"/>
      <c r="E1818" s="222"/>
      <c r="F1818" s="111"/>
      <c r="G1818" s="111"/>
      <c r="H1818" s="228"/>
    </row>
    <row r="1819" spans="1:10" ht="12.75" customHeight="1">
      <c r="A1819" s="178" t="str">
        <f>'3 - PLAN. ORÇAMENTÁRIA'!A25</f>
        <v>2.1.1.5</v>
      </c>
      <c r="B1819" s="178" t="str">
        <f>'3 - PLAN. ORÇAMENTÁRIA'!B25</f>
        <v>CCU 147</v>
      </c>
      <c r="C1819" s="631" t="str">
        <f>'3 - PLAN. ORÇAMENTÁRIA'!C25</f>
        <v>CONSTRUÇÃO DE REFEITÓRIO PROVISÓRIO EM MADERIA - FORNECIMENTO E MONTAGEM REF. 02.01.021/SP OBRAS</v>
      </c>
      <c r="D1819" s="632"/>
      <c r="E1819" s="632"/>
      <c r="F1819" s="632"/>
      <c r="G1819" s="633"/>
      <c r="H1819" s="131" t="s">
        <v>139</v>
      </c>
      <c r="J1819" s="220" t="str">
        <f>B1858</f>
        <v>Foi retirado o insumo/mão de obra de Engenheiro Civil da composição do item, pois o mesmo já está sendo considerado na etapa de Serviços Técnicos desta planilha</v>
      </c>
    </row>
    <row r="1820" spans="1:10" ht="12.75" customHeight="1">
      <c r="B1820" s="628" t="s">
        <v>588</v>
      </c>
      <c r="C1820" s="628"/>
      <c r="D1820" s="103" t="s">
        <v>579</v>
      </c>
      <c r="E1820" s="103" t="s">
        <v>580</v>
      </c>
      <c r="F1820" s="103" t="s">
        <v>581</v>
      </c>
      <c r="G1820" s="103" t="s">
        <v>582</v>
      </c>
      <c r="H1820" s="103" t="s">
        <v>583</v>
      </c>
    </row>
    <row r="1821" spans="1:10" ht="12.75" customHeight="1">
      <c r="B1821" s="159" t="s">
        <v>590</v>
      </c>
      <c r="C1821" s="221" t="s">
        <v>591</v>
      </c>
      <c r="D1821" s="159" t="s">
        <v>592</v>
      </c>
      <c r="E1821" s="159" t="s">
        <v>144</v>
      </c>
      <c r="F1821" s="174">
        <v>4.3999999999999997E-2</v>
      </c>
      <c r="G1821" s="160">
        <v>56.18</v>
      </c>
      <c r="H1821" s="160">
        <f>ROUND(ROUND(F1821,8)*G1821,2)</f>
        <v>2.4700000000000002</v>
      </c>
    </row>
    <row r="1822" spans="1:10" ht="12.75" customHeight="1">
      <c r="B1822" s="222"/>
      <c r="C1822" s="222"/>
      <c r="D1822" s="222"/>
      <c r="E1822" s="222"/>
      <c r="F1822" s="630" t="s">
        <v>589</v>
      </c>
      <c r="G1822" s="630"/>
      <c r="H1822" s="102">
        <f>H1821</f>
        <v>2.4700000000000002</v>
      </c>
    </row>
    <row r="1823" spans="1:10" ht="12.75" customHeight="1">
      <c r="B1823" s="628" t="s">
        <v>593</v>
      </c>
      <c r="C1823" s="628"/>
      <c r="D1823" s="103" t="s">
        <v>579</v>
      </c>
      <c r="E1823" s="103" t="s">
        <v>580</v>
      </c>
      <c r="F1823" s="103" t="s">
        <v>581</v>
      </c>
      <c r="G1823" s="103" t="s">
        <v>582</v>
      </c>
      <c r="H1823" s="103" t="s">
        <v>583</v>
      </c>
    </row>
    <row r="1824" spans="1:10" ht="12.75" customHeight="1">
      <c r="B1824" s="159" t="s">
        <v>700</v>
      </c>
      <c r="C1824" s="221" t="s">
        <v>701</v>
      </c>
      <c r="D1824" s="159" t="s">
        <v>119</v>
      </c>
      <c r="E1824" s="159" t="s">
        <v>173</v>
      </c>
      <c r="F1824" s="174">
        <v>1.54</v>
      </c>
      <c r="G1824" s="160">
        <v>2.83</v>
      </c>
      <c r="H1824" s="160">
        <f t="shared" ref="H1824:H1843" si="61">ROUND(ROUND(F1824,8)*G1824,2)</f>
        <v>4.3600000000000003</v>
      </c>
    </row>
    <row r="1825" spans="2:8" ht="12.75" customHeight="1">
      <c r="B1825" s="159" t="s">
        <v>641</v>
      </c>
      <c r="C1825" s="221" t="s">
        <v>642</v>
      </c>
      <c r="D1825" s="159" t="s">
        <v>119</v>
      </c>
      <c r="E1825" s="159" t="s">
        <v>139</v>
      </c>
      <c r="F1825" s="174">
        <v>2.048</v>
      </c>
      <c r="G1825" s="160">
        <v>38.04</v>
      </c>
      <c r="H1825" s="160">
        <f t="shared" si="61"/>
        <v>77.91</v>
      </c>
    </row>
    <row r="1826" spans="2:8" ht="12.75" customHeight="1">
      <c r="B1826" s="173" t="s">
        <v>2302</v>
      </c>
      <c r="C1826" s="221" t="s">
        <v>2303</v>
      </c>
      <c r="D1826" s="159" t="s">
        <v>119</v>
      </c>
      <c r="E1826" s="159" t="s">
        <v>167</v>
      </c>
      <c r="F1826" s="174">
        <v>0.1</v>
      </c>
      <c r="G1826" s="160">
        <v>507.41</v>
      </c>
      <c r="H1826" s="160">
        <f t="shared" si="61"/>
        <v>50.74</v>
      </c>
    </row>
    <row r="1827" spans="2:8" ht="12.75" customHeight="1">
      <c r="B1827" s="173" t="s">
        <v>2304</v>
      </c>
      <c r="C1827" s="221" t="s">
        <v>2305</v>
      </c>
      <c r="D1827" s="159" t="s">
        <v>119</v>
      </c>
      <c r="E1827" s="159" t="s">
        <v>144</v>
      </c>
      <c r="F1827" s="174">
        <v>9.6000000000000002E-2</v>
      </c>
      <c r="G1827" s="160">
        <v>28.82</v>
      </c>
      <c r="H1827" s="160">
        <f t="shared" si="61"/>
        <v>2.77</v>
      </c>
    </row>
    <row r="1828" spans="2:8" ht="12.75" customHeight="1">
      <c r="B1828" s="173" t="s">
        <v>2308</v>
      </c>
      <c r="C1828" s="221" t="s">
        <v>2309</v>
      </c>
      <c r="D1828" s="159" t="s">
        <v>119</v>
      </c>
      <c r="E1828" s="159" t="s">
        <v>173</v>
      </c>
      <c r="F1828" s="174">
        <v>4.3999999999999997E-2</v>
      </c>
      <c r="G1828" s="160">
        <v>13.89</v>
      </c>
      <c r="H1828" s="160">
        <f t="shared" si="61"/>
        <v>0.61</v>
      </c>
    </row>
    <row r="1829" spans="2:8" ht="12.75" customHeight="1">
      <c r="B1829" s="173" t="s">
        <v>2306</v>
      </c>
      <c r="C1829" s="221" t="s">
        <v>2307</v>
      </c>
      <c r="D1829" s="159" t="s">
        <v>119</v>
      </c>
      <c r="E1829" s="159" t="s">
        <v>173</v>
      </c>
      <c r="F1829" s="174">
        <v>4.3999999999999997E-2</v>
      </c>
      <c r="G1829" s="160">
        <v>4.88</v>
      </c>
      <c r="H1829" s="160">
        <f t="shared" si="61"/>
        <v>0.21</v>
      </c>
    </row>
    <row r="1830" spans="2:8" ht="12.75" customHeight="1">
      <c r="B1830" s="159" t="s">
        <v>594</v>
      </c>
      <c r="C1830" s="221" t="s">
        <v>595</v>
      </c>
      <c r="D1830" s="159" t="s">
        <v>592</v>
      </c>
      <c r="E1830" s="159" t="s">
        <v>315</v>
      </c>
      <c r="F1830" s="174">
        <v>1.78E-2</v>
      </c>
      <c r="G1830" s="160">
        <v>109.57</v>
      </c>
      <c r="H1830" s="160">
        <f t="shared" si="61"/>
        <v>1.95</v>
      </c>
    </row>
    <row r="1831" spans="2:8" ht="12.75" customHeight="1">
      <c r="B1831" s="159" t="s">
        <v>596</v>
      </c>
      <c r="C1831" s="221" t="s">
        <v>597</v>
      </c>
      <c r="D1831" s="159" t="s">
        <v>592</v>
      </c>
      <c r="E1831" s="159" t="s">
        <v>144</v>
      </c>
      <c r="F1831" s="174">
        <v>0.33600000000000002</v>
      </c>
      <c r="G1831" s="160">
        <v>3.27</v>
      </c>
      <c r="H1831" s="160">
        <f t="shared" si="61"/>
        <v>1.1000000000000001</v>
      </c>
    </row>
    <row r="1832" spans="2:8" ht="12.75" customHeight="1">
      <c r="B1832" s="173" t="s">
        <v>1755</v>
      </c>
      <c r="C1832" s="221" t="s">
        <v>1756</v>
      </c>
      <c r="D1832" s="159" t="s">
        <v>119</v>
      </c>
      <c r="E1832" s="159" t="s">
        <v>144</v>
      </c>
      <c r="F1832" s="174">
        <v>2.1999999999999999E-2</v>
      </c>
      <c r="G1832" s="160">
        <v>9.24</v>
      </c>
      <c r="H1832" s="160">
        <f t="shared" si="61"/>
        <v>0.2</v>
      </c>
    </row>
    <row r="1833" spans="2:8" ht="12.75" customHeight="1">
      <c r="B1833" s="159" t="s">
        <v>598</v>
      </c>
      <c r="C1833" s="221" t="s">
        <v>599</v>
      </c>
      <c r="D1833" s="159" t="s">
        <v>592</v>
      </c>
      <c r="E1833" s="159" t="s">
        <v>144</v>
      </c>
      <c r="F1833" s="174">
        <v>8.7999999999999995E-2</v>
      </c>
      <c r="G1833" s="160">
        <v>11.95</v>
      </c>
      <c r="H1833" s="160">
        <f t="shared" si="61"/>
        <v>1.05</v>
      </c>
    </row>
    <row r="1834" spans="2:8" ht="12.75" customHeight="1">
      <c r="B1834" s="173" t="s">
        <v>1007</v>
      </c>
      <c r="C1834" s="221" t="s">
        <v>1008</v>
      </c>
      <c r="D1834" s="159" t="s">
        <v>119</v>
      </c>
      <c r="E1834" s="159" t="s">
        <v>144</v>
      </c>
      <c r="F1834" s="174">
        <v>3</v>
      </c>
      <c r="G1834" s="160">
        <v>1.29</v>
      </c>
      <c r="H1834" s="160">
        <f t="shared" si="61"/>
        <v>3.87</v>
      </c>
    </row>
    <row r="1835" spans="2:8" ht="12.75" customHeight="1">
      <c r="B1835" s="159" t="s">
        <v>600</v>
      </c>
      <c r="C1835" s="221" t="s">
        <v>601</v>
      </c>
      <c r="D1835" s="159" t="s">
        <v>592</v>
      </c>
      <c r="E1835" s="159" t="s">
        <v>144</v>
      </c>
      <c r="F1835" s="174">
        <v>2.1999999999999999E-2</v>
      </c>
      <c r="G1835" s="160">
        <v>66.19</v>
      </c>
      <c r="H1835" s="160">
        <f t="shared" si="61"/>
        <v>1.46</v>
      </c>
    </row>
    <row r="1836" spans="2:8" ht="12.75" customHeight="1">
      <c r="B1836" s="173" t="s">
        <v>1309</v>
      </c>
      <c r="C1836" s="221" t="s">
        <v>1310</v>
      </c>
      <c r="D1836" s="159" t="s">
        <v>119</v>
      </c>
      <c r="E1836" s="159" t="s">
        <v>173</v>
      </c>
      <c r="F1836" s="174">
        <v>3.944</v>
      </c>
      <c r="G1836" s="160">
        <v>7.78</v>
      </c>
      <c r="H1836" s="160">
        <f t="shared" si="61"/>
        <v>30.68</v>
      </c>
    </row>
    <row r="1837" spans="2:8" ht="12.75" customHeight="1">
      <c r="B1837" s="173" t="s">
        <v>615</v>
      </c>
      <c r="C1837" s="221" t="s">
        <v>616</v>
      </c>
      <c r="D1837" s="159" t="s">
        <v>119</v>
      </c>
      <c r="E1837" s="159" t="s">
        <v>200</v>
      </c>
      <c r="F1837" s="174">
        <v>0.39</v>
      </c>
      <c r="G1837" s="160">
        <v>18.399999999999999</v>
      </c>
      <c r="H1837" s="160">
        <f t="shared" si="61"/>
        <v>7.18</v>
      </c>
    </row>
    <row r="1838" spans="2:8" ht="12.75" customHeight="1">
      <c r="B1838" s="173" t="s">
        <v>2310</v>
      </c>
      <c r="C1838" s="221" t="s">
        <v>2311</v>
      </c>
      <c r="D1838" s="159" t="s">
        <v>119</v>
      </c>
      <c r="E1838" s="159" t="s">
        <v>173</v>
      </c>
      <c r="F1838" s="174">
        <v>2.4750000000000001</v>
      </c>
      <c r="G1838" s="160">
        <v>3.31</v>
      </c>
      <c r="H1838" s="160">
        <f t="shared" si="61"/>
        <v>8.19</v>
      </c>
    </row>
    <row r="1839" spans="2:8" ht="12.75" customHeight="1">
      <c r="B1839" s="173" t="s">
        <v>2312</v>
      </c>
      <c r="C1839" s="221" t="s">
        <v>2313</v>
      </c>
      <c r="D1839" s="159" t="s">
        <v>119</v>
      </c>
      <c r="E1839" s="159" t="s">
        <v>173</v>
      </c>
      <c r="F1839" s="174">
        <v>0.73199999999999998</v>
      </c>
      <c r="G1839" s="160">
        <v>26.81</v>
      </c>
      <c r="H1839" s="160">
        <f t="shared" si="61"/>
        <v>19.62</v>
      </c>
    </row>
    <row r="1840" spans="2:8" ht="12.75" customHeight="1">
      <c r="B1840" s="173" t="s">
        <v>2314</v>
      </c>
      <c r="C1840" s="221" t="s">
        <v>2315</v>
      </c>
      <c r="D1840" s="159" t="s">
        <v>119</v>
      </c>
      <c r="E1840" s="159" t="s">
        <v>139</v>
      </c>
      <c r="F1840" s="174">
        <v>0.33600000000000002</v>
      </c>
      <c r="G1840" s="160">
        <v>23.1</v>
      </c>
      <c r="H1840" s="160">
        <f t="shared" si="61"/>
        <v>7.76</v>
      </c>
    </row>
    <row r="1841" spans="2:8" ht="12.75" customHeight="1">
      <c r="B1841" s="173" t="s">
        <v>632</v>
      </c>
      <c r="C1841" s="221" t="s">
        <v>633</v>
      </c>
      <c r="D1841" s="159" t="s">
        <v>119</v>
      </c>
      <c r="E1841" s="159" t="s">
        <v>107</v>
      </c>
      <c r="F1841" s="174">
        <v>1.23</v>
      </c>
      <c r="G1841" s="160">
        <v>31.4</v>
      </c>
      <c r="H1841" s="160">
        <f t="shared" si="61"/>
        <v>38.619999999999997</v>
      </c>
    </row>
    <row r="1842" spans="2:8" ht="12.75" customHeight="1">
      <c r="B1842" s="173" t="s">
        <v>2316</v>
      </c>
      <c r="C1842" s="221" t="s">
        <v>2507</v>
      </c>
      <c r="D1842" s="159" t="s">
        <v>119</v>
      </c>
      <c r="E1842" s="159" t="s">
        <v>144</v>
      </c>
      <c r="F1842" s="174">
        <v>2.1999999999999999E-2</v>
      </c>
      <c r="G1842" s="160">
        <v>21.41</v>
      </c>
      <c r="H1842" s="160">
        <f t="shared" si="61"/>
        <v>0.47</v>
      </c>
    </row>
    <row r="1843" spans="2:8" ht="12.75" customHeight="1">
      <c r="B1843" s="159" t="s">
        <v>602</v>
      </c>
      <c r="C1843" s="221" t="s">
        <v>603</v>
      </c>
      <c r="D1843" s="159" t="s">
        <v>592</v>
      </c>
      <c r="E1843" s="159" t="s">
        <v>139</v>
      </c>
      <c r="F1843" s="174">
        <v>0.24</v>
      </c>
      <c r="G1843" s="160">
        <v>150.36000000000001</v>
      </c>
      <c r="H1843" s="160">
        <f t="shared" si="61"/>
        <v>36.090000000000003</v>
      </c>
    </row>
    <row r="1844" spans="2:8" ht="12.75" customHeight="1">
      <c r="B1844" s="222"/>
      <c r="C1844" s="222"/>
      <c r="D1844" s="222"/>
      <c r="E1844" s="222"/>
      <c r="F1844" s="630" t="s">
        <v>604</v>
      </c>
      <c r="G1844" s="630"/>
      <c r="H1844" s="102">
        <f>SUM(H1824:H1843)</f>
        <v>294.84000000000003</v>
      </c>
    </row>
    <row r="1845" spans="2:8" ht="12.75" customHeight="1">
      <c r="B1845" s="628" t="s">
        <v>607</v>
      </c>
      <c r="C1845" s="628"/>
      <c r="D1845" s="103" t="s">
        <v>579</v>
      </c>
      <c r="E1845" s="103" t="s">
        <v>580</v>
      </c>
      <c r="F1845" s="103" t="s">
        <v>581</v>
      </c>
      <c r="G1845" s="103" t="s">
        <v>582</v>
      </c>
      <c r="H1845" s="103" t="s">
        <v>583</v>
      </c>
    </row>
    <row r="1846" spans="2:8" ht="12.75" customHeight="1">
      <c r="B1846" s="159" t="s">
        <v>1315</v>
      </c>
      <c r="C1846" s="221" t="s">
        <v>617</v>
      </c>
      <c r="D1846" s="159" t="s">
        <v>119</v>
      </c>
      <c r="E1846" s="159" t="s">
        <v>121</v>
      </c>
      <c r="F1846" s="174">
        <v>0.51</v>
      </c>
      <c r="G1846" s="160">
        <v>24.4</v>
      </c>
      <c r="H1846" s="160">
        <f t="shared" ref="H1846:H1854" si="62">ROUND(ROUND(F1846,8)*G1846,2)</f>
        <v>12.44</v>
      </c>
    </row>
    <row r="1847" spans="2:8" ht="12.75" customHeight="1">
      <c r="B1847" s="159" t="s">
        <v>2508</v>
      </c>
      <c r="C1847" s="221" t="s">
        <v>1000</v>
      </c>
      <c r="D1847" s="159" t="s">
        <v>119</v>
      </c>
      <c r="E1847" s="159" t="s">
        <v>121</v>
      </c>
      <c r="F1847" s="174">
        <v>0.26</v>
      </c>
      <c r="G1847" s="160">
        <v>26.43</v>
      </c>
      <c r="H1847" s="160">
        <f t="shared" si="62"/>
        <v>6.87</v>
      </c>
    </row>
    <row r="1848" spans="2:8" ht="12.75" customHeight="1">
      <c r="B1848" s="159" t="s">
        <v>1256</v>
      </c>
      <c r="C1848" s="221" t="s">
        <v>608</v>
      </c>
      <c r="D1848" s="159" t="s">
        <v>119</v>
      </c>
      <c r="E1848" s="159" t="s">
        <v>121</v>
      </c>
      <c r="F1848" s="174">
        <v>0.13</v>
      </c>
      <c r="G1848" s="160">
        <v>25</v>
      </c>
      <c r="H1848" s="160">
        <f t="shared" si="62"/>
        <v>3.25</v>
      </c>
    </row>
    <row r="1849" spans="2:8" ht="12.75" customHeight="1">
      <c r="B1849" s="159" t="s">
        <v>1316</v>
      </c>
      <c r="C1849" s="221" t="s">
        <v>618</v>
      </c>
      <c r="D1849" s="159" t="s">
        <v>119</v>
      </c>
      <c r="E1849" s="159" t="s">
        <v>121</v>
      </c>
      <c r="F1849" s="174">
        <v>0.51</v>
      </c>
      <c r="G1849" s="160">
        <v>30.91</v>
      </c>
      <c r="H1849" s="160">
        <f t="shared" si="62"/>
        <v>15.76</v>
      </c>
    </row>
    <row r="1850" spans="2:8" ht="12.75" customHeight="1">
      <c r="B1850" s="159" t="s">
        <v>2509</v>
      </c>
      <c r="C1850" s="221" t="s">
        <v>997</v>
      </c>
      <c r="D1850" s="159" t="s">
        <v>119</v>
      </c>
      <c r="E1850" s="159" t="s">
        <v>121</v>
      </c>
      <c r="F1850" s="174">
        <v>7.0000000000000007E-2</v>
      </c>
      <c r="G1850" s="160">
        <v>18.34</v>
      </c>
      <c r="H1850" s="160">
        <f t="shared" si="62"/>
        <v>1.28</v>
      </c>
    </row>
    <row r="1851" spans="2:8" ht="12.75" customHeight="1">
      <c r="B1851" s="159" t="s">
        <v>1257</v>
      </c>
      <c r="C1851" s="221" t="s">
        <v>609</v>
      </c>
      <c r="D1851" s="159" t="s">
        <v>119</v>
      </c>
      <c r="E1851" s="159" t="s">
        <v>121</v>
      </c>
      <c r="F1851" s="174">
        <v>0.13</v>
      </c>
      <c r="G1851" s="160">
        <v>31.72</v>
      </c>
      <c r="H1851" s="160">
        <f t="shared" si="62"/>
        <v>4.12</v>
      </c>
    </row>
    <row r="1852" spans="2:8" ht="12.75" customHeight="1">
      <c r="B1852" s="159" t="s">
        <v>639</v>
      </c>
      <c r="C1852" s="221" t="s">
        <v>640</v>
      </c>
      <c r="D1852" s="159" t="s">
        <v>119</v>
      </c>
      <c r="E1852" s="159" t="s">
        <v>121</v>
      </c>
      <c r="F1852" s="174">
        <v>1.05</v>
      </c>
      <c r="G1852" s="160">
        <v>31.34</v>
      </c>
      <c r="H1852" s="160">
        <f t="shared" si="62"/>
        <v>32.909999999999997</v>
      </c>
    </row>
    <row r="1853" spans="2:8" ht="12.75" customHeight="1">
      <c r="B1853" s="159" t="s">
        <v>1450</v>
      </c>
      <c r="C1853" s="221" t="s">
        <v>663</v>
      </c>
      <c r="D1853" s="159" t="s">
        <v>119</v>
      </c>
      <c r="E1853" s="159" t="s">
        <v>121</v>
      </c>
      <c r="F1853" s="174">
        <v>0.52</v>
      </c>
      <c r="G1853" s="160">
        <v>33.01</v>
      </c>
      <c r="H1853" s="160">
        <f t="shared" si="62"/>
        <v>17.170000000000002</v>
      </c>
    </row>
    <row r="1854" spans="2:8" ht="12.75" customHeight="1">
      <c r="B1854" s="159" t="s">
        <v>625</v>
      </c>
      <c r="C1854" s="221" t="s">
        <v>626</v>
      </c>
      <c r="D1854" s="159" t="s">
        <v>119</v>
      </c>
      <c r="E1854" s="159" t="s">
        <v>121</v>
      </c>
      <c r="F1854" s="174">
        <v>2.25</v>
      </c>
      <c r="G1854" s="160">
        <v>23.75</v>
      </c>
      <c r="H1854" s="160">
        <f t="shared" si="62"/>
        <v>53.44</v>
      </c>
    </row>
    <row r="1855" spans="2:8" ht="12.75" customHeight="1">
      <c r="B1855" s="222"/>
      <c r="C1855" s="222"/>
      <c r="D1855" s="222"/>
      <c r="E1855" s="222"/>
      <c r="F1855" s="630" t="s">
        <v>610</v>
      </c>
      <c r="G1855" s="630"/>
      <c r="H1855" s="102">
        <f>SUM(H1846:H1854)</f>
        <v>147.24</v>
      </c>
    </row>
    <row r="1856" spans="2:8" ht="12.75" customHeight="1">
      <c r="B1856" s="222"/>
      <c r="C1856" s="222"/>
      <c r="D1856" s="222"/>
      <c r="E1856" s="222"/>
      <c r="F1856" s="630" t="s">
        <v>464</v>
      </c>
      <c r="G1856" s="630"/>
      <c r="H1856" s="102">
        <f>H1822+H1844+H1855</f>
        <v>444.55000000000007</v>
      </c>
    </row>
    <row r="1857" spans="1:8" ht="12.75" customHeight="1">
      <c r="B1857" s="222"/>
      <c r="C1857" s="222"/>
      <c r="D1857" s="222"/>
      <c r="E1857" s="222"/>
      <c r="F1857" s="111"/>
      <c r="G1857" s="111"/>
      <c r="H1857" s="228"/>
    </row>
    <row r="1858" spans="1:8">
      <c r="B1858" s="245" t="s">
        <v>2721</v>
      </c>
    </row>
    <row r="1859" spans="1:8">
      <c r="B1859" s="222"/>
      <c r="C1859" s="222"/>
      <c r="D1859" s="222"/>
      <c r="E1859" s="222"/>
      <c r="F1859" s="111"/>
      <c r="G1859" s="111"/>
      <c r="H1859" s="228"/>
    </row>
    <row r="1860" spans="1:8" ht="12.75" customHeight="1">
      <c r="A1860" s="178" t="str">
        <f>'3 - PLAN. ORÇAMENTÁRIA'!A294</f>
        <v>4.1.7.1</v>
      </c>
      <c r="B1860" s="178" t="str">
        <f>'3 - PLAN. ORÇAMENTÁRIA'!B294</f>
        <v>CCU 179</v>
      </c>
      <c r="C1860" s="631" t="str">
        <f>'3 - PLAN. ORÇAMENTÁRIA'!C294</f>
        <v>DETECTOR DE METAIS, TIPO PORTAL, MICROPROCESSADO REF. 66.02.090/SP OBRAS</v>
      </c>
      <c r="D1860" s="632"/>
      <c r="E1860" s="632"/>
      <c r="F1860" s="632"/>
      <c r="G1860" s="633"/>
      <c r="H1860" s="131" t="s">
        <v>144</v>
      </c>
    </row>
    <row r="1861" spans="1:8" ht="12.75" customHeight="1">
      <c r="B1861" s="628" t="s">
        <v>593</v>
      </c>
      <c r="C1861" s="628"/>
      <c r="D1861" s="103" t="s">
        <v>579</v>
      </c>
      <c r="E1861" s="103" t="s">
        <v>580</v>
      </c>
      <c r="F1861" s="103" t="s">
        <v>581</v>
      </c>
      <c r="G1861" s="103" t="s">
        <v>582</v>
      </c>
      <c r="H1861" s="103" t="s">
        <v>583</v>
      </c>
    </row>
    <row r="1862" spans="1:8" ht="12.75" customHeight="1">
      <c r="B1862" s="159" t="s">
        <v>2071</v>
      </c>
      <c r="C1862" s="221" t="s">
        <v>2072</v>
      </c>
      <c r="D1862" s="159" t="s">
        <v>592</v>
      </c>
      <c r="E1862" s="159" t="s">
        <v>1048</v>
      </c>
      <c r="F1862" s="174">
        <v>1</v>
      </c>
      <c r="G1862" s="160">
        <v>13505.3</v>
      </c>
      <c r="H1862" s="160">
        <f>ROUND(ROUND(F1862,8)*G1862,2)</f>
        <v>13505.3</v>
      </c>
    </row>
    <row r="1863" spans="1:8" ht="12.75" customHeight="1">
      <c r="B1863" s="222"/>
      <c r="C1863" s="222"/>
      <c r="D1863" s="222"/>
      <c r="E1863" s="222"/>
      <c r="F1863" s="630" t="s">
        <v>604</v>
      </c>
      <c r="G1863" s="630"/>
      <c r="H1863" s="102">
        <f>H1862</f>
        <v>13505.3</v>
      </c>
    </row>
    <row r="1864" spans="1:8" ht="12.75" customHeight="1">
      <c r="B1864" s="222"/>
      <c r="C1864" s="222"/>
      <c r="D1864" s="222"/>
      <c r="E1864" s="222"/>
      <c r="F1864" s="630" t="s">
        <v>464</v>
      </c>
      <c r="G1864" s="630"/>
      <c r="H1864" s="102">
        <f>H1863</f>
        <v>13505.3</v>
      </c>
    </row>
    <row r="1865" spans="1:8" ht="12.75" customHeight="1">
      <c r="B1865" s="222"/>
      <c r="C1865" s="222"/>
      <c r="D1865" s="222"/>
      <c r="E1865" s="222"/>
      <c r="F1865" s="111"/>
      <c r="G1865" s="111"/>
      <c r="H1865" s="228"/>
    </row>
    <row r="1866" spans="1:8">
      <c r="B1866" s="245" t="s">
        <v>2544</v>
      </c>
    </row>
    <row r="1868" spans="1:8">
      <c r="A1868" s="178" t="str">
        <f>'3 - PLAN. ORÇAMENTÁRIA'!A93</f>
        <v>3.2.1.4</v>
      </c>
      <c r="B1868" s="178" t="str">
        <f>'3 - PLAN. ORÇAMENTÁRIA'!B93</f>
        <v>CCU 103</v>
      </c>
      <c r="C1868" s="631" t="str">
        <f>'3 - PLAN. ORÇAMENTÁRIA'!C93</f>
        <v>ALÇAPÃO/TAMPA EM CHAPA DE FERRO COM PORTAS CADEADE REF. 24.03.100/SP OBRAS</v>
      </c>
      <c r="D1868" s="632"/>
      <c r="E1868" s="632"/>
      <c r="F1868" s="632"/>
      <c r="G1868" s="633"/>
      <c r="H1868" s="131" t="str">
        <f>'3 - PLAN. ORÇAMENTÁRIA'!E93</f>
        <v>M2</v>
      </c>
    </row>
    <row r="1869" spans="1:8">
      <c r="B1869" s="628" t="s">
        <v>593</v>
      </c>
      <c r="C1869" s="628"/>
      <c r="D1869" s="103" t="s">
        <v>579</v>
      </c>
      <c r="E1869" s="103" t="s">
        <v>580</v>
      </c>
      <c r="F1869" s="103" t="s">
        <v>581</v>
      </c>
      <c r="G1869" s="103" t="s">
        <v>582</v>
      </c>
      <c r="H1869" s="103" t="s">
        <v>583</v>
      </c>
    </row>
    <row r="1870" spans="1:8">
      <c r="B1870" s="130" t="s">
        <v>2722</v>
      </c>
      <c r="C1870" s="229" t="s">
        <v>2723</v>
      </c>
      <c r="D1870" s="130" t="s">
        <v>592</v>
      </c>
      <c r="E1870" s="159" t="s">
        <v>1048</v>
      </c>
      <c r="F1870" s="230">
        <v>1.73</v>
      </c>
      <c r="G1870" s="227">
        <v>760.6</v>
      </c>
      <c r="H1870" s="160">
        <f>ROUND(ROUND(F1870,8)*G1870,2)</f>
        <v>1315.84</v>
      </c>
    </row>
    <row r="1871" spans="1:8">
      <c r="B1871" s="222"/>
      <c r="C1871" s="222"/>
      <c r="D1871" s="222"/>
      <c r="E1871" s="222"/>
      <c r="F1871" s="630" t="s">
        <v>604</v>
      </c>
      <c r="G1871" s="630"/>
      <c r="H1871" s="102">
        <f>H1870</f>
        <v>1315.84</v>
      </c>
    </row>
    <row r="1872" spans="1:8">
      <c r="B1872" s="628" t="s">
        <v>584</v>
      </c>
      <c r="C1872" s="628"/>
      <c r="D1872" s="103" t="s">
        <v>579</v>
      </c>
      <c r="E1872" s="103" t="s">
        <v>580</v>
      </c>
      <c r="F1872" s="103" t="s">
        <v>581</v>
      </c>
      <c r="G1872" s="103" t="s">
        <v>582</v>
      </c>
      <c r="H1872" s="103" t="s">
        <v>583</v>
      </c>
    </row>
    <row r="1873" spans="1:10">
      <c r="B1873" s="159">
        <v>88309</v>
      </c>
      <c r="C1873" s="221" t="s">
        <v>640</v>
      </c>
      <c r="D1873" s="159" t="s">
        <v>119</v>
      </c>
      <c r="E1873" s="159" t="s">
        <v>121</v>
      </c>
      <c r="F1873" s="174">
        <v>2</v>
      </c>
      <c r="G1873" s="160">
        <v>31.34</v>
      </c>
      <c r="H1873" s="160">
        <f>ROUND(ROUND(F1873,8)*G1873,2)</f>
        <v>62.68</v>
      </c>
    </row>
    <row r="1874" spans="1:10">
      <c r="B1874" s="159">
        <v>88316</v>
      </c>
      <c r="C1874" s="221" t="s">
        <v>626</v>
      </c>
      <c r="D1874" s="159" t="s">
        <v>119</v>
      </c>
      <c r="E1874" s="159" t="s">
        <v>121</v>
      </c>
      <c r="F1874" s="174">
        <v>2</v>
      </c>
      <c r="G1874" s="160">
        <v>23.75</v>
      </c>
      <c r="H1874" s="160">
        <f>ROUND(ROUND(F1874,8)*G1874,2)</f>
        <v>47.5</v>
      </c>
    </row>
    <row r="1875" spans="1:10">
      <c r="B1875" s="222"/>
      <c r="C1875" s="222"/>
      <c r="D1875" s="222"/>
      <c r="E1875" s="222"/>
      <c r="F1875" s="630" t="s">
        <v>585</v>
      </c>
      <c r="G1875" s="630"/>
      <c r="H1875" s="102">
        <f>H1873+H1874</f>
        <v>110.18</v>
      </c>
    </row>
    <row r="1876" spans="1:10">
      <c r="B1876" s="222"/>
      <c r="C1876" s="222"/>
      <c r="D1876" s="222"/>
      <c r="E1876" s="222"/>
      <c r="F1876" s="630" t="s">
        <v>464</v>
      </c>
      <c r="G1876" s="630"/>
      <c r="H1876" s="102">
        <f>H1871+H1875</f>
        <v>1426.02</v>
      </c>
    </row>
    <row r="1877" spans="1:10">
      <c r="B1877" s="222"/>
      <c r="C1877" s="222"/>
      <c r="D1877" s="222"/>
      <c r="E1877" s="222"/>
      <c r="F1877" s="646"/>
      <c r="G1877" s="646"/>
      <c r="H1877" s="646"/>
    </row>
    <row r="1878" spans="1:10">
      <c r="B1878" s="245" t="s">
        <v>2544</v>
      </c>
    </row>
    <row r="1880" spans="1:10">
      <c r="A1880" s="178" t="str">
        <f>'3 - PLAN. ORÇAMENTÁRIA'!A385</f>
        <v>4.4.4.2</v>
      </c>
      <c r="B1880" s="178" t="str">
        <f>'3 - PLAN. ORÇAMENTÁRIA'!B385</f>
        <v>CCU 167</v>
      </c>
      <c r="C1880" s="631" t="str">
        <f>'3 - PLAN. ORÇAMENTÁRIA'!C385</f>
        <v>PORTÃO EM GRADIL BELGO NYLOFOR 3D, DE CORRER, INCLUSIVE FERROLHOPS E RODÍZIOS REF. 34.05.300/SP OBRAS</v>
      </c>
      <c r="D1880" s="632"/>
      <c r="E1880" s="632"/>
      <c r="F1880" s="632"/>
      <c r="G1880" s="633"/>
      <c r="H1880" s="131" t="s">
        <v>139</v>
      </c>
      <c r="J1880" s="220" t="str">
        <f>B1895</f>
        <v>Obs: Foi considerado o item 34.05.300 do SP Obras como referência e alterado o material para I09357 da fonte ORSE por similaridade ao que se pede em projeto.</v>
      </c>
    </row>
    <row r="1881" spans="1:10">
      <c r="B1881" s="628" t="s">
        <v>593</v>
      </c>
      <c r="C1881" s="628"/>
      <c r="D1881" s="103" t="s">
        <v>579</v>
      </c>
      <c r="E1881" s="103" t="s">
        <v>580</v>
      </c>
      <c r="F1881" s="103" t="s">
        <v>581</v>
      </c>
      <c r="G1881" s="103" t="s">
        <v>582</v>
      </c>
      <c r="H1881" s="103" t="s">
        <v>583</v>
      </c>
    </row>
    <row r="1882" spans="1:10" ht="25.5">
      <c r="B1882" s="173" t="s">
        <v>3758</v>
      </c>
      <c r="C1882" s="221" t="s">
        <v>3759</v>
      </c>
      <c r="D1882" s="159" t="s">
        <v>158</v>
      </c>
      <c r="E1882" s="159" t="s">
        <v>139</v>
      </c>
      <c r="F1882" s="174">
        <v>1</v>
      </c>
      <c r="G1882" s="160">
        <v>800</v>
      </c>
      <c r="H1882" s="160">
        <f>ROUND(ROUND(F1882,8)*G1882,2)</f>
        <v>800</v>
      </c>
    </row>
    <row r="1883" spans="1:10">
      <c r="B1883" s="225"/>
      <c r="C1883" s="223"/>
      <c r="D1883" s="225"/>
      <c r="E1883" s="225"/>
      <c r="F1883" s="630" t="s">
        <v>604</v>
      </c>
      <c r="G1883" s="630"/>
      <c r="H1883" s="102">
        <f>SUM(H1882:H1882)</f>
        <v>800</v>
      </c>
    </row>
    <row r="1884" spans="1:10">
      <c r="B1884" s="628" t="s">
        <v>584</v>
      </c>
      <c r="C1884" s="628"/>
      <c r="D1884" s="103" t="s">
        <v>579</v>
      </c>
      <c r="E1884" s="103" t="s">
        <v>580</v>
      </c>
      <c r="F1884" s="103" t="s">
        <v>581</v>
      </c>
      <c r="G1884" s="103" t="s">
        <v>582</v>
      </c>
      <c r="H1884" s="103" t="s">
        <v>583</v>
      </c>
    </row>
    <row r="1885" spans="1:10">
      <c r="B1885" s="159">
        <v>88251</v>
      </c>
      <c r="C1885" s="221" t="s">
        <v>667</v>
      </c>
      <c r="D1885" s="159" t="s">
        <v>119</v>
      </c>
      <c r="E1885" s="159" t="s">
        <v>121</v>
      </c>
      <c r="F1885" s="174">
        <v>1.429</v>
      </c>
      <c r="G1885" s="160">
        <v>24.57</v>
      </c>
      <c r="H1885" s="160">
        <f t="shared" ref="H1885:H1888" si="63">ROUND(ROUND(F1885,8)*G1885,2)</f>
        <v>35.11</v>
      </c>
    </row>
    <row r="1886" spans="1:10">
      <c r="B1886" s="159">
        <v>88309</v>
      </c>
      <c r="C1886" s="221" t="s">
        <v>640</v>
      </c>
      <c r="D1886" s="159" t="s">
        <v>119</v>
      </c>
      <c r="E1886" s="159" t="s">
        <v>121</v>
      </c>
      <c r="F1886" s="174">
        <v>1.0069999999999999</v>
      </c>
      <c r="G1886" s="160">
        <v>31.34</v>
      </c>
      <c r="H1886" s="160">
        <f t="shared" si="63"/>
        <v>31.56</v>
      </c>
    </row>
    <row r="1887" spans="1:10">
      <c r="B1887" s="159">
        <v>88315</v>
      </c>
      <c r="C1887" s="221" t="s">
        <v>668</v>
      </c>
      <c r="D1887" s="159" t="s">
        <v>119</v>
      </c>
      <c r="E1887" s="159" t="s">
        <v>121</v>
      </c>
      <c r="F1887" s="174">
        <v>0.47599999999999998</v>
      </c>
      <c r="G1887" s="160">
        <v>31.13</v>
      </c>
      <c r="H1887" s="160">
        <f t="shared" si="63"/>
        <v>14.82</v>
      </c>
    </row>
    <row r="1888" spans="1:10">
      <c r="B1888" s="159">
        <v>88316</v>
      </c>
      <c r="C1888" s="221" t="s">
        <v>626</v>
      </c>
      <c r="D1888" s="159" t="s">
        <v>119</v>
      </c>
      <c r="E1888" s="159" t="s">
        <v>121</v>
      </c>
      <c r="F1888" s="174">
        <v>1.54</v>
      </c>
      <c r="G1888" s="160">
        <v>23.75</v>
      </c>
      <c r="H1888" s="160">
        <f t="shared" si="63"/>
        <v>36.58</v>
      </c>
    </row>
    <row r="1889" spans="1:8">
      <c r="B1889" s="222"/>
      <c r="C1889" s="222"/>
      <c r="D1889" s="222"/>
      <c r="E1889" s="222"/>
      <c r="F1889" s="630" t="s">
        <v>585</v>
      </c>
      <c r="G1889" s="630"/>
      <c r="H1889" s="102">
        <f>SUM(H1885:H1888)</f>
        <v>118.07000000000001</v>
      </c>
    </row>
    <row r="1890" spans="1:8">
      <c r="B1890" s="628" t="s">
        <v>586</v>
      </c>
      <c r="C1890" s="628"/>
      <c r="D1890" s="103" t="s">
        <v>579</v>
      </c>
      <c r="E1890" s="103" t="s">
        <v>580</v>
      </c>
      <c r="F1890" s="103" t="s">
        <v>581</v>
      </c>
      <c r="G1890" s="103" t="s">
        <v>582</v>
      </c>
      <c r="H1890" s="103" t="s">
        <v>583</v>
      </c>
    </row>
    <row r="1891" spans="1:8" ht="25.5">
      <c r="B1891" s="159">
        <v>94965</v>
      </c>
      <c r="C1891" s="221" t="s">
        <v>2800</v>
      </c>
      <c r="D1891" s="159" t="s">
        <v>119</v>
      </c>
      <c r="E1891" s="159" t="s">
        <v>167</v>
      </c>
      <c r="F1891" s="174">
        <v>2.18E-2</v>
      </c>
      <c r="G1891" s="160">
        <v>521.44000000000005</v>
      </c>
      <c r="H1891" s="160">
        <f t="shared" ref="H1891" si="64">ROUND(ROUND(F1891,8)*G1891,2)</f>
        <v>11.37</v>
      </c>
    </row>
    <row r="1892" spans="1:8">
      <c r="B1892" s="222"/>
      <c r="C1892" s="222"/>
      <c r="D1892" s="222"/>
      <c r="E1892" s="222"/>
      <c r="F1892" s="630" t="s">
        <v>587</v>
      </c>
      <c r="G1892" s="630"/>
      <c r="H1892" s="102">
        <f>H1891</f>
        <v>11.37</v>
      </c>
    </row>
    <row r="1893" spans="1:8">
      <c r="B1893" s="222"/>
      <c r="C1893" s="222"/>
      <c r="D1893" s="222"/>
      <c r="E1893" s="222"/>
      <c r="F1893" s="630" t="s">
        <v>464</v>
      </c>
      <c r="G1893" s="630"/>
      <c r="H1893" s="102">
        <f>H1883+H1889+H1892</f>
        <v>929.44</v>
      </c>
    </row>
    <row r="1894" spans="1:8">
      <c r="B1894" s="222"/>
      <c r="C1894" s="222"/>
      <c r="D1894" s="222"/>
      <c r="E1894" s="222"/>
      <c r="F1894" s="226"/>
      <c r="G1894" s="226"/>
      <c r="H1894" s="226"/>
    </row>
    <row r="1895" spans="1:8">
      <c r="B1895" s="245" t="s">
        <v>3760</v>
      </c>
    </row>
    <row r="1896" spans="1:8">
      <c r="B1896" s="245"/>
    </row>
    <row r="1897" spans="1:8">
      <c r="A1897" s="178" t="str">
        <f>'3 - PLAN. ORÇAMENTÁRIA'!A189</f>
        <v>4.1.2.1.16</v>
      </c>
      <c r="B1897" s="178" t="str">
        <f>'3 - PLAN. ORÇAMENTÁRIA'!B189</f>
        <v>CCU 049</v>
      </c>
      <c r="C1897" s="631" t="str">
        <f>'3 - PLAN. ORÇAMENTÁRIA'!C189</f>
        <v>PAINEL RIPADO EM MDF - FIXAÇÃO EM PORTAS E PAREDES - FORNECIMENTO E INSTALAÇÃO REF. 23.08.110/SP OBRAS</v>
      </c>
      <c r="D1897" s="632"/>
      <c r="E1897" s="632"/>
      <c r="F1897" s="632"/>
      <c r="G1897" s="633"/>
      <c r="H1897" s="282" t="str">
        <f>'3 - PLAN. ORÇAMENTÁRIA'!E189</f>
        <v>M2</v>
      </c>
    </row>
    <row r="1898" spans="1:8">
      <c r="B1898" s="628" t="s">
        <v>593</v>
      </c>
      <c r="C1898" s="628"/>
      <c r="D1898" s="103" t="s">
        <v>579</v>
      </c>
      <c r="E1898" s="103" t="s">
        <v>580</v>
      </c>
      <c r="F1898" s="103" t="s">
        <v>581</v>
      </c>
      <c r="G1898" s="103" t="s">
        <v>582</v>
      </c>
      <c r="H1898" s="103" t="s">
        <v>583</v>
      </c>
    </row>
    <row r="1899" spans="1:8">
      <c r="B1899" s="130" t="s">
        <v>2846</v>
      </c>
      <c r="C1899" s="229" t="s">
        <v>2847</v>
      </c>
      <c r="D1899" s="130" t="s">
        <v>592</v>
      </c>
      <c r="E1899" s="159" t="s">
        <v>200</v>
      </c>
      <c r="F1899" s="230">
        <v>0.28000000000000003</v>
      </c>
      <c r="G1899" s="281">
        <v>67.84</v>
      </c>
      <c r="H1899" s="160">
        <f>ROUND(ROUND(F1899,8)*G1899,2)</f>
        <v>19</v>
      </c>
    </row>
    <row r="1900" spans="1:8">
      <c r="B1900" s="130" t="str">
        <f>'6 - COTAÇÃO MERCADO'!B104</f>
        <v>COT 01.012</v>
      </c>
      <c r="C1900" s="229" t="str">
        <f>'6 - COTAÇÃO MERCADO'!C104</f>
        <v>PAINEL RIPADO EM MDF - FIXAÇÃO EM PORTAS E PAREDES (CHAPAS DE 1,34 x 2,50 m)</v>
      </c>
      <c r="D1900" s="130" t="s">
        <v>1881</v>
      </c>
      <c r="E1900" s="159" t="str">
        <f>'6 - COTAÇÃO MERCADO'!E104</f>
        <v>UN</v>
      </c>
      <c r="F1900" s="230">
        <v>0.29851</v>
      </c>
      <c r="G1900" s="281">
        <f>'6 - COTAÇÃO MERCADO'!D104</f>
        <v>719.96</v>
      </c>
      <c r="H1900" s="160">
        <f t="shared" ref="H1900:H1901" si="65">ROUND(ROUND(F1900,8)*G1900,2)</f>
        <v>214.92</v>
      </c>
    </row>
    <row r="1901" spans="1:8">
      <c r="B1901" s="130" t="s">
        <v>1151</v>
      </c>
      <c r="C1901" s="229" t="s">
        <v>2218</v>
      </c>
      <c r="D1901" s="130" t="s">
        <v>592</v>
      </c>
      <c r="E1901" s="159" t="s">
        <v>1048</v>
      </c>
      <c r="F1901" s="230">
        <v>4</v>
      </c>
      <c r="G1901" s="281">
        <v>0.47</v>
      </c>
      <c r="H1901" s="160">
        <f t="shared" si="65"/>
        <v>1.88</v>
      </c>
    </row>
    <row r="1902" spans="1:8">
      <c r="B1902" s="222"/>
      <c r="C1902" s="222"/>
      <c r="D1902" s="222"/>
      <c r="E1902" s="222"/>
      <c r="F1902" s="630" t="s">
        <v>604</v>
      </c>
      <c r="G1902" s="630"/>
      <c r="H1902" s="102">
        <f>SUM(H1899:H1901)</f>
        <v>235.79999999999998</v>
      </c>
    </row>
    <row r="1903" spans="1:8">
      <c r="B1903" s="628" t="s">
        <v>584</v>
      </c>
      <c r="C1903" s="628"/>
      <c r="D1903" s="103" t="s">
        <v>579</v>
      </c>
      <c r="E1903" s="103" t="s">
        <v>580</v>
      </c>
      <c r="F1903" s="103" t="s">
        <v>581</v>
      </c>
      <c r="G1903" s="103" t="s">
        <v>582</v>
      </c>
      <c r="H1903" s="103" t="s">
        <v>583</v>
      </c>
    </row>
    <row r="1904" spans="1:8">
      <c r="B1904" s="159">
        <v>88239</v>
      </c>
      <c r="C1904" s="221" t="s">
        <v>617</v>
      </c>
      <c r="D1904" s="159" t="s">
        <v>119</v>
      </c>
      <c r="E1904" s="159" t="s">
        <v>121</v>
      </c>
      <c r="F1904" s="174">
        <v>1</v>
      </c>
      <c r="G1904" s="160">
        <v>24.4</v>
      </c>
      <c r="H1904" s="160">
        <f>ROUND(ROUND(F1904,8)*G1904,2)</f>
        <v>24.4</v>
      </c>
    </row>
    <row r="1905" spans="1:8">
      <c r="B1905" s="159">
        <v>88262</v>
      </c>
      <c r="C1905" s="221" t="s">
        <v>618</v>
      </c>
      <c r="D1905" s="159" t="s">
        <v>119</v>
      </c>
      <c r="E1905" s="159" t="s">
        <v>121</v>
      </c>
      <c r="F1905" s="174">
        <v>1</v>
      </c>
      <c r="G1905" s="160">
        <v>30.91</v>
      </c>
      <c r="H1905" s="160">
        <f>ROUND(ROUND(F1905,8)*G1905,2)</f>
        <v>30.91</v>
      </c>
    </row>
    <row r="1906" spans="1:8">
      <c r="B1906" s="222"/>
      <c r="C1906" s="222"/>
      <c r="D1906" s="222"/>
      <c r="E1906" s="222"/>
      <c r="F1906" s="630" t="s">
        <v>585</v>
      </c>
      <c r="G1906" s="630"/>
      <c r="H1906" s="102">
        <f>H1904+H1905</f>
        <v>55.31</v>
      </c>
    </row>
    <row r="1907" spans="1:8">
      <c r="B1907" s="222"/>
      <c r="C1907" s="222"/>
      <c r="D1907" s="222"/>
      <c r="E1907" s="222"/>
      <c r="F1907" s="630" t="s">
        <v>464</v>
      </c>
      <c r="G1907" s="630"/>
      <c r="H1907" s="102">
        <f>H1902+H1906</f>
        <v>291.11</v>
      </c>
    </row>
    <row r="1908" spans="1:8">
      <c r="B1908" s="222"/>
      <c r="C1908" s="222"/>
      <c r="D1908" s="222"/>
      <c r="E1908" s="222"/>
      <c r="F1908" s="646"/>
      <c r="G1908" s="646"/>
      <c r="H1908" s="646"/>
    </row>
    <row r="1909" spans="1:8">
      <c r="B1909" s="245" t="s">
        <v>2544</v>
      </c>
    </row>
    <row r="1911" spans="1:8">
      <c r="A1911" s="178" t="str">
        <f>'3 - PLAN. ORÇAMENTÁRIA'!A305</f>
        <v>4.2.7</v>
      </c>
      <c r="B1911" s="178" t="str">
        <f>'3 - PLAN. ORÇAMENTÁRIA'!B305</f>
        <v>CCU 026</v>
      </c>
      <c r="C1911" s="638" t="str">
        <f>'3 - PLAN. ORÇAMENTÁRIA'!C305</f>
        <v>PLACA DE IDENTIFICAÇÃO EM PVC COM TEXTO/DESENHOS EM VINIL, 2 MM, PARA VISOS E PROIBIÇÕES (VARIADAS) REF. 97.02.036/SP OBRAS</v>
      </c>
      <c r="D1911" s="632"/>
      <c r="E1911" s="632"/>
      <c r="F1911" s="632"/>
      <c r="G1911" s="633"/>
      <c r="H1911" s="290" t="str">
        <f>'3 - PLAN. ORÇAMENTÁRIA'!E305</f>
        <v>M2</v>
      </c>
    </row>
    <row r="1912" spans="1:8">
      <c r="B1912" s="628" t="s">
        <v>593</v>
      </c>
      <c r="C1912" s="628"/>
      <c r="D1912" s="103" t="s">
        <v>579</v>
      </c>
      <c r="E1912" s="103" t="s">
        <v>580</v>
      </c>
      <c r="F1912" s="103" t="s">
        <v>581</v>
      </c>
      <c r="G1912" s="103" t="s">
        <v>582</v>
      </c>
      <c r="H1912" s="103" t="s">
        <v>583</v>
      </c>
    </row>
    <row r="1913" spans="1:8">
      <c r="B1913" s="159" t="s">
        <v>775</v>
      </c>
      <c r="C1913" s="221" t="s">
        <v>776</v>
      </c>
      <c r="D1913" s="159" t="s">
        <v>592</v>
      </c>
      <c r="E1913" s="159" t="s">
        <v>139</v>
      </c>
      <c r="F1913" s="174">
        <v>1</v>
      </c>
      <c r="G1913" s="160">
        <v>230.87</v>
      </c>
      <c r="H1913" s="160">
        <f>ROUND(ROUND(F1913,8)*G1913,2)</f>
        <v>230.87</v>
      </c>
    </row>
    <row r="1914" spans="1:8">
      <c r="B1914" s="222"/>
      <c r="C1914" s="222"/>
      <c r="D1914" s="222"/>
      <c r="E1914" s="222"/>
      <c r="F1914" s="630" t="s">
        <v>604</v>
      </c>
      <c r="G1914" s="630"/>
      <c r="H1914" s="102">
        <f>H1913</f>
        <v>230.87</v>
      </c>
    </row>
    <row r="1915" spans="1:8">
      <c r="B1915" s="628" t="s">
        <v>584</v>
      </c>
      <c r="C1915" s="628"/>
      <c r="D1915" s="103" t="s">
        <v>579</v>
      </c>
      <c r="E1915" s="103" t="s">
        <v>580</v>
      </c>
      <c r="F1915" s="103" t="s">
        <v>581</v>
      </c>
      <c r="G1915" s="103" t="s">
        <v>582</v>
      </c>
      <c r="H1915" s="103" t="s">
        <v>583</v>
      </c>
    </row>
    <row r="1916" spans="1:8">
      <c r="B1916" s="159">
        <v>88241</v>
      </c>
      <c r="C1916" s="221" t="s">
        <v>998</v>
      </c>
      <c r="D1916" s="159" t="s">
        <v>119</v>
      </c>
      <c r="E1916" s="159" t="s">
        <v>121</v>
      </c>
      <c r="F1916" s="174">
        <v>2</v>
      </c>
      <c r="G1916" s="160">
        <v>24.49</v>
      </c>
      <c r="H1916" s="160">
        <f>ROUND(ROUND(F1916,8)*G1916,2)</f>
        <v>48.98</v>
      </c>
    </row>
    <row r="1917" spans="1:8">
      <c r="B1917" s="159">
        <v>88309</v>
      </c>
      <c r="C1917" s="221" t="s">
        <v>640</v>
      </c>
      <c r="D1917" s="159" t="s">
        <v>119</v>
      </c>
      <c r="E1917" s="159" t="s">
        <v>121</v>
      </c>
      <c r="F1917" s="174">
        <v>2</v>
      </c>
      <c r="G1917" s="160">
        <v>31.34</v>
      </c>
      <c r="H1917" s="160">
        <f>ROUND(ROUND(F1917,8)*G1917,2)</f>
        <v>62.68</v>
      </c>
    </row>
    <row r="1918" spans="1:8">
      <c r="B1918" s="289"/>
      <c r="C1918" s="223"/>
      <c r="D1918" s="289"/>
      <c r="E1918" s="289"/>
      <c r="F1918" s="630" t="s">
        <v>2146</v>
      </c>
      <c r="G1918" s="630" t="s">
        <v>2137</v>
      </c>
      <c r="H1918" s="102">
        <f>SUM(H1916:H1917)</f>
        <v>111.66</v>
      </c>
    </row>
    <row r="1919" spans="1:8">
      <c r="B1919" s="222"/>
      <c r="C1919" s="222"/>
      <c r="D1919" s="222"/>
      <c r="E1919" s="222"/>
      <c r="F1919" s="645" t="s">
        <v>464</v>
      </c>
      <c r="G1919" s="645"/>
      <c r="H1919" s="158">
        <f>H1918+H1914</f>
        <v>342.53</v>
      </c>
    </row>
    <row r="1921" spans="1:8">
      <c r="B1921" s="245" t="s">
        <v>2544</v>
      </c>
    </row>
    <row r="1923" spans="1:8">
      <c r="A1923" s="178" t="str">
        <f>'3 - PLAN. ORÇAMENTÁRIA'!A228</f>
        <v>4.1.5.2.1.3</v>
      </c>
      <c r="B1923" s="178" t="str">
        <f>'3 - PLAN. ORÇAMENTÁRIA'!B228</f>
        <v>CCU 100</v>
      </c>
      <c r="C1923" s="638" t="str">
        <f>'3 - PLAN. ORÇAMENTÁRIA'!C228</f>
        <v>TELA DE ACO SOLDADA GALVANIZADA/ZINCADA PARA ALVENARIA, FIO D = *1,24 MM, MALHA 25 X 25 MM (LIGAÇÃO ENTRE ALVENARIA E PILAR METÁLICO) REF. 32.20.060/SP OBRAS</v>
      </c>
      <c r="D1923" s="632"/>
      <c r="E1923" s="632"/>
      <c r="F1923" s="632"/>
      <c r="G1923" s="633"/>
      <c r="H1923" s="298" t="str">
        <f>'3 - PLAN. ORÇAMENTÁRIA'!E228</f>
        <v>M2</v>
      </c>
    </row>
    <row r="1924" spans="1:8">
      <c r="B1924" s="628" t="s">
        <v>593</v>
      </c>
      <c r="C1924" s="628"/>
      <c r="D1924" s="103" t="s">
        <v>579</v>
      </c>
      <c r="E1924" s="103" t="s">
        <v>580</v>
      </c>
      <c r="F1924" s="103" t="s">
        <v>581</v>
      </c>
      <c r="G1924" s="103" t="s">
        <v>582</v>
      </c>
      <c r="H1924" s="103" t="s">
        <v>583</v>
      </c>
    </row>
    <row r="1925" spans="1:8">
      <c r="B1925" s="173" t="s">
        <v>2876</v>
      </c>
      <c r="C1925" s="221" t="s">
        <v>2877</v>
      </c>
      <c r="D1925" s="159" t="s">
        <v>119</v>
      </c>
      <c r="E1925" s="159" t="s">
        <v>139</v>
      </c>
      <c r="F1925" s="174">
        <v>1.1000000000000001</v>
      </c>
      <c r="G1925" s="160">
        <v>17.93</v>
      </c>
      <c r="H1925" s="160">
        <f>ROUND(ROUND(F1925,8)*G1925,2)</f>
        <v>19.72</v>
      </c>
    </row>
    <row r="1926" spans="1:8">
      <c r="B1926" s="222"/>
      <c r="C1926" s="222"/>
      <c r="D1926" s="222"/>
      <c r="E1926" s="222"/>
      <c r="F1926" s="630" t="s">
        <v>604</v>
      </c>
      <c r="G1926" s="630"/>
      <c r="H1926" s="102">
        <f>H1925</f>
        <v>19.72</v>
      </c>
    </row>
    <row r="1927" spans="1:8">
      <c r="B1927" s="628" t="s">
        <v>584</v>
      </c>
      <c r="C1927" s="628"/>
      <c r="D1927" s="103" t="s">
        <v>579</v>
      </c>
      <c r="E1927" s="103" t="s">
        <v>580</v>
      </c>
      <c r="F1927" s="103" t="s">
        <v>581</v>
      </c>
      <c r="G1927" s="103" t="s">
        <v>582</v>
      </c>
      <c r="H1927" s="103" t="s">
        <v>583</v>
      </c>
    </row>
    <row r="1928" spans="1:8">
      <c r="B1928" s="159">
        <v>88316</v>
      </c>
      <c r="C1928" s="221" t="s">
        <v>626</v>
      </c>
      <c r="D1928" s="159" t="s">
        <v>119</v>
      </c>
      <c r="E1928" s="159" t="s">
        <v>121</v>
      </c>
      <c r="F1928" s="174">
        <v>0.2</v>
      </c>
      <c r="G1928" s="160">
        <v>23.75</v>
      </c>
      <c r="H1928" s="160">
        <f>ROUND(ROUND(F1928,8)*G1928,2)</f>
        <v>4.75</v>
      </c>
    </row>
    <row r="1929" spans="1:8">
      <c r="B1929" s="297"/>
      <c r="C1929" s="223"/>
      <c r="D1929" s="297"/>
      <c r="E1929" s="297"/>
      <c r="F1929" s="630" t="s">
        <v>2146</v>
      </c>
      <c r="G1929" s="630" t="s">
        <v>2137</v>
      </c>
      <c r="H1929" s="102">
        <f>H1928</f>
        <v>4.75</v>
      </c>
    </row>
    <row r="1930" spans="1:8">
      <c r="B1930" s="222"/>
      <c r="C1930" s="222"/>
      <c r="D1930" s="222"/>
      <c r="E1930" s="222"/>
      <c r="F1930" s="645" t="s">
        <v>464</v>
      </c>
      <c r="G1930" s="645"/>
      <c r="H1930" s="158">
        <f>H1929+H1926</f>
        <v>24.47</v>
      </c>
    </row>
    <row r="1932" spans="1:8">
      <c r="B1932" s="245" t="s">
        <v>2544</v>
      </c>
    </row>
    <row r="1934" spans="1:8">
      <c r="A1934" s="178" t="str">
        <f>'3 - PLAN. ORÇAMENTÁRIA'!A242</f>
        <v>4.1.5.2.2.2</v>
      </c>
      <c r="B1934" s="178" t="str">
        <f>'3 - PLAN. ORÇAMENTÁRIA'!B242</f>
        <v>CCU 166</v>
      </c>
      <c r="C1934" s="638" t="str">
        <f>'3 - PLAN. ORÇAMENTÁRIA'!C242</f>
        <v>TELA DE ACO SOLDADA GALVANIZADA/ZINCADA PARA ALVENARIA, FIO D = *1,24 MM, MALHA 25 X 25 MM (LIGAÇÃO ENTRE ALVENARIA, PILARES  E VIGAS METÁLICOS) REF. 32.20.060/SP OBRAS</v>
      </c>
      <c r="D1934" s="632"/>
      <c r="E1934" s="632"/>
      <c r="F1934" s="632"/>
      <c r="G1934" s="633"/>
      <c r="H1934" s="298" t="str">
        <f>'3 - PLAN. ORÇAMENTÁRIA'!E242</f>
        <v>M2</v>
      </c>
    </row>
    <row r="1935" spans="1:8">
      <c r="B1935" s="628" t="s">
        <v>593</v>
      </c>
      <c r="C1935" s="628"/>
      <c r="D1935" s="103" t="s">
        <v>579</v>
      </c>
      <c r="E1935" s="103" t="s">
        <v>580</v>
      </c>
      <c r="F1935" s="103" t="s">
        <v>581</v>
      </c>
      <c r="G1935" s="103" t="s">
        <v>582</v>
      </c>
      <c r="H1935" s="103" t="s">
        <v>583</v>
      </c>
    </row>
    <row r="1936" spans="1:8">
      <c r="B1936" s="173" t="s">
        <v>2876</v>
      </c>
      <c r="C1936" s="221" t="s">
        <v>2877</v>
      </c>
      <c r="D1936" s="159" t="s">
        <v>119</v>
      </c>
      <c r="E1936" s="159" t="s">
        <v>139</v>
      </c>
      <c r="F1936" s="174">
        <v>1.1000000000000001</v>
      </c>
      <c r="G1936" s="160">
        <v>17.93</v>
      </c>
      <c r="H1936" s="160">
        <f>ROUND(ROUND(F1936,8)*G1936,2)</f>
        <v>19.72</v>
      </c>
    </row>
    <row r="1937" spans="1:8">
      <c r="B1937" s="222"/>
      <c r="C1937" s="222"/>
      <c r="D1937" s="222"/>
      <c r="E1937" s="222"/>
      <c r="F1937" s="630" t="s">
        <v>604</v>
      </c>
      <c r="G1937" s="630"/>
      <c r="H1937" s="102">
        <f>H1936</f>
        <v>19.72</v>
      </c>
    </row>
    <row r="1938" spans="1:8">
      <c r="B1938" s="628" t="s">
        <v>584</v>
      </c>
      <c r="C1938" s="628"/>
      <c r="D1938" s="103" t="s">
        <v>579</v>
      </c>
      <c r="E1938" s="103" t="s">
        <v>580</v>
      </c>
      <c r="F1938" s="103" t="s">
        <v>581</v>
      </c>
      <c r="G1938" s="103" t="s">
        <v>582</v>
      </c>
      <c r="H1938" s="103" t="s">
        <v>583</v>
      </c>
    </row>
    <row r="1939" spans="1:8">
      <c r="B1939" s="159">
        <v>88316</v>
      </c>
      <c r="C1939" s="221" t="s">
        <v>626</v>
      </c>
      <c r="D1939" s="159" t="s">
        <v>119</v>
      </c>
      <c r="E1939" s="159" t="s">
        <v>121</v>
      </c>
      <c r="F1939" s="174">
        <v>0.2</v>
      </c>
      <c r="G1939" s="160">
        <v>23.75</v>
      </c>
      <c r="H1939" s="160">
        <f>ROUND(ROUND(F1939,8)*G1939,2)</f>
        <v>4.75</v>
      </c>
    </row>
    <row r="1940" spans="1:8">
      <c r="B1940" s="297"/>
      <c r="C1940" s="223"/>
      <c r="D1940" s="297"/>
      <c r="E1940" s="297"/>
      <c r="F1940" s="630" t="s">
        <v>2146</v>
      </c>
      <c r="G1940" s="630" t="s">
        <v>2137</v>
      </c>
      <c r="H1940" s="102">
        <f>H1939</f>
        <v>4.75</v>
      </c>
    </row>
    <row r="1941" spans="1:8">
      <c r="B1941" s="222"/>
      <c r="C1941" s="222"/>
      <c r="D1941" s="222"/>
      <c r="E1941" s="222"/>
      <c r="F1941" s="645" t="s">
        <v>464</v>
      </c>
      <c r="G1941" s="645"/>
      <c r="H1941" s="158">
        <f>H1940+H1937</f>
        <v>24.47</v>
      </c>
    </row>
    <row r="1943" spans="1:8">
      <c r="B1943" s="245" t="s">
        <v>2544</v>
      </c>
    </row>
    <row r="1944" spans="1:8">
      <c r="B1944" s="245"/>
    </row>
    <row r="1945" spans="1:8">
      <c r="A1945" s="178" t="str">
        <f>'3 - PLAN. ORÇAMENTÁRIA'!A370</f>
        <v>4.4.1.4.8</v>
      </c>
      <c r="B1945" s="178" t="str">
        <f>'3 - PLAN. ORÇAMENTÁRIA'!B370</f>
        <v>CCU 099</v>
      </c>
      <c r="C1945" s="631" t="str">
        <f>'3 - PLAN. ORÇAMENTÁRIA'!C370</f>
        <v>SINALIZAÇÃO COM PICTOGRAMA PARA VAGA DE ESTACIONAMENTO (DEFICIENTE, IDOSO, GESTANTE) REF. 30.06.100/SP OBRAS</v>
      </c>
      <c r="D1945" s="632"/>
      <c r="E1945" s="632"/>
      <c r="F1945" s="632"/>
      <c r="G1945" s="633"/>
      <c r="H1945" s="315" t="str">
        <f>'3 - PLAN. ORÇAMENTÁRIA'!E370</f>
        <v>UN</v>
      </c>
    </row>
    <row r="1946" spans="1:8">
      <c r="B1946" s="628" t="s">
        <v>593</v>
      </c>
      <c r="C1946" s="628"/>
      <c r="D1946" s="103" t="s">
        <v>579</v>
      </c>
      <c r="E1946" s="103" t="s">
        <v>580</v>
      </c>
      <c r="F1946" s="103" t="s">
        <v>581</v>
      </c>
      <c r="G1946" s="103" t="s">
        <v>582</v>
      </c>
      <c r="H1946" s="103" t="s">
        <v>583</v>
      </c>
    </row>
    <row r="1947" spans="1:8">
      <c r="B1947" s="159" t="s">
        <v>2997</v>
      </c>
      <c r="C1947" s="221" t="s">
        <v>2998</v>
      </c>
      <c r="D1947" s="159" t="s">
        <v>592</v>
      </c>
      <c r="E1947" s="159" t="s">
        <v>107</v>
      </c>
      <c r="F1947" s="174">
        <v>0.5</v>
      </c>
      <c r="G1947" s="160">
        <v>20.41</v>
      </c>
      <c r="H1947" s="160">
        <f>ROUND(ROUND(F1947,8)*G1947,2)</f>
        <v>10.210000000000001</v>
      </c>
    </row>
    <row r="1948" spans="1:8">
      <c r="B1948" s="173" t="s">
        <v>1529</v>
      </c>
      <c r="C1948" s="221" t="s">
        <v>1530</v>
      </c>
      <c r="D1948" s="159" t="s">
        <v>119</v>
      </c>
      <c r="E1948" s="159" t="s">
        <v>1048</v>
      </c>
      <c r="F1948" s="174">
        <v>0.15</v>
      </c>
      <c r="G1948" s="160">
        <v>10.52</v>
      </c>
      <c r="H1948" s="160">
        <f t="shared" ref="H1948:H1950" si="66">ROUND(ROUND(F1948,8)*G1948,2)</f>
        <v>1.58</v>
      </c>
    </row>
    <row r="1949" spans="1:8" ht="25.5">
      <c r="B1949" s="159" t="s">
        <v>2999</v>
      </c>
      <c r="C1949" s="221" t="s">
        <v>3000</v>
      </c>
      <c r="D1949" s="159" t="s">
        <v>592</v>
      </c>
      <c r="E1949" s="159" t="s">
        <v>1048</v>
      </c>
      <c r="F1949" s="174">
        <v>0.35</v>
      </c>
      <c r="G1949" s="160">
        <v>264.06</v>
      </c>
      <c r="H1949" s="160">
        <f t="shared" si="66"/>
        <v>92.42</v>
      </c>
    </row>
    <row r="1950" spans="1:8">
      <c r="B1950" s="173" t="s">
        <v>3001</v>
      </c>
      <c r="C1950" s="221" t="s">
        <v>3002</v>
      </c>
      <c r="D1950" s="159" t="s">
        <v>592</v>
      </c>
      <c r="E1950" s="159" t="s">
        <v>107</v>
      </c>
      <c r="F1950" s="174">
        <v>1.45</v>
      </c>
      <c r="G1950" s="160">
        <v>27.85</v>
      </c>
      <c r="H1950" s="160">
        <f t="shared" si="66"/>
        <v>40.380000000000003</v>
      </c>
    </row>
    <row r="1951" spans="1:8">
      <c r="B1951" s="222"/>
      <c r="C1951" s="222"/>
      <c r="D1951" s="222"/>
      <c r="E1951" s="222"/>
      <c r="F1951" s="630" t="s">
        <v>604</v>
      </c>
      <c r="G1951" s="630"/>
      <c r="H1951" s="102">
        <f>SUM(H1947:H1950)</f>
        <v>144.59</v>
      </c>
    </row>
    <row r="1952" spans="1:8">
      <c r="B1952" s="628" t="s">
        <v>584</v>
      </c>
      <c r="C1952" s="628"/>
      <c r="D1952" s="103" t="s">
        <v>579</v>
      </c>
      <c r="E1952" s="103" t="s">
        <v>580</v>
      </c>
      <c r="F1952" s="103" t="s">
        <v>581</v>
      </c>
      <c r="G1952" s="103" t="s">
        <v>582</v>
      </c>
      <c r="H1952" s="103" t="s">
        <v>583</v>
      </c>
    </row>
    <row r="1953" spans="1:8">
      <c r="B1953" s="159">
        <v>100301</v>
      </c>
      <c r="C1953" s="221" t="s">
        <v>1000</v>
      </c>
      <c r="D1953" s="159" t="s">
        <v>119</v>
      </c>
      <c r="E1953" s="159" t="s">
        <v>121</v>
      </c>
      <c r="F1953" s="174">
        <v>1.75</v>
      </c>
      <c r="G1953" s="160">
        <v>26.43</v>
      </c>
      <c r="H1953" s="160">
        <f>ROUND(ROUND(F1953,8)*G1953,2)</f>
        <v>46.25</v>
      </c>
    </row>
    <row r="1954" spans="1:8">
      <c r="B1954" s="159">
        <v>88310</v>
      </c>
      <c r="C1954" s="221" t="s">
        <v>663</v>
      </c>
      <c r="D1954" s="159" t="s">
        <v>119</v>
      </c>
      <c r="E1954" s="159" t="s">
        <v>121</v>
      </c>
      <c r="F1954" s="174">
        <v>1.75</v>
      </c>
      <c r="G1954" s="160">
        <v>33.01</v>
      </c>
      <c r="H1954" s="160">
        <f>ROUND(ROUND(F1954,8)*G1954,2)</f>
        <v>57.77</v>
      </c>
    </row>
    <row r="1955" spans="1:8">
      <c r="B1955" s="222"/>
      <c r="C1955" s="222"/>
      <c r="D1955" s="222"/>
      <c r="E1955" s="222"/>
      <c r="F1955" s="630" t="s">
        <v>585</v>
      </c>
      <c r="G1955" s="630"/>
      <c r="H1955" s="102">
        <f>H1953+H1954</f>
        <v>104.02000000000001</v>
      </c>
    </row>
    <row r="1956" spans="1:8">
      <c r="B1956" s="222"/>
      <c r="C1956" s="222"/>
      <c r="D1956" s="222"/>
      <c r="E1956" s="222"/>
      <c r="F1956" s="630" t="s">
        <v>464</v>
      </c>
      <c r="G1956" s="630"/>
      <c r="H1956" s="102">
        <f>H1951+H1955</f>
        <v>248.61</v>
      </c>
    </row>
    <row r="1958" spans="1:8">
      <c r="B1958" s="245" t="s">
        <v>2544</v>
      </c>
    </row>
    <row r="1960" spans="1:8">
      <c r="A1960" s="178" t="str">
        <f>'3 - PLAN. ORÇAMENTÁRIA'!A179</f>
        <v>4.1.2.1.6</v>
      </c>
      <c r="B1960" s="178" t="str">
        <f>'3 - PLAN. ORÇAMENTÁRIA'!B179</f>
        <v>CCU 142</v>
      </c>
      <c r="C1960" s="631" t="str">
        <f>'3 - PLAN. ORÇAMENTÁRIA'!C179</f>
        <v>PORTA DE CORRER EM ALUMÍNIO COM PINTURA ELETROSTÁTICA, SOB MEDIDA - COR BRANCA REF. 25.02.240/SP OBRAS</v>
      </c>
      <c r="D1960" s="632"/>
      <c r="E1960" s="632"/>
      <c r="F1960" s="632"/>
      <c r="G1960" s="633"/>
      <c r="H1960" s="348" t="str">
        <f>'3 - PLAN. ORÇAMENTÁRIA'!E179</f>
        <v>M2</v>
      </c>
    </row>
    <row r="1961" spans="1:8">
      <c r="B1961" s="628" t="s">
        <v>593</v>
      </c>
      <c r="C1961" s="628"/>
      <c r="D1961" s="103" t="s">
        <v>579</v>
      </c>
      <c r="E1961" s="103" t="s">
        <v>580</v>
      </c>
      <c r="F1961" s="103" t="s">
        <v>581</v>
      </c>
      <c r="G1961" s="103" t="s">
        <v>582</v>
      </c>
      <c r="H1961" s="103" t="s">
        <v>583</v>
      </c>
    </row>
    <row r="1962" spans="1:8">
      <c r="B1962" s="239" t="s">
        <v>3357</v>
      </c>
      <c r="C1962" s="229" t="s">
        <v>3358</v>
      </c>
      <c r="D1962" s="130" t="s">
        <v>158</v>
      </c>
      <c r="E1962" s="159" t="s">
        <v>167</v>
      </c>
      <c r="F1962" s="230">
        <v>9.1000000000000004E-3</v>
      </c>
      <c r="G1962" s="347">
        <v>102.5</v>
      </c>
      <c r="H1962" s="160">
        <f>ROUND(ROUND(F1962,8)*G1962,2)</f>
        <v>0.93</v>
      </c>
    </row>
    <row r="1963" spans="1:8">
      <c r="B1963" s="239" t="s">
        <v>646</v>
      </c>
      <c r="C1963" s="229" t="s">
        <v>3248</v>
      </c>
      <c r="D1963" s="130" t="s">
        <v>119</v>
      </c>
      <c r="E1963" s="159" t="s">
        <v>200</v>
      </c>
      <c r="F1963" s="230">
        <v>3.9260000000000002</v>
      </c>
      <c r="G1963" s="347">
        <v>0.65</v>
      </c>
      <c r="H1963" s="160">
        <f>ROUND(ROUND(F1963,8)*G1963,2)</f>
        <v>2.5499999999999998</v>
      </c>
    </row>
    <row r="1964" spans="1:8">
      <c r="B1964" s="239" t="s">
        <v>3359</v>
      </c>
      <c r="C1964" s="229" t="s">
        <v>3360</v>
      </c>
      <c r="D1964" s="130" t="s">
        <v>592</v>
      </c>
      <c r="E1964" s="159" t="s">
        <v>139</v>
      </c>
      <c r="F1964" s="230">
        <v>1</v>
      </c>
      <c r="G1964" s="347">
        <v>926.4</v>
      </c>
      <c r="H1964" s="160">
        <f>ROUND(ROUND(F1964,8)*G1964,2)</f>
        <v>926.4</v>
      </c>
    </row>
    <row r="1965" spans="1:8">
      <c r="B1965" s="239" t="s">
        <v>3888</v>
      </c>
      <c r="C1965" s="229" t="s">
        <v>3889</v>
      </c>
      <c r="D1965" s="130" t="s">
        <v>119</v>
      </c>
      <c r="E1965" s="159" t="s">
        <v>1048</v>
      </c>
      <c r="F1965" s="230">
        <v>1</v>
      </c>
      <c r="G1965" s="461">
        <v>140.91</v>
      </c>
      <c r="H1965" s="160">
        <f>ROUND(ROUND(F1965,8)*G1965,2)</f>
        <v>140.91</v>
      </c>
    </row>
    <row r="1966" spans="1:8">
      <c r="B1966" s="222"/>
      <c r="C1966" s="222"/>
      <c r="D1966" s="222"/>
      <c r="E1966" s="222"/>
      <c r="F1966" s="630" t="s">
        <v>604</v>
      </c>
      <c r="G1966" s="630"/>
      <c r="H1966" s="102">
        <f>SUM(H1962:H1965)</f>
        <v>1070.79</v>
      </c>
    </row>
    <row r="1967" spans="1:8">
      <c r="B1967" s="628" t="s">
        <v>584</v>
      </c>
      <c r="C1967" s="628"/>
      <c r="D1967" s="103" t="s">
        <v>579</v>
      </c>
      <c r="E1967" s="103" t="s">
        <v>580</v>
      </c>
      <c r="F1967" s="103" t="s">
        <v>581</v>
      </c>
      <c r="G1967" s="103" t="s">
        <v>582</v>
      </c>
      <c r="H1967" s="103" t="s">
        <v>583</v>
      </c>
    </row>
    <row r="1968" spans="1:8">
      <c r="B1968" s="159">
        <v>88309</v>
      </c>
      <c r="C1968" s="221" t="s">
        <v>640</v>
      </c>
      <c r="D1968" s="159" t="s">
        <v>119</v>
      </c>
      <c r="E1968" s="159" t="s">
        <v>121</v>
      </c>
      <c r="F1968" s="174">
        <v>1.5</v>
      </c>
      <c r="G1968" s="160">
        <v>31.34</v>
      </c>
      <c r="H1968" s="160">
        <f>ROUND(ROUND(F1968,8)*G1968,2)</f>
        <v>47.01</v>
      </c>
    </row>
    <row r="1969" spans="1:8">
      <c r="B1969" s="159">
        <v>88316</v>
      </c>
      <c r="C1969" s="221" t="s">
        <v>626</v>
      </c>
      <c r="D1969" s="159" t="s">
        <v>119</v>
      </c>
      <c r="E1969" s="159" t="s">
        <v>121</v>
      </c>
      <c r="F1969" s="174">
        <v>1.5</v>
      </c>
      <c r="G1969" s="160">
        <v>23.75</v>
      </c>
      <c r="H1969" s="160">
        <f>ROUND(ROUND(F1969,8)*G1969,2)</f>
        <v>35.630000000000003</v>
      </c>
    </row>
    <row r="1970" spans="1:8">
      <c r="B1970" s="222"/>
      <c r="C1970" s="222"/>
      <c r="D1970" s="222"/>
      <c r="E1970" s="222"/>
      <c r="F1970" s="630" t="s">
        <v>585</v>
      </c>
      <c r="G1970" s="630"/>
      <c r="H1970" s="102">
        <f>H1968+H1969</f>
        <v>82.64</v>
      </c>
    </row>
    <row r="1971" spans="1:8">
      <c r="B1971" s="222"/>
      <c r="C1971" s="222"/>
      <c r="D1971" s="222"/>
      <c r="E1971" s="222"/>
      <c r="F1971" s="630" t="s">
        <v>464</v>
      </c>
      <c r="G1971" s="630"/>
      <c r="H1971" s="102">
        <f>H1966+H1970</f>
        <v>1153.43</v>
      </c>
    </row>
    <row r="1973" spans="1:8">
      <c r="A1973" s="178" t="str">
        <f>'3 - PLAN. ORÇAMENTÁRIA'!A330</f>
        <v>4.3.23</v>
      </c>
      <c r="B1973" s="178" t="str">
        <f>'3 - PLAN. ORÇAMENTÁRIA'!B330</f>
        <v>CCU 171</v>
      </c>
      <c r="C1973" s="638" t="str">
        <f>'3 - PLAN. ORÇAMENTÁRIA'!C330</f>
        <v>ARGILA EXPANDIDA REF. 32.06.120/SP OBRAS</v>
      </c>
      <c r="D1973" s="632"/>
      <c r="E1973" s="632"/>
      <c r="F1973" s="632"/>
      <c r="G1973" s="633"/>
      <c r="H1973" s="390" t="str">
        <f>'3 - PLAN. ORÇAMENTÁRIA'!E330</f>
        <v>M3</v>
      </c>
    </row>
    <row r="1974" spans="1:8">
      <c r="B1974" s="628" t="s">
        <v>593</v>
      </c>
      <c r="C1974" s="628"/>
      <c r="D1974" s="103" t="s">
        <v>579</v>
      </c>
      <c r="E1974" s="103" t="s">
        <v>580</v>
      </c>
      <c r="F1974" s="103" t="s">
        <v>581</v>
      </c>
      <c r="G1974" s="103" t="s">
        <v>582</v>
      </c>
      <c r="H1974" s="103" t="s">
        <v>583</v>
      </c>
    </row>
    <row r="1975" spans="1:8">
      <c r="B1975" s="173" t="s">
        <v>3603</v>
      </c>
      <c r="C1975" s="221" t="s">
        <v>3613</v>
      </c>
      <c r="D1975" s="159" t="s">
        <v>119</v>
      </c>
      <c r="E1975" s="159" t="s">
        <v>167</v>
      </c>
      <c r="F1975" s="174">
        <v>1.05</v>
      </c>
      <c r="G1975" s="160">
        <v>747.19</v>
      </c>
      <c r="H1975" s="160">
        <f>ROUND(ROUND(F1975,8)*G1975,2)</f>
        <v>784.55</v>
      </c>
    </row>
    <row r="1976" spans="1:8">
      <c r="B1976" s="222"/>
      <c r="C1976" s="222"/>
      <c r="D1976" s="222"/>
      <c r="E1976" s="222"/>
      <c r="F1976" s="630" t="s">
        <v>604</v>
      </c>
      <c r="G1976" s="630"/>
      <c r="H1976" s="102">
        <f>H1975</f>
        <v>784.55</v>
      </c>
    </row>
    <row r="1977" spans="1:8">
      <c r="B1977" s="628" t="s">
        <v>584</v>
      </c>
      <c r="C1977" s="628"/>
      <c r="D1977" s="103" t="s">
        <v>579</v>
      </c>
      <c r="E1977" s="103" t="s">
        <v>580</v>
      </c>
      <c r="F1977" s="103" t="s">
        <v>581</v>
      </c>
      <c r="G1977" s="103" t="s">
        <v>582</v>
      </c>
      <c r="H1977" s="103" t="s">
        <v>583</v>
      </c>
    </row>
    <row r="1978" spans="1:8">
      <c r="B1978" s="159">
        <v>88316</v>
      </c>
      <c r="C1978" s="221" t="s">
        <v>626</v>
      </c>
      <c r="D1978" s="159" t="s">
        <v>119</v>
      </c>
      <c r="E1978" s="159" t="s">
        <v>121</v>
      </c>
      <c r="F1978" s="174">
        <v>2.8</v>
      </c>
      <c r="G1978" s="160">
        <v>23.75</v>
      </c>
      <c r="H1978" s="160">
        <f>ROUND(ROUND(F1978,8)*G1978,2)</f>
        <v>66.5</v>
      </c>
    </row>
    <row r="1979" spans="1:8">
      <c r="B1979" s="389"/>
      <c r="C1979" s="223"/>
      <c r="D1979" s="389"/>
      <c r="E1979" s="389"/>
      <c r="F1979" s="630" t="s">
        <v>2146</v>
      </c>
      <c r="G1979" s="630" t="s">
        <v>2137</v>
      </c>
      <c r="H1979" s="102">
        <f>H1978</f>
        <v>66.5</v>
      </c>
    </row>
    <row r="1980" spans="1:8">
      <c r="B1980" s="222"/>
      <c r="C1980" s="222"/>
      <c r="D1980" s="222"/>
      <c r="E1980" s="222"/>
      <c r="F1980" s="645" t="s">
        <v>464</v>
      </c>
      <c r="G1980" s="645"/>
      <c r="H1980" s="158">
        <f>H1979+H1976</f>
        <v>851.05</v>
      </c>
    </row>
    <row r="1982" spans="1:8">
      <c r="A1982" s="178" t="str">
        <f>'3 - PLAN. ORÇAMENTÁRIA'!A483</f>
        <v>5.3.3.8</v>
      </c>
      <c r="B1982" s="178" t="str">
        <f>'3 - PLAN. ORÇAMENTÁRIA'!B483</f>
        <v>CCU 176</v>
      </c>
      <c r="C1982" s="638" t="str">
        <f>'3 - PLAN. ORÇAMENTÁRIA'!C483</f>
        <v>CAIXA DE PASSAGEM PARA CONDICIONAMENTO DE AR TIPO SPLIT, COM SAÍDA DE DRENO ÚNICO NA VERTICAL - 39 X 22 X 6 CM REF. 43.20.130/SP OBRAS</v>
      </c>
      <c r="D1982" s="632"/>
      <c r="E1982" s="632"/>
      <c r="F1982" s="632"/>
      <c r="G1982" s="633"/>
      <c r="H1982" s="400" t="str">
        <f>'3 - PLAN. ORÇAMENTÁRIA'!E483</f>
        <v>UN</v>
      </c>
    </row>
    <row r="1983" spans="1:8">
      <c r="B1983" s="628" t="s">
        <v>593</v>
      </c>
      <c r="C1983" s="628"/>
      <c r="D1983" s="103" t="s">
        <v>579</v>
      </c>
      <c r="E1983" s="103" t="s">
        <v>580</v>
      </c>
      <c r="F1983" s="103" t="s">
        <v>581</v>
      </c>
      <c r="G1983" s="103" t="s">
        <v>582</v>
      </c>
      <c r="H1983" s="103" t="s">
        <v>583</v>
      </c>
    </row>
    <row r="1984" spans="1:8" ht="25.5">
      <c r="B1984" s="159" t="s">
        <v>3651</v>
      </c>
      <c r="C1984" s="221" t="s">
        <v>3652</v>
      </c>
      <c r="D1984" s="159" t="s">
        <v>138</v>
      </c>
      <c r="E1984" s="159" t="s">
        <v>1053</v>
      </c>
      <c r="F1984" s="174">
        <v>1</v>
      </c>
      <c r="G1984" s="160">
        <v>29.69</v>
      </c>
      <c r="H1984" s="160">
        <f>ROUND(ROUND(F1984,8)*G1984,2)</f>
        <v>29.69</v>
      </c>
    </row>
    <row r="1985" spans="1:8">
      <c r="B1985" s="222"/>
      <c r="C1985" s="222"/>
      <c r="D1985" s="222"/>
      <c r="E1985" s="222"/>
      <c r="F1985" s="630" t="s">
        <v>604</v>
      </c>
      <c r="G1985" s="630"/>
      <c r="H1985" s="102">
        <f>H1984</f>
        <v>29.69</v>
      </c>
    </row>
    <row r="1986" spans="1:8">
      <c r="B1986" s="628" t="s">
        <v>584</v>
      </c>
      <c r="C1986" s="628"/>
      <c r="D1986" s="103" t="s">
        <v>579</v>
      </c>
      <c r="E1986" s="103" t="s">
        <v>580</v>
      </c>
      <c r="F1986" s="103" t="s">
        <v>581</v>
      </c>
      <c r="G1986" s="103" t="s">
        <v>582</v>
      </c>
      <c r="H1986" s="103" t="s">
        <v>583</v>
      </c>
    </row>
    <row r="1987" spans="1:8">
      <c r="B1987" s="159">
        <v>88309</v>
      </c>
      <c r="C1987" s="221" t="s">
        <v>640</v>
      </c>
      <c r="D1987" s="159" t="s">
        <v>119</v>
      </c>
      <c r="E1987" s="159" t="s">
        <v>121</v>
      </c>
      <c r="F1987" s="174">
        <v>0.3</v>
      </c>
      <c r="G1987" s="160">
        <v>31.34</v>
      </c>
      <c r="H1987" s="160">
        <f>ROUND(ROUND(F1987,8)*G1987,2)</f>
        <v>9.4</v>
      </c>
    </row>
    <row r="1988" spans="1:8">
      <c r="B1988" s="159">
        <v>88316</v>
      </c>
      <c r="C1988" s="221" t="s">
        <v>626</v>
      </c>
      <c r="D1988" s="159" t="s">
        <v>119</v>
      </c>
      <c r="E1988" s="159" t="s">
        <v>121</v>
      </c>
      <c r="F1988" s="174">
        <v>0.3</v>
      </c>
      <c r="G1988" s="160">
        <v>23.75</v>
      </c>
      <c r="H1988" s="160">
        <f>ROUND(ROUND(F1988,8)*G1988,2)</f>
        <v>7.13</v>
      </c>
    </row>
    <row r="1989" spans="1:8">
      <c r="B1989" s="395"/>
      <c r="C1989" s="223"/>
      <c r="D1989" s="395"/>
      <c r="E1989" s="395"/>
      <c r="F1989" s="630" t="s">
        <v>2146</v>
      </c>
      <c r="G1989" s="630" t="s">
        <v>2137</v>
      </c>
      <c r="H1989" s="102">
        <f>SUM(H1987:H1988)</f>
        <v>16.53</v>
      </c>
    </row>
    <row r="1990" spans="1:8">
      <c r="B1990" s="222"/>
      <c r="C1990" s="222"/>
      <c r="D1990" s="222"/>
      <c r="E1990" s="222"/>
      <c r="F1990" s="645" t="s">
        <v>464</v>
      </c>
      <c r="G1990" s="645"/>
      <c r="H1990" s="158">
        <f>H1989+H1985</f>
        <v>46.22</v>
      </c>
    </row>
    <row r="1992" spans="1:8">
      <c r="A1992" s="178" t="str">
        <f>'3 - PLAN. ORÇAMENTÁRIA'!A196</f>
        <v>4.1.3.2</v>
      </c>
      <c r="B1992" s="178" t="str">
        <f>'3 - PLAN. ORÇAMENTÁRIA'!B196</f>
        <v>CCU 048</v>
      </c>
      <c r="C1992" s="631" t="str">
        <f>'3 - PLAN. ORÇAMENTÁRIA'!C196</f>
        <v>CAIXILHO EM ALULMÍNIO COM PINTURA ELETROSTÁTICA, FIXO, SOB MEDIDA - BRANCO (MONTANTES E DIVISÓRIAS INTERNAS) REF. 25.01.500/SP OBRAS</v>
      </c>
      <c r="D1992" s="632"/>
      <c r="E1992" s="632"/>
      <c r="F1992" s="632"/>
      <c r="G1992" s="633"/>
      <c r="H1992" s="460" t="str">
        <f>'3 - PLAN. ORÇAMENTÁRIA'!E196</f>
        <v>M2</v>
      </c>
    </row>
    <row r="1993" spans="1:8">
      <c r="B1993" s="628" t="s">
        <v>593</v>
      </c>
      <c r="C1993" s="628"/>
      <c r="D1993" s="103" t="s">
        <v>579</v>
      </c>
      <c r="E1993" s="103" t="s">
        <v>580</v>
      </c>
      <c r="F1993" s="103" t="s">
        <v>581</v>
      </c>
      <c r="G1993" s="103" t="s">
        <v>582</v>
      </c>
      <c r="H1993" s="103" t="s">
        <v>583</v>
      </c>
    </row>
    <row r="1994" spans="1:8">
      <c r="B1994" s="239" t="s">
        <v>3357</v>
      </c>
      <c r="C1994" s="221" t="s">
        <v>3897</v>
      </c>
      <c r="D1994" s="130" t="s">
        <v>158</v>
      </c>
      <c r="E1994" s="130" t="s">
        <v>167</v>
      </c>
      <c r="F1994" s="230">
        <v>9.1000000000000004E-3</v>
      </c>
      <c r="G1994" s="461">
        <v>102.5</v>
      </c>
      <c r="H1994" s="160">
        <f>ROUND(ROUND(F1994,8)*G1994,2)</f>
        <v>0.93</v>
      </c>
    </row>
    <row r="1995" spans="1:8">
      <c r="B1995" s="239" t="s">
        <v>3898</v>
      </c>
      <c r="C1995" s="221" t="s">
        <v>3899</v>
      </c>
      <c r="D1995" s="130" t="s">
        <v>592</v>
      </c>
      <c r="E1995" s="130" t="s">
        <v>139</v>
      </c>
      <c r="F1995" s="230">
        <v>1</v>
      </c>
      <c r="G1995" s="461">
        <v>1021.64</v>
      </c>
      <c r="H1995" s="160">
        <f>ROUND(ROUND(F1995,8)*G1995,2)</f>
        <v>1021.64</v>
      </c>
    </row>
    <row r="1996" spans="1:8">
      <c r="B1996" s="239" t="s">
        <v>646</v>
      </c>
      <c r="C1996" s="229" t="s">
        <v>647</v>
      </c>
      <c r="D1996" s="130" t="s">
        <v>119</v>
      </c>
      <c r="E1996" s="130" t="s">
        <v>200</v>
      </c>
      <c r="F1996" s="230">
        <v>3.9260000000000002</v>
      </c>
      <c r="G1996" s="461">
        <v>0.65</v>
      </c>
      <c r="H1996" s="160">
        <f t="shared" ref="H1996" si="67">ROUND(ROUND(F1996,8)*G1996,2)</f>
        <v>2.5499999999999998</v>
      </c>
    </row>
    <row r="1997" spans="1:8">
      <c r="B1997" s="458"/>
      <c r="C1997" s="223"/>
      <c r="D1997" s="458"/>
      <c r="E1997" s="458"/>
      <c r="F1997" s="630" t="s">
        <v>604</v>
      </c>
      <c r="G1997" s="630"/>
      <c r="H1997" s="102">
        <f>SUM(H1994:H1996)</f>
        <v>1025.1199999999999</v>
      </c>
    </row>
    <row r="1998" spans="1:8">
      <c r="B1998" s="628" t="s">
        <v>607</v>
      </c>
      <c r="C1998" s="628"/>
      <c r="D1998" s="103" t="s">
        <v>579</v>
      </c>
      <c r="E1998" s="103" t="s">
        <v>580</v>
      </c>
      <c r="F1998" s="103" t="s">
        <v>581</v>
      </c>
      <c r="G1998" s="103" t="s">
        <v>582</v>
      </c>
      <c r="H1998" s="103" t="s">
        <v>583</v>
      </c>
    </row>
    <row r="1999" spans="1:8">
      <c r="B1999" s="159">
        <v>88309</v>
      </c>
      <c r="C1999" s="221" t="s">
        <v>640</v>
      </c>
      <c r="D1999" s="159" t="s">
        <v>119</v>
      </c>
      <c r="E1999" s="159" t="s">
        <v>121</v>
      </c>
      <c r="F1999" s="174">
        <v>1.5</v>
      </c>
      <c r="G1999" s="160">
        <v>31.34</v>
      </c>
      <c r="H1999" s="160">
        <f>ROUND(ROUND(F1999,8)*G1999,2)</f>
        <v>47.01</v>
      </c>
    </row>
    <row r="2000" spans="1:8">
      <c r="B2000" s="159" t="s">
        <v>625</v>
      </c>
      <c r="C2000" s="221" t="s">
        <v>626</v>
      </c>
      <c r="D2000" s="159" t="s">
        <v>119</v>
      </c>
      <c r="E2000" s="159" t="s">
        <v>121</v>
      </c>
      <c r="F2000" s="174">
        <v>1.5</v>
      </c>
      <c r="G2000" s="160">
        <v>23.75</v>
      </c>
      <c r="H2000" s="160">
        <f>ROUND(ROUND(F2000,8)*G2000,2)</f>
        <v>35.630000000000003</v>
      </c>
    </row>
    <row r="2001" spans="1:8">
      <c r="B2001" s="222"/>
      <c r="C2001" s="222"/>
      <c r="D2001" s="222"/>
      <c r="E2001" s="222"/>
      <c r="F2001" s="630" t="s">
        <v>585</v>
      </c>
      <c r="G2001" s="630"/>
      <c r="H2001" s="158">
        <f>H1999+H2000</f>
        <v>82.64</v>
      </c>
    </row>
    <row r="2002" spans="1:8">
      <c r="B2002" s="222"/>
      <c r="C2002" s="222"/>
      <c r="D2002" s="222"/>
      <c r="E2002" s="222"/>
      <c r="F2002" s="645" t="s">
        <v>464</v>
      </c>
      <c r="G2002" s="645"/>
      <c r="H2002" s="158">
        <f>H1997+H2001</f>
        <v>1107.76</v>
      </c>
    </row>
    <row r="2003" spans="1:8">
      <c r="B2003" s="222"/>
      <c r="C2003" s="222"/>
      <c r="D2003" s="222"/>
      <c r="E2003" s="222"/>
      <c r="F2003" s="459"/>
      <c r="G2003" s="459"/>
      <c r="H2003" s="459"/>
    </row>
    <row r="2004" spans="1:8">
      <c r="B2004" s="245" t="s">
        <v>2544</v>
      </c>
    </row>
    <row r="2006" spans="1:8">
      <c r="A2006" s="178" t="str">
        <f>'3 - PLAN. ORÇAMENTÁRIA'!A144</f>
        <v>3.4.3.6</v>
      </c>
      <c r="B2006" s="178" t="str">
        <f>'3 - PLAN. ORÇAMENTÁRIA'!B144</f>
        <v>CCU 161</v>
      </c>
      <c r="C2006" s="631" t="str">
        <f>'3 - PLAN. ORÇAMENTÁRIA'!C144</f>
        <v>IMPERMEABILIZAÇÃO EM ARGAMASSA DE CONCRETO NÃO ESTRUTURAL COM ADITIVO HIDRÓFUGO REF. 32.17.012/SP OBRAS</v>
      </c>
      <c r="D2006" s="632"/>
      <c r="E2006" s="632"/>
      <c r="F2006" s="632"/>
      <c r="G2006" s="633"/>
      <c r="H2006" s="466" t="str">
        <f>'3 - PLAN. ORÇAMENTÁRIA'!E144</f>
        <v>M3</v>
      </c>
    </row>
    <row r="2007" spans="1:8">
      <c r="B2007" s="628" t="s">
        <v>593</v>
      </c>
      <c r="C2007" s="628"/>
      <c r="D2007" s="103" t="s">
        <v>579</v>
      </c>
      <c r="E2007" s="103" t="s">
        <v>580</v>
      </c>
      <c r="F2007" s="103" t="s">
        <v>581</v>
      </c>
      <c r="G2007" s="103" t="s">
        <v>582</v>
      </c>
      <c r="H2007" s="103" t="s">
        <v>583</v>
      </c>
    </row>
    <row r="2008" spans="1:8">
      <c r="B2008" s="239" t="s">
        <v>3924</v>
      </c>
      <c r="C2008" s="221" t="s">
        <v>3925</v>
      </c>
      <c r="D2008" s="130" t="s">
        <v>592</v>
      </c>
      <c r="E2008" s="130" t="s">
        <v>107</v>
      </c>
      <c r="F2008" s="230">
        <v>3.85</v>
      </c>
      <c r="G2008" s="465">
        <v>6.16</v>
      </c>
      <c r="H2008" s="160">
        <f>ROUND(ROUND(F2008,8)*G2008,2)</f>
        <v>23.72</v>
      </c>
    </row>
    <row r="2009" spans="1:8" ht="25.5">
      <c r="B2009" s="239" t="s">
        <v>2302</v>
      </c>
      <c r="C2009" s="221" t="s">
        <v>2303</v>
      </c>
      <c r="D2009" s="130" t="s">
        <v>119</v>
      </c>
      <c r="E2009" s="130" t="s">
        <v>167</v>
      </c>
      <c r="F2009" s="230">
        <v>1.05</v>
      </c>
      <c r="G2009" s="465">
        <v>507.41</v>
      </c>
      <c r="H2009" s="160">
        <f>ROUND(ROUND(F2009,8)*G2009,2)</f>
        <v>532.78</v>
      </c>
    </row>
    <row r="2010" spans="1:8">
      <c r="F2010" s="630" t="s">
        <v>604</v>
      </c>
      <c r="G2010" s="630"/>
      <c r="H2010" s="102">
        <f>SUM(H2008:H2009)</f>
        <v>556.5</v>
      </c>
    </row>
    <row r="2011" spans="1:8">
      <c r="B2011" s="628" t="s">
        <v>607</v>
      </c>
      <c r="C2011" s="628"/>
      <c r="D2011" s="103" t="s">
        <v>579</v>
      </c>
      <c r="E2011" s="103" t="s">
        <v>580</v>
      </c>
      <c r="F2011" s="103" t="s">
        <v>581</v>
      </c>
      <c r="G2011" s="103" t="s">
        <v>582</v>
      </c>
      <c r="H2011" s="103" t="s">
        <v>583</v>
      </c>
    </row>
    <row r="2012" spans="1:8">
      <c r="B2012" s="159">
        <v>88241</v>
      </c>
      <c r="C2012" s="221" t="s">
        <v>998</v>
      </c>
      <c r="D2012" s="159" t="s">
        <v>119</v>
      </c>
      <c r="E2012" s="159" t="s">
        <v>121</v>
      </c>
      <c r="F2012" s="174">
        <v>0.5</v>
      </c>
      <c r="G2012" s="160">
        <v>24.49</v>
      </c>
      <c r="H2012" s="160">
        <f>ROUND(ROUND(F2012,8)*G2012,2)</f>
        <v>12.25</v>
      </c>
    </row>
    <row r="2013" spans="1:8">
      <c r="B2013" s="159">
        <v>88316</v>
      </c>
      <c r="C2013" s="221" t="s">
        <v>626</v>
      </c>
      <c r="D2013" s="159" t="s">
        <v>119</v>
      </c>
      <c r="E2013" s="159" t="s">
        <v>121</v>
      </c>
      <c r="F2013" s="174">
        <v>1.5</v>
      </c>
      <c r="G2013" s="160">
        <v>23.75</v>
      </c>
      <c r="H2013" s="160">
        <f>ROUND(ROUND(F2013,8)*G2013,2)</f>
        <v>35.630000000000003</v>
      </c>
    </row>
    <row r="2014" spans="1:8">
      <c r="B2014" s="222"/>
      <c r="C2014" s="222"/>
      <c r="D2014" s="222"/>
      <c r="E2014" s="222"/>
      <c r="F2014" s="630" t="s">
        <v>585</v>
      </c>
      <c r="G2014" s="630"/>
      <c r="H2014" s="158">
        <f>H2012+H2013</f>
        <v>47.88</v>
      </c>
    </row>
    <row r="2015" spans="1:8">
      <c r="B2015" s="222"/>
      <c r="C2015" s="222"/>
      <c r="D2015" s="222"/>
      <c r="E2015" s="222"/>
      <c r="F2015" s="645" t="s">
        <v>464</v>
      </c>
      <c r="G2015" s="645"/>
      <c r="H2015" s="158">
        <f>H2010+H2014</f>
        <v>604.38</v>
      </c>
    </row>
    <row r="2017" spans="1:8">
      <c r="A2017" s="178" t="str">
        <f>'3 - PLAN. ORÇAMENTÁRIA'!A345</f>
        <v>4.3.38</v>
      </c>
      <c r="B2017" s="178" t="str">
        <f>'3 - PLAN. ORÇAMENTÁRIA'!B345</f>
        <v>CCU 183</v>
      </c>
      <c r="C2017" s="638" t="str">
        <f>'3 - PLAN. ORÇAMENTÁRIA'!C345</f>
        <v>MANTA GEOTÊXTIL PARA TALUDE REF. 08.05.180/SP OBRAS</v>
      </c>
      <c r="D2017" s="632"/>
      <c r="E2017" s="632"/>
      <c r="F2017" s="632"/>
      <c r="G2017" s="633"/>
      <c r="H2017" s="481" t="str">
        <f>'3 - PLAN. ORÇAMENTÁRIA'!E345</f>
        <v>M2</v>
      </c>
    </row>
    <row r="2018" spans="1:8">
      <c r="B2018" s="628" t="s">
        <v>593</v>
      </c>
      <c r="C2018" s="628"/>
      <c r="D2018" s="103" t="s">
        <v>579</v>
      </c>
      <c r="E2018" s="103" t="s">
        <v>580</v>
      </c>
      <c r="F2018" s="103" t="s">
        <v>581</v>
      </c>
      <c r="G2018" s="103" t="s">
        <v>582</v>
      </c>
      <c r="H2018" s="103" t="s">
        <v>583</v>
      </c>
    </row>
    <row r="2019" spans="1:8">
      <c r="B2019" s="159" t="s">
        <v>3987</v>
      </c>
      <c r="C2019" s="221" t="s">
        <v>3986</v>
      </c>
      <c r="D2019" s="159" t="s">
        <v>592</v>
      </c>
      <c r="E2019" s="159" t="s">
        <v>139</v>
      </c>
      <c r="F2019" s="174">
        <v>1</v>
      </c>
      <c r="G2019" s="160">
        <v>6.3</v>
      </c>
      <c r="H2019" s="160">
        <f>ROUND(ROUND(F2019,8)*G2019,2)</f>
        <v>6.3</v>
      </c>
    </row>
    <row r="2020" spans="1:8">
      <c r="B2020" s="222"/>
      <c r="C2020" s="222"/>
      <c r="D2020" s="222"/>
      <c r="E2020" s="222"/>
      <c r="F2020" s="630" t="s">
        <v>604</v>
      </c>
      <c r="G2020" s="630"/>
      <c r="H2020" s="102">
        <f>H2019</f>
        <v>6.3</v>
      </c>
    </row>
    <row r="2021" spans="1:8">
      <c r="B2021" s="628" t="s">
        <v>584</v>
      </c>
      <c r="C2021" s="628"/>
      <c r="D2021" s="103" t="s">
        <v>579</v>
      </c>
      <c r="E2021" s="103" t="s">
        <v>580</v>
      </c>
      <c r="F2021" s="103" t="s">
        <v>581</v>
      </c>
      <c r="G2021" s="103" t="s">
        <v>582</v>
      </c>
      <c r="H2021" s="103" t="s">
        <v>583</v>
      </c>
    </row>
    <row r="2022" spans="1:8">
      <c r="B2022" s="159">
        <v>88309</v>
      </c>
      <c r="C2022" s="221" t="s">
        <v>640</v>
      </c>
      <c r="D2022" s="159" t="s">
        <v>119</v>
      </c>
      <c r="E2022" s="159" t="s">
        <v>121</v>
      </c>
      <c r="F2022" s="174">
        <v>0.3</v>
      </c>
      <c r="G2022" s="160">
        <v>31.34</v>
      </c>
      <c r="H2022" s="160">
        <f>ROUND(ROUND(F2022,8)*G2022,2)</f>
        <v>9.4</v>
      </c>
    </row>
    <row r="2023" spans="1:8">
      <c r="B2023" s="159" t="s">
        <v>625</v>
      </c>
      <c r="C2023" s="221" t="s">
        <v>626</v>
      </c>
      <c r="D2023" s="159" t="s">
        <v>119</v>
      </c>
      <c r="E2023" s="159" t="s">
        <v>121</v>
      </c>
      <c r="F2023" s="174">
        <v>0.3</v>
      </c>
      <c r="G2023" s="160">
        <v>23.75</v>
      </c>
      <c r="H2023" s="160">
        <f>ROUND(ROUND(F2023,8)*G2023,2)</f>
        <v>7.13</v>
      </c>
    </row>
    <row r="2024" spans="1:8">
      <c r="B2024" s="480"/>
      <c r="C2024" s="223"/>
      <c r="D2024" s="480"/>
      <c r="E2024" s="480"/>
      <c r="F2024" s="630" t="s">
        <v>2146</v>
      </c>
      <c r="G2024" s="630" t="s">
        <v>2137</v>
      </c>
      <c r="H2024" s="102">
        <f>SUM(H2022:H2023)</f>
        <v>16.53</v>
      </c>
    </row>
    <row r="2025" spans="1:8">
      <c r="B2025" s="222"/>
      <c r="C2025" s="222"/>
      <c r="D2025" s="222"/>
      <c r="E2025" s="222"/>
      <c r="F2025" s="645" t="s">
        <v>464</v>
      </c>
      <c r="G2025" s="645"/>
      <c r="H2025" s="158">
        <f>H2024+H2020</f>
        <v>22.830000000000002</v>
      </c>
    </row>
    <row r="2027" spans="1:8">
      <c r="A2027" s="178" t="str">
        <f>'3 - PLAN. ORÇAMENTÁRIA'!A388</f>
        <v>4.4.4.5</v>
      </c>
      <c r="B2027" s="178" t="str">
        <f>'3 - PLAN. ORÇAMENTÁRIA'!B388</f>
        <v>CCU 052</v>
      </c>
      <c r="C2027" s="631" t="str">
        <f>'3 - PLAN. ORÇAMENTÁRIA'!C388</f>
        <v>FORNECIMENTO E MONTAGEM DE ESTRUTURA METÁLICA EM TUBO GALVANIZADO, INCLUSIVE PRIMER ANTICORROSIVO E PINTURA DE ACABAMENTO (BARRAS FECHAMENTO FACHADA) REF. 15.03.150/SP OBRAS</v>
      </c>
      <c r="D2027" s="632"/>
      <c r="E2027" s="632"/>
      <c r="F2027" s="632"/>
      <c r="G2027" s="633"/>
      <c r="H2027" s="499" t="str">
        <f>'3 - PLAN. ORÇAMENTÁRIA'!E388</f>
        <v>KG</v>
      </c>
    </row>
    <row r="2028" spans="1:8">
      <c r="B2028" s="648" t="s">
        <v>593</v>
      </c>
      <c r="C2028" s="648"/>
      <c r="D2028" s="231" t="s">
        <v>579</v>
      </c>
      <c r="E2028" s="231" t="s">
        <v>580</v>
      </c>
      <c r="F2028" s="291" t="s">
        <v>581</v>
      </c>
      <c r="G2028" s="291" t="s">
        <v>582</v>
      </c>
      <c r="H2028" s="291" t="s">
        <v>583</v>
      </c>
    </row>
    <row r="2029" spans="1:8">
      <c r="B2029" s="356" t="s">
        <v>4034</v>
      </c>
      <c r="C2029" s="357" t="s">
        <v>4035</v>
      </c>
      <c r="D2029" s="356" t="s">
        <v>158</v>
      </c>
      <c r="E2029" s="159" t="s">
        <v>200</v>
      </c>
      <c r="F2029" s="358">
        <v>1</v>
      </c>
      <c r="G2029" s="359">
        <v>14</v>
      </c>
      <c r="H2029" s="160">
        <f t="shared" ref="H2029" si="68">ROUND(ROUND(F2029,8)*G2029,2)</f>
        <v>14</v>
      </c>
    </row>
    <row r="2030" spans="1:8">
      <c r="B2030" s="222"/>
      <c r="C2030" s="222"/>
      <c r="D2030" s="222"/>
      <c r="E2030" s="222"/>
      <c r="F2030" s="649" t="s">
        <v>604</v>
      </c>
      <c r="G2030" s="649"/>
      <c r="H2030" s="296">
        <f>H2029</f>
        <v>14</v>
      </c>
    </row>
    <row r="2031" spans="1:8">
      <c r="B2031" s="628" t="s">
        <v>607</v>
      </c>
      <c r="C2031" s="628"/>
      <c r="D2031" s="103" t="s">
        <v>579</v>
      </c>
      <c r="E2031" s="103" t="s">
        <v>580</v>
      </c>
      <c r="F2031" s="103" t="s">
        <v>581</v>
      </c>
      <c r="G2031" s="103" t="s">
        <v>582</v>
      </c>
      <c r="H2031" s="103" t="s">
        <v>583</v>
      </c>
    </row>
    <row r="2032" spans="1:8">
      <c r="B2032" s="159">
        <v>88251</v>
      </c>
      <c r="C2032" s="221" t="s">
        <v>667</v>
      </c>
      <c r="D2032" s="159" t="s">
        <v>119</v>
      </c>
      <c r="E2032" s="159" t="s">
        <v>121</v>
      </c>
      <c r="F2032" s="174">
        <v>0.11</v>
      </c>
      <c r="G2032" s="160">
        <v>24.57</v>
      </c>
      <c r="H2032" s="160">
        <f>ROUND(ROUND(F2032,8)*G2032,2)</f>
        <v>2.7</v>
      </c>
    </row>
    <row r="2033" spans="1:9">
      <c r="B2033" s="159">
        <v>88315</v>
      </c>
      <c r="C2033" s="221" t="s">
        <v>668</v>
      </c>
      <c r="D2033" s="159" t="s">
        <v>119</v>
      </c>
      <c r="E2033" s="159" t="s">
        <v>121</v>
      </c>
      <c r="F2033" s="174">
        <v>0.11</v>
      </c>
      <c r="G2033" s="160">
        <v>31.13</v>
      </c>
      <c r="H2033" s="160">
        <f>ROUND(ROUND(F2033,8)*G2033,2)</f>
        <v>3.42</v>
      </c>
    </row>
    <row r="2034" spans="1:9">
      <c r="B2034" s="222"/>
      <c r="C2034" s="222"/>
      <c r="D2034" s="222"/>
      <c r="E2034" s="222"/>
      <c r="F2034" s="630" t="s">
        <v>610</v>
      </c>
      <c r="G2034" s="630"/>
      <c r="H2034" s="102">
        <f>H2032+H2033</f>
        <v>6.12</v>
      </c>
    </row>
    <row r="2035" spans="1:9">
      <c r="B2035" s="222"/>
      <c r="C2035" s="222"/>
      <c r="D2035" s="222"/>
      <c r="E2035" s="222"/>
      <c r="F2035" s="630" t="s">
        <v>464</v>
      </c>
      <c r="G2035" s="630"/>
      <c r="H2035" s="102">
        <f>H2034+H2030</f>
        <v>20.12</v>
      </c>
    </row>
    <row r="2039" spans="1:9" ht="12.75" customHeight="1">
      <c r="A2039" s="650" t="s">
        <v>1001</v>
      </c>
      <c r="B2039" s="650"/>
      <c r="C2039" s="650"/>
      <c r="D2039" s="650"/>
      <c r="E2039" s="650"/>
      <c r="F2039" s="650"/>
      <c r="G2039" s="650"/>
      <c r="H2039" s="650"/>
      <c r="I2039" s="650"/>
    </row>
    <row r="2040" spans="1:9" ht="12.75" customHeight="1">
      <c r="A2040" s="650"/>
      <c r="B2040" s="650"/>
      <c r="C2040" s="650"/>
      <c r="D2040" s="650"/>
      <c r="E2040" s="650"/>
      <c r="F2040" s="650"/>
      <c r="G2040" s="650"/>
      <c r="H2040" s="650"/>
      <c r="I2040" s="650"/>
    </row>
    <row r="2041" spans="1:9" ht="12.75" customHeight="1">
      <c r="A2041" s="650"/>
      <c r="B2041" s="650"/>
      <c r="C2041" s="650"/>
      <c r="D2041" s="650"/>
      <c r="E2041" s="650"/>
      <c r="F2041" s="650"/>
      <c r="G2041" s="650"/>
      <c r="H2041" s="650"/>
      <c r="I2041" s="650"/>
    </row>
    <row r="2043" spans="1:9" ht="26.25" customHeight="1">
      <c r="A2043" s="178" t="str">
        <f>'3 - PLAN. ORÇAMENTÁRIA'!A477</f>
        <v>5.3.3.2</v>
      </c>
      <c r="B2043" s="178" t="str">
        <f>'3 - PLAN. ORÇAMENTÁRIA'!B477</f>
        <v>CCU 013</v>
      </c>
      <c r="C2043" s="638" t="str">
        <f>'3 - PLAN. ORÇAMENTÁRIA'!C477</f>
        <v>CAIXA SIFONADA REDONDA, CORPO GIRATÓRIO, COM 5 ENTRADAS DE 40MM E 1 SAÍDA DE 75MM, D = 150X170X75 MM, COM GRELHA, PVC BRANCO, TIGRE OU SIMILAR REF. S07862/ORSE</v>
      </c>
      <c r="D2043" s="632"/>
      <c r="E2043" s="632"/>
      <c r="F2043" s="632"/>
      <c r="G2043" s="633"/>
      <c r="H2043" s="131" t="s">
        <v>144</v>
      </c>
    </row>
    <row r="2044" spans="1:9">
      <c r="B2044" s="628" t="s">
        <v>593</v>
      </c>
      <c r="C2044" s="628"/>
      <c r="D2044" s="103" t="s">
        <v>579</v>
      </c>
      <c r="E2044" s="103" t="s">
        <v>580</v>
      </c>
      <c r="F2044" s="103" t="s">
        <v>581</v>
      </c>
      <c r="G2044" s="103" t="s">
        <v>582</v>
      </c>
      <c r="H2044" s="103" t="s">
        <v>583</v>
      </c>
    </row>
    <row r="2045" spans="1:9" ht="25.5">
      <c r="B2045" s="159" t="s">
        <v>2207</v>
      </c>
      <c r="C2045" s="221" t="s">
        <v>2206</v>
      </c>
      <c r="D2045" s="159" t="s">
        <v>158</v>
      </c>
      <c r="E2045" s="159" t="s">
        <v>1053</v>
      </c>
      <c r="F2045" s="174">
        <v>1</v>
      </c>
      <c r="G2045" s="160">
        <v>29.38</v>
      </c>
      <c r="H2045" s="160">
        <f>ROUND(ROUND(F2045,8)*G2045,2)</f>
        <v>29.38</v>
      </c>
    </row>
    <row r="2046" spans="1:9">
      <c r="B2046" s="222"/>
      <c r="C2046" s="222"/>
      <c r="D2046" s="222"/>
      <c r="E2046" s="222"/>
      <c r="F2046" s="630" t="s">
        <v>604</v>
      </c>
      <c r="G2046" s="630"/>
      <c r="H2046" s="102">
        <f>H2045</f>
        <v>29.38</v>
      </c>
    </row>
    <row r="2047" spans="1:9">
      <c r="B2047" s="628" t="s">
        <v>584</v>
      </c>
      <c r="C2047" s="628"/>
      <c r="D2047" s="103" t="s">
        <v>579</v>
      </c>
      <c r="E2047" s="103" t="s">
        <v>580</v>
      </c>
      <c r="F2047" s="103" t="s">
        <v>581</v>
      </c>
      <c r="G2047" s="103" t="s">
        <v>582</v>
      </c>
      <c r="H2047" s="103" t="s">
        <v>583</v>
      </c>
    </row>
    <row r="2048" spans="1:9">
      <c r="B2048" s="159">
        <v>88267</v>
      </c>
      <c r="C2048" s="221" t="s">
        <v>612</v>
      </c>
      <c r="D2048" s="159" t="s">
        <v>119</v>
      </c>
      <c r="E2048" s="159" t="s">
        <v>121</v>
      </c>
      <c r="F2048" s="174">
        <v>0.5</v>
      </c>
      <c r="G2048" s="160">
        <v>30.62</v>
      </c>
      <c r="H2048" s="160">
        <f>ROUND(ROUND(F2048,8)*G2048,2)</f>
        <v>15.31</v>
      </c>
    </row>
    <row r="2049" spans="1:8">
      <c r="B2049" s="159">
        <v>88316</v>
      </c>
      <c r="C2049" s="221" t="s">
        <v>626</v>
      </c>
      <c r="D2049" s="159" t="s">
        <v>119</v>
      </c>
      <c r="E2049" s="159" t="s">
        <v>121</v>
      </c>
      <c r="F2049" s="174">
        <v>0.5</v>
      </c>
      <c r="G2049" s="160">
        <v>23.75</v>
      </c>
      <c r="H2049" s="160">
        <f>ROUND(ROUND(F2049,8)*G2049,2)</f>
        <v>11.88</v>
      </c>
    </row>
    <row r="2050" spans="1:8">
      <c r="B2050" s="225"/>
      <c r="C2050" s="223"/>
      <c r="D2050" s="225"/>
      <c r="E2050" s="225"/>
      <c r="F2050" s="630" t="s">
        <v>2146</v>
      </c>
      <c r="G2050" s="630" t="s">
        <v>2137</v>
      </c>
      <c r="H2050" s="102">
        <f>SUM(H2048:H2049)</f>
        <v>27.19</v>
      </c>
    </row>
    <row r="2051" spans="1:8">
      <c r="B2051" s="222"/>
      <c r="C2051" s="222"/>
      <c r="D2051" s="222"/>
      <c r="E2051" s="222"/>
      <c r="F2051" s="645" t="s">
        <v>464</v>
      </c>
      <c r="G2051" s="645"/>
      <c r="H2051" s="158">
        <f>H2050+H2046</f>
        <v>56.57</v>
      </c>
    </row>
    <row r="2053" spans="1:8">
      <c r="B2053" s="245" t="s">
        <v>2544</v>
      </c>
    </row>
    <row r="2054" spans="1:8">
      <c r="B2054" s="222"/>
      <c r="C2054" s="222"/>
      <c r="D2054" s="222"/>
      <c r="E2054" s="222"/>
      <c r="F2054" s="111"/>
      <c r="G2054" s="111"/>
      <c r="H2054" s="228"/>
    </row>
    <row r="2055" spans="1:8">
      <c r="A2055" s="178" t="str">
        <f>'3 - PLAN. ORÇAMENTÁRIA'!A476</f>
        <v>5.3.3.1</v>
      </c>
      <c r="B2055" s="178" t="str">
        <f>'3 - PLAN. ORÇAMENTÁRIA'!B476</f>
        <v>CCU 014</v>
      </c>
      <c r="C2055" s="638" t="str">
        <f>'3 - PLAN. ORÇAMENTÁRIA'!C476</f>
        <v>CORPO PARA CAIXA SIFONADA EM PVC, 5 ENTRADAS, 100X140X50 MM, MODELO GIRAFÁCIL, TIGRE OU SIMILAR REF. S13553/ORSE</v>
      </c>
      <c r="D2055" s="632"/>
      <c r="E2055" s="632"/>
      <c r="F2055" s="632"/>
      <c r="G2055" s="633"/>
      <c r="H2055" s="131" t="s">
        <v>144</v>
      </c>
    </row>
    <row r="2056" spans="1:8">
      <c r="B2056" s="628" t="s">
        <v>593</v>
      </c>
      <c r="C2056" s="628"/>
      <c r="D2056" s="103" t="s">
        <v>579</v>
      </c>
      <c r="E2056" s="103" t="s">
        <v>580</v>
      </c>
      <c r="F2056" s="103" t="s">
        <v>581</v>
      </c>
      <c r="G2056" s="103" t="s">
        <v>582</v>
      </c>
      <c r="H2056" s="103" t="s">
        <v>583</v>
      </c>
    </row>
    <row r="2057" spans="1:8">
      <c r="B2057" s="159" t="s">
        <v>2209</v>
      </c>
      <c r="C2057" s="221" t="s">
        <v>2208</v>
      </c>
      <c r="D2057" s="159" t="s">
        <v>158</v>
      </c>
      <c r="E2057" s="159" t="s">
        <v>1053</v>
      </c>
      <c r="F2057" s="174">
        <v>0.26</v>
      </c>
      <c r="G2057" s="160">
        <v>8</v>
      </c>
      <c r="H2057" s="160">
        <f>ROUND(ROUND(F2057,8)*G2057,2)</f>
        <v>2.08</v>
      </c>
    </row>
    <row r="2058" spans="1:8">
      <c r="B2058" s="159" t="s">
        <v>2211</v>
      </c>
      <c r="C2058" s="221" t="s">
        <v>2210</v>
      </c>
      <c r="D2058" s="159" t="s">
        <v>158</v>
      </c>
      <c r="E2058" s="159" t="s">
        <v>1053</v>
      </c>
      <c r="F2058" s="174">
        <v>1</v>
      </c>
      <c r="G2058" s="160">
        <v>141</v>
      </c>
      <c r="H2058" s="160">
        <f>ROUND(ROUND(F2058,8)*G2058,2)</f>
        <v>141</v>
      </c>
    </row>
    <row r="2059" spans="1:8">
      <c r="B2059" s="222"/>
      <c r="C2059" s="222"/>
      <c r="D2059" s="222"/>
      <c r="E2059" s="222"/>
      <c r="F2059" s="630" t="s">
        <v>604</v>
      </c>
      <c r="G2059" s="630"/>
      <c r="H2059" s="102">
        <f>H2058+H2057</f>
        <v>143.08000000000001</v>
      </c>
    </row>
    <row r="2060" spans="1:8">
      <c r="B2060" s="628" t="s">
        <v>584</v>
      </c>
      <c r="C2060" s="628"/>
      <c r="D2060" s="103" t="s">
        <v>579</v>
      </c>
      <c r="E2060" s="103" t="s">
        <v>580</v>
      </c>
      <c r="F2060" s="103" t="s">
        <v>581</v>
      </c>
      <c r="G2060" s="103" t="s">
        <v>582</v>
      </c>
      <c r="H2060" s="103" t="s">
        <v>583</v>
      </c>
    </row>
    <row r="2061" spans="1:8">
      <c r="B2061" s="159">
        <v>88267</v>
      </c>
      <c r="C2061" s="221" t="s">
        <v>612</v>
      </c>
      <c r="D2061" s="159" t="s">
        <v>119</v>
      </c>
      <c r="E2061" s="159" t="s">
        <v>121</v>
      </c>
      <c r="F2061" s="174">
        <v>0.35</v>
      </c>
      <c r="G2061" s="160">
        <v>30.62</v>
      </c>
      <c r="H2061" s="160">
        <f>ROUND(ROUND(F2061,8)*G2061,2)</f>
        <v>10.72</v>
      </c>
    </row>
    <row r="2062" spans="1:8">
      <c r="B2062" s="159">
        <v>88316</v>
      </c>
      <c r="C2062" s="221" t="s">
        <v>626</v>
      </c>
      <c r="D2062" s="159" t="s">
        <v>119</v>
      </c>
      <c r="E2062" s="159" t="s">
        <v>121</v>
      </c>
      <c r="F2062" s="174">
        <v>0.35</v>
      </c>
      <c r="G2062" s="160">
        <v>23.75</v>
      </c>
      <c r="H2062" s="160">
        <f>ROUND(ROUND(F2062,8)*G2062,2)</f>
        <v>8.31</v>
      </c>
    </row>
    <row r="2063" spans="1:8">
      <c r="B2063" s="225"/>
      <c r="C2063" s="223"/>
      <c r="D2063" s="225"/>
      <c r="E2063" s="225"/>
      <c r="F2063" s="630" t="s">
        <v>2146</v>
      </c>
      <c r="G2063" s="630" t="s">
        <v>2137</v>
      </c>
      <c r="H2063" s="102">
        <f>SUM(H2061:H2062)</f>
        <v>19.03</v>
      </c>
    </row>
    <row r="2064" spans="1:8">
      <c r="B2064" s="222"/>
      <c r="C2064" s="222"/>
      <c r="D2064" s="222"/>
      <c r="E2064" s="222"/>
      <c r="F2064" s="645" t="s">
        <v>464</v>
      </c>
      <c r="G2064" s="645"/>
      <c r="H2064" s="158">
        <f>H2063+H2059</f>
        <v>162.11000000000001</v>
      </c>
    </row>
    <row r="2066" spans="1:8">
      <c r="B2066" s="245" t="s">
        <v>2544</v>
      </c>
    </row>
    <row r="2067" spans="1:8">
      <c r="B2067" s="222"/>
      <c r="C2067" s="222"/>
      <c r="D2067" s="222"/>
      <c r="E2067" s="222"/>
      <c r="F2067" s="111"/>
      <c r="G2067" s="111"/>
      <c r="H2067" s="228"/>
    </row>
    <row r="2068" spans="1:8">
      <c r="A2068" s="178" t="str">
        <f>'3 - PLAN. ORÇAMENTÁRIA'!A577</f>
        <v>6.1.4.15</v>
      </c>
      <c r="B2068" s="178" t="str">
        <f>'3 - PLAN. ORÇAMENTÁRIA'!B577</f>
        <v>CCU 022</v>
      </c>
      <c r="C2068" s="638" t="str">
        <f>'3 - PLAN. ORÇAMENTÁRIA'!C577</f>
        <v>REFLETOR RGB LED 400W COM MEMÓRIA - FORNECIMENTO E INSTALAÇÃO REF. S12808/ORSE</v>
      </c>
      <c r="D2068" s="632"/>
      <c r="E2068" s="632"/>
      <c r="F2068" s="632"/>
      <c r="G2068" s="633"/>
      <c r="H2068" s="131" t="s">
        <v>144</v>
      </c>
    </row>
    <row r="2069" spans="1:8">
      <c r="B2069" s="628" t="s">
        <v>593</v>
      </c>
      <c r="C2069" s="628"/>
      <c r="D2069" s="103" t="s">
        <v>579</v>
      </c>
      <c r="E2069" s="103" t="s">
        <v>580</v>
      </c>
      <c r="F2069" s="103" t="s">
        <v>581</v>
      </c>
      <c r="G2069" s="103" t="s">
        <v>582</v>
      </c>
      <c r="H2069" s="103" t="s">
        <v>583</v>
      </c>
    </row>
    <row r="2070" spans="1:8">
      <c r="B2070" s="159" t="s">
        <v>2417</v>
      </c>
      <c r="C2070" s="221" t="s">
        <v>2418</v>
      </c>
      <c r="D2070" s="159" t="s">
        <v>158</v>
      </c>
      <c r="E2070" s="159" t="s">
        <v>1053</v>
      </c>
      <c r="F2070" s="174">
        <v>2</v>
      </c>
      <c r="G2070" s="160">
        <v>0.87</v>
      </c>
      <c r="H2070" s="160">
        <f>ROUND(ROUND(F2070,8)*G2070,2)</f>
        <v>1.74</v>
      </c>
    </row>
    <row r="2071" spans="1:8">
      <c r="B2071" s="159" t="str">
        <f>'6 - COTAÇÃO MERCADO'!B60</f>
        <v>COT 01.007</v>
      </c>
      <c r="C2071" s="221" t="str">
        <f>'6 - COTAÇÃO MERCADO'!C60</f>
        <v>REFLETOR RGB LED 400W COM MEMÓRIA</v>
      </c>
      <c r="D2071" s="159" t="s">
        <v>3280</v>
      </c>
      <c r="E2071" s="159" t="s">
        <v>1053</v>
      </c>
      <c r="F2071" s="174">
        <v>1</v>
      </c>
      <c r="G2071" s="160">
        <v>218</v>
      </c>
      <c r="H2071" s="160">
        <f>ROUND(ROUND(F2071,8)*G2071,2)</f>
        <v>218</v>
      </c>
    </row>
    <row r="2072" spans="1:8">
      <c r="B2072" s="222"/>
      <c r="C2072" s="222"/>
      <c r="D2072" s="222"/>
      <c r="E2072" s="222"/>
      <c r="F2072" s="630" t="s">
        <v>604</v>
      </c>
      <c r="G2072" s="630"/>
      <c r="H2072" s="102">
        <f>H2071+H2070</f>
        <v>219.74</v>
      </c>
    </row>
    <row r="2073" spans="1:8">
      <c r="B2073" s="628" t="s">
        <v>584</v>
      </c>
      <c r="C2073" s="628"/>
      <c r="D2073" s="103" t="s">
        <v>579</v>
      </c>
      <c r="E2073" s="103" t="s">
        <v>580</v>
      </c>
      <c r="F2073" s="103" t="s">
        <v>581</v>
      </c>
      <c r="G2073" s="103" t="s">
        <v>582</v>
      </c>
      <c r="H2073" s="103" t="s">
        <v>583</v>
      </c>
    </row>
    <row r="2074" spans="1:8">
      <c r="B2074" s="159">
        <v>88264</v>
      </c>
      <c r="C2074" s="221" t="s">
        <v>609</v>
      </c>
      <c r="D2074" s="159" t="s">
        <v>119</v>
      </c>
      <c r="E2074" s="159" t="s">
        <v>121</v>
      </c>
      <c r="F2074" s="174">
        <v>0.5</v>
      </c>
      <c r="G2074" s="160">
        <v>31.72</v>
      </c>
      <c r="H2074" s="160">
        <f>ROUND(ROUND(F2074,8)*G2074,2)</f>
        <v>15.86</v>
      </c>
    </row>
    <row r="2075" spans="1:8">
      <c r="B2075" s="159">
        <v>88316</v>
      </c>
      <c r="C2075" s="221" t="s">
        <v>626</v>
      </c>
      <c r="D2075" s="159" t="s">
        <v>119</v>
      </c>
      <c r="E2075" s="159" t="s">
        <v>121</v>
      </c>
      <c r="F2075" s="174">
        <v>0.3</v>
      </c>
      <c r="G2075" s="160">
        <v>23.75</v>
      </c>
      <c r="H2075" s="160">
        <f>ROUND(ROUND(F2075,8)*G2075,2)</f>
        <v>7.13</v>
      </c>
    </row>
    <row r="2076" spans="1:8">
      <c r="B2076" s="225"/>
      <c r="C2076" s="223"/>
      <c r="D2076" s="225"/>
      <c r="E2076" s="225"/>
      <c r="F2076" s="630" t="s">
        <v>2146</v>
      </c>
      <c r="G2076" s="630" t="s">
        <v>2137</v>
      </c>
      <c r="H2076" s="102">
        <f>SUM(H2074:H2075)</f>
        <v>22.99</v>
      </c>
    </row>
    <row r="2077" spans="1:8">
      <c r="B2077" s="222"/>
      <c r="C2077" s="222"/>
      <c r="D2077" s="222"/>
      <c r="E2077" s="222"/>
      <c r="F2077" s="645" t="s">
        <v>464</v>
      </c>
      <c r="G2077" s="645"/>
      <c r="H2077" s="158">
        <f>H2076+H2072</f>
        <v>242.73000000000002</v>
      </c>
    </row>
    <row r="2079" spans="1:8">
      <c r="B2079" s="245" t="s">
        <v>2544</v>
      </c>
    </row>
    <row r="2080" spans="1:8">
      <c r="B2080" s="222"/>
      <c r="C2080" s="222"/>
      <c r="D2080" s="222"/>
      <c r="E2080" s="222"/>
      <c r="F2080" s="111"/>
      <c r="G2080" s="111"/>
      <c r="H2080" s="228"/>
    </row>
    <row r="2081" spans="1:8">
      <c r="A2081" s="178" t="str">
        <f>'3 - PLAN. ORÇAMENTÁRIA'!A90</f>
        <v>3.2.1.1</v>
      </c>
      <c r="B2081" s="178" t="str">
        <f>'3 - PLAN. ORÇAMENTÁRIA'!B90</f>
        <v>CCU 042</v>
      </c>
      <c r="C2081" s="638" t="str">
        <f>'3 - PLAN. ORÇAMENTÁRIA'!C90</f>
        <v>LAJE PRÉ-FABRICADA STEEL DECK, ESPESSURA DA CHAPA 0,80 MM, ESPESSURA DA LAJE 10 CM, COM CAPA DE CONCRETO FCK=25MPA REF. S07947/ORSE</v>
      </c>
      <c r="D2081" s="632"/>
      <c r="E2081" s="632"/>
      <c r="F2081" s="632"/>
      <c r="G2081" s="633"/>
      <c r="H2081" s="131" t="s">
        <v>139</v>
      </c>
    </row>
    <row r="2082" spans="1:8">
      <c r="B2082" s="628" t="s">
        <v>593</v>
      </c>
      <c r="C2082" s="628"/>
      <c r="D2082" s="103" t="s">
        <v>579</v>
      </c>
      <c r="E2082" s="103" t="s">
        <v>580</v>
      </c>
      <c r="F2082" s="103" t="s">
        <v>581</v>
      </c>
      <c r="G2082" s="103" t="s">
        <v>582</v>
      </c>
      <c r="H2082" s="103" t="s">
        <v>583</v>
      </c>
    </row>
    <row r="2083" spans="1:8">
      <c r="B2083" s="159" t="s">
        <v>2224</v>
      </c>
      <c r="C2083" s="221" t="s">
        <v>2223</v>
      </c>
      <c r="D2083" s="159" t="s">
        <v>158</v>
      </c>
      <c r="E2083" s="159" t="s">
        <v>139</v>
      </c>
      <c r="F2083" s="174">
        <v>1</v>
      </c>
      <c r="G2083" s="160">
        <v>228.9</v>
      </c>
      <c r="H2083" s="160">
        <f>ROUND(ROUND(F2083,8)*G2083,2)</f>
        <v>228.9</v>
      </c>
    </row>
    <row r="2084" spans="1:8">
      <c r="B2084" s="173" t="s">
        <v>2949</v>
      </c>
      <c r="C2084" s="221" t="s">
        <v>2950</v>
      </c>
      <c r="D2084" s="159" t="s">
        <v>158</v>
      </c>
      <c r="E2084" s="159" t="s">
        <v>167</v>
      </c>
      <c r="F2084" s="174">
        <v>7.5333330000000004E-2</v>
      </c>
      <c r="G2084" s="160">
        <v>503.81</v>
      </c>
      <c r="H2084" s="160">
        <f>ROUND(ROUND(F2084,8)*G2084,2)</f>
        <v>37.950000000000003</v>
      </c>
    </row>
    <row r="2085" spans="1:8" ht="25.5">
      <c r="B2085" s="173" t="s">
        <v>2947</v>
      </c>
      <c r="C2085" s="221" t="s">
        <v>2948</v>
      </c>
      <c r="D2085" s="159" t="s">
        <v>119</v>
      </c>
      <c r="E2085" s="159" t="s">
        <v>139</v>
      </c>
      <c r="F2085" s="174">
        <v>1</v>
      </c>
      <c r="G2085" s="160">
        <v>39.61</v>
      </c>
      <c r="H2085" s="160">
        <f>ROUND(ROUND(F2085,8)*G2085,2)</f>
        <v>39.61</v>
      </c>
    </row>
    <row r="2086" spans="1:8">
      <c r="B2086" s="222"/>
      <c r="C2086" s="222"/>
      <c r="D2086" s="222"/>
      <c r="E2086" s="222"/>
      <c r="F2086" s="630" t="s">
        <v>604</v>
      </c>
      <c r="G2086" s="630"/>
      <c r="H2086" s="102">
        <f>SUM(H2083:H2085)</f>
        <v>306.46000000000004</v>
      </c>
    </row>
    <row r="2087" spans="1:8">
      <c r="B2087" s="628" t="s">
        <v>584</v>
      </c>
      <c r="C2087" s="628"/>
      <c r="D2087" s="103" t="s">
        <v>579</v>
      </c>
      <c r="E2087" s="103" t="s">
        <v>580</v>
      </c>
      <c r="F2087" s="103" t="s">
        <v>581</v>
      </c>
      <c r="G2087" s="103" t="s">
        <v>582</v>
      </c>
      <c r="H2087" s="103" t="s">
        <v>583</v>
      </c>
    </row>
    <row r="2088" spans="1:8">
      <c r="B2088" s="152">
        <v>88278</v>
      </c>
      <c r="C2088" s="153" t="s">
        <v>1330</v>
      </c>
      <c r="D2088" s="152" t="s">
        <v>119</v>
      </c>
      <c r="E2088" s="152" t="s">
        <v>121</v>
      </c>
      <c r="F2088" s="174">
        <v>0.17</v>
      </c>
      <c r="G2088" s="160">
        <v>25.64</v>
      </c>
      <c r="H2088" s="160">
        <f>ROUND(ROUND(F2088,8)*G2088,2)</f>
        <v>4.3600000000000003</v>
      </c>
    </row>
    <row r="2089" spans="1:8">
      <c r="B2089" s="159">
        <v>88309</v>
      </c>
      <c r="C2089" s="221" t="s">
        <v>640</v>
      </c>
      <c r="D2089" s="159" t="s">
        <v>119</v>
      </c>
      <c r="E2089" s="159" t="s">
        <v>121</v>
      </c>
      <c r="F2089" s="174">
        <v>0.73</v>
      </c>
      <c r="G2089" s="160">
        <v>31.34</v>
      </c>
      <c r="H2089" s="160">
        <f>ROUND(ROUND(F2089,8)*G2089,2)</f>
        <v>22.88</v>
      </c>
    </row>
    <row r="2090" spans="1:8">
      <c r="B2090" s="159">
        <v>88316</v>
      </c>
      <c r="C2090" s="221" t="s">
        <v>626</v>
      </c>
      <c r="D2090" s="159" t="s">
        <v>119</v>
      </c>
      <c r="E2090" s="159" t="s">
        <v>121</v>
      </c>
      <c r="F2090" s="174">
        <v>0.85</v>
      </c>
      <c r="G2090" s="160">
        <v>23.75</v>
      </c>
      <c r="H2090" s="160">
        <f>ROUND(ROUND(F2090,8)*G2090,2)</f>
        <v>20.190000000000001</v>
      </c>
    </row>
    <row r="2091" spans="1:8">
      <c r="B2091" s="225"/>
      <c r="C2091" s="223"/>
      <c r="D2091" s="225"/>
      <c r="E2091" s="225"/>
      <c r="F2091" s="630" t="s">
        <v>2146</v>
      </c>
      <c r="G2091" s="630" t="s">
        <v>2137</v>
      </c>
      <c r="H2091" s="102">
        <f>SUM(H2088:H2090)</f>
        <v>47.43</v>
      </c>
    </row>
    <row r="2092" spans="1:8">
      <c r="B2092" s="222"/>
      <c r="C2092" s="222"/>
      <c r="D2092" s="222"/>
      <c r="E2092" s="222"/>
      <c r="F2092" s="645" t="s">
        <v>464</v>
      </c>
      <c r="G2092" s="645"/>
      <c r="H2092" s="158">
        <f>H2091+H2086</f>
        <v>353.89000000000004</v>
      </c>
    </row>
    <row r="2094" spans="1:8">
      <c r="B2094" s="245" t="s">
        <v>3979</v>
      </c>
    </row>
    <row r="2095" spans="1:8">
      <c r="B2095" s="222"/>
      <c r="C2095" s="222"/>
      <c r="D2095" s="222"/>
      <c r="E2095" s="222"/>
      <c r="F2095" s="111"/>
      <c r="G2095" s="111"/>
      <c r="H2095" s="228"/>
    </row>
    <row r="2096" spans="1:8">
      <c r="A2096" s="178" t="str">
        <f>'3 - PLAN. ORÇAMENTÁRIA'!A387</f>
        <v>4.4.4.4</v>
      </c>
      <c r="B2096" s="178" t="str">
        <f>'3 - PLAN. ORÇAMENTÁRIA'!B387</f>
        <v>CCU 044</v>
      </c>
      <c r="C2096" s="638" t="str">
        <f>'3 - PLAN. ORÇAMENTÁRIA'!C387</f>
        <v>KIT DE AUTOMATIZAÇÃO DE PORTÃO, INCLUSO: FERRAGENS (VIGA U, ROLDANAS COM PINO, CABO DE AÇO, CHAPA E MONTANTE, ETC.) E MOTOR PPA 1/4 CV - 220V REF. I01276/ORSE</v>
      </c>
      <c r="D2096" s="632"/>
      <c r="E2096" s="632"/>
      <c r="F2096" s="632"/>
      <c r="G2096" s="633"/>
      <c r="H2096" s="131" t="s">
        <v>144</v>
      </c>
    </row>
    <row r="2097" spans="1:8">
      <c r="F2097" s="645" t="s">
        <v>464</v>
      </c>
      <c r="G2097" s="645"/>
      <c r="H2097" s="158">
        <v>1545.12</v>
      </c>
    </row>
    <row r="2099" spans="1:8">
      <c r="B2099" s="245" t="s">
        <v>2544</v>
      </c>
    </row>
    <row r="2100" spans="1:8">
      <c r="B2100" s="222"/>
      <c r="C2100" s="222"/>
      <c r="D2100" s="222"/>
      <c r="E2100" s="222"/>
      <c r="F2100" s="111"/>
      <c r="G2100" s="111"/>
      <c r="H2100" s="228"/>
    </row>
    <row r="2101" spans="1:8">
      <c r="A2101" s="178" t="str">
        <f>'3 - PLAN. ORÇAMENTÁRIA'!A625</f>
        <v>6.4.1.3</v>
      </c>
      <c r="B2101" s="178" t="str">
        <f>'3 - PLAN. ORÇAMENTÁRIA'!B625</f>
        <v>CCU 079</v>
      </c>
      <c r="C2101" s="631" t="str">
        <f>'3 - PLAN. ORÇAMENTÁRIA'!C625</f>
        <v>FORNECIMENTO E INSTALAÇÃO DE MINI RACK DE PAREDE 19" x 9U REF. S08439/ORSE</v>
      </c>
      <c r="D2101" s="632"/>
      <c r="E2101" s="632"/>
      <c r="F2101" s="632"/>
      <c r="G2101" s="633"/>
      <c r="H2101" s="131" t="s">
        <v>144</v>
      </c>
    </row>
    <row r="2102" spans="1:8">
      <c r="B2102" s="628" t="s">
        <v>593</v>
      </c>
      <c r="C2102" s="628"/>
      <c r="D2102" s="103" t="s">
        <v>579</v>
      </c>
      <c r="E2102" s="103" t="s">
        <v>580</v>
      </c>
      <c r="F2102" s="103" t="s">
        <v>581</v>
      </c>
      <c r="G2102" s="103" t="s">
        <v>582</v>
      </c>
      <c r="H2102" s="103" t="s">
        <v>583</v>
      </c>
    </row>
    <row r="2103" spans="1:8">
      <c r="B2103" s="159" t="s">
        <v>2295</v>
      </c>
      <c r="C2103" s="221" t="s">
        <v>2296</v>
      </c>
      <c r="D2103" s="159" t="s">
        <v>158</v>
      </c>
      <c r="E2103" s="159" t="s">
        <v>1048</v>
      </c>
      <c r="F2103" s="233">
        <v>1</v>
      </c>
      <c r="G2103" s="232">
        <v>474.9</v>
      </c>
      <c r="H2103" s="160">
        <f>ROUND(ROUND(F2103,8)*G2103,2)</f>
        <v>474.9</v>
      </c>
    </row>
    <row r="2104" spans="1:8">
      <c r="F2104" s="645" t="s">
        <v>604</v>
      </c>
      <c r="G2104" s="645"/>
      <c r="H2104" s="158">
        <f>H2103</f>
        <v>474.9</v>
      </c>
    </row>
    <row r="2105" spans="1:8">
      <c r="B2105" s="628" t="s">
        <v>584</v>
      </c>
      <c r="C2105" s="628"/>
      <c r="D2105" s="103" t="s">
        <v>579</v>
      </c>
      <c r="E2105" s="103" t="s">
        <v>580</v>
      </c>
      <c r="F2105" s="103" t="s">
        <v>581</v>
      </c>
      <c r="G2105" s="103" t="s">
        <v>582</v>
      </c>
      <c r="H2105" s="103" t="s">
        <v>583</v>
      </c>
    </row>
    <row r="2106" spans="1:8">
      <c r="B2106" s="159" t="s">
        <v>2101</v>
      </c>
      <c r="C2106" s="221" t="s">
        <v>2102</v>
      </c>
      <c r="D2106" s="159" t="s">
        <v>158</v>
      </c>
      <c r="E2106" s="159" t="s">
        <v>121</v>
      </c>
      <c r="F2106" s="233">
        <v>2</v>
      </c>
      <c r="G2106" s="232">
        <v>19.13</v>
      </c>
      <c r="H2106" s="160">
        <f>ROUND(ROUND(F2106,8)*G2106,2)</f>
        <v>38.26</v>
      </c>
    </row>
    <row r="2107" spans="1:8">
      <c r="B2107" s="159" t="s">
        <v>2097</v>
      </c>
      <c r="C2107" s="221" t="s">
        <v>2098</v>
      </c>
      <c r="D2107" s="159" t="s">
        <v>158</v>
      </c>
      <c r="E2107" s="159" t="s">
        <v>121</v>
      </c>
      <c r="F2107" s="233">
        <v>2</v>
      </c>
      <c r="G2107" s="232">
        <v>3.74</v>
      </c>
      <c r="H2107" s="160">
        <f>ROUND(ROUND(F2107,8)*G2107,2)</f>
        <v>7.48</v>
      </c>
    </row>
    <row r="2108" spans="1:8">
      <c r="B2108" s="159">
        <v>88316</v>
      </c>
      <c r="C2108" s="221" t="s">
        <v>626</v>
      </c>
      <c r="D2108" s="159" t="s">
        <v>119</v>
      </c>
      <c r="E2108" s="159" t="s">
        <v>121</v>
      </c>
      <c r="F2108" s="233">
        <v>2</v>
      </c>
      <c r="G2108" s="232">
        <v>23.75</v>
      </c>
      <c r="H2108" s="160">
        <f>ROUND(ROUND(F2108,8)*G2108,2)</f>
        <v>47.5</v>
      </c>
    </row>
    <row r="2109" spans="1:8">
      <c r="C2109" s="225"/>
      <c r="D2109" s="223"/>
      <c r="E2109" s="225"/>
      <c r="F2109" s="645" t="s">
        <v>585</v>
      </c>
      <c r="G2109" s="645"/>
      <c r="H2109" s="158">
        <f>H2106+H2107+H2108</f>
        <v>93.24</v>
      </c>
    </row>
    <row r="2110" spans="1:8">
      <c r="F2110" s="645" t="s">
        <v>464</v>
      </c>
      <c r="G2110" s="645"/>
      <c r="H2110" s="158">
        <f>H2104+H2109</f>
        <v>568.14</v>
      </c>
    </row>
    <row r="2112" spans="1:8">
      <c r="B2112" s="245" t="s">
        <v>2544</v>
      </c>
    </row>
    <row r="2113" spans="1:8">
      <c r="B2113" s="222"/>
      <c r="C2113" s="222"/>
      <c r="D2113" s="222"/>
      <c r="E2113" s="222"/>
      <c r="F2113" s="111"/>
      <c r="G2113" s="111"/>
      <c r="H2113" s="228"/>
    </row>
    <row r="2114" spans="1:8" ht="27" customHeight="1">
      <c r="A2114" s="178" t="str">
        <f>'3 - PLAN. ORÇAMENTÁRIA'!A34</f>
        <v>2.1.3.3</v>
      </c>
      <c r="B2114" s="178" t="str">
        <f>'3 - PLAN. ORÇAMENTÁRIA'!B34</f>
        <v>CCU 107</v>
      </c>
      <c r="C2114" s="631" t="str">
        <f>'3 - PLAN. ORÇAMENTÁRIA'!C34</f>
        <v>PLACA DE INAUGURAÇÃO DE OBRA EM ALUMÍNIO 0,15 X 0,39 M REF.S03239/ORSE</v>
      </c>
      <c r="D2114" s="632"/>
      <c r="E2114" s="632"/>
      <c r="F2114" s="632"/>
      <c r="G2114" s="633"/>
      <c r="H2114" s="131" t="s">
        <v>144</v>
      </c>
    </row>
    <row r="2115" spans="1:8">
      <c r="B2115" s="628" t="s">
        <v>593</v>
      </c>
      <c r="C2115" s="628"/>
      <c r="D2115" s="103" t="s">
        <v>579</v>
      </c>
      <c r="E2115" s="103" t="s">
        <v>580</v>
      </c>
      <c r="F2115" s="103" t="s">
        <v>581</v>
      </c>
      <c r="G2115" s="103" t="s">
        <v>582</v>
      </c>
      <c r="H2115" s="103" t="s">
        <v>583</v>
      </c>
    </row>
    <row r="2116" spans="1:8">
      <c r="B2116" s="159" t="s">
        <v>622</v>
      </c>
      <c r="C2116" s="221" t="s">
        <v>623</v>
      </c>
      <c r="D2116" s="159" t="s">
        <v>158</v>
      </c>
      <c r="E2116" s="159" t="s">
        <v>613</v>
      </c>
      <c r="F2116" s="174">
        <v>1</v>
      </c>
      <c r="G2116" s="160">
        <v>261.72000000000003</v>
      </c>
      <c r="H2116" s="160">
        <f>ROUND(ROUND(F2116,8)*G2116,2)</f>
        <v>261.72000000000003</v>
      </c>
    </row>
    <row r="2117" spans="1:8">
      <c r="B2117" s="222"/>
      <c r="C2117" s="222"/>
      <c r="D2117" s="222"/>
      <c r="E2117" s="222"/>
      <c r="F2117" s="630" t="s">
        <v>604</v>
      </c>
      <c r="G2117" s="630"/>
      <c r="H2117" s="102">
        <f>H2116</f>
        <v>261.72000000000003</v>
      </c>
    </row>
    <row r="2118" spans="1:8">
      <c r="B2118" s="628" t="s">
        <v>584</v>
      </c>
      <c r="C2118" s="628"/>
      <c r="D2118" s="103" t="s">
        <v>579</v>
      </c>
      <c r="E2118" s="103" t="s">
        <v>580</v>
      </c>
      <c r="F2118" s="103" t="s">
        <v>581</v>
      </c>
      <c r="G2118" s="103" t="s">
        <v>582</v>
      </c>
      <c r="H2118" s="103" t="s">
        <v>583</v>
      </c>
    </row>
    <row r="2119" spans="1:8">
      <c r="B2119" s="159">
        <v>88309</v>
      </c>
      <c r="C2119" s="221" t="s">
        <v>640</v>
      </c>
      <c r="D2119" s="159" t="s">
        <v>119</v>
      </c>
      <c r="E2119" s="159" t="s">
        <v>619</v>
      </c>
      <c r="F2119" s="174">
        <v>0.6</v>
      </c>
      <c r="G2119" s="160">
        <v>31.34</v>
      </c>
      <c r="H2119" s="160">
        <f>ROUND(ROUND(F2119,8)*G2119,2)</f>
        <v>18.8</v>
      </c>
    </row>
    <row r="2120" spans="1:8">
      <c r="B2120" s="159">
        <v>88316</v>
      </c>
      <c r="C2120" s="221" t="s">
        <v>626</v>
      </c>
      <c r="D2120" s="159" t="s">
        <v>119</v>
      </c>
      <c r="E2120" s="159" t="s">
        <v>619</v>
      </c>
      <c r="F2120" s="174">
        <v>0.6</v>
      </c>
      <c r="G2120" s="160">
        <v>23.75</v>
      </c>
      <c r="H2120" s="160">
        <f>ROUND(ROUND(F2120,8)*G2120,2)</f>
        <v>14.25</v>
      </c>
    </row>
    <row r="2121" spans="1:8">
      <c r="B2121" s="222"/>
      <c r="C2121" s="222"/>
      <c r="D2121" s="222"/>
      <c r="E2121" s="222"/>
      <c r="F2121" s="630" t="s">
        <v>585</v>
      </c>
      <c r="G2121" s="630"/>
      <c r="H2121" s="102">
        <f>H2119+H2120</f>
        <v>33.049999999999997</v>
      </c>
    </row>
    <row r="2122" spans="1:8">
      <c r="B2122" s="628" t="s">
        <v>586</v>
      </c>
      <c r="C2122" s="628"/>
      <c r="D2122" s="103" t="s">
        <v>579</v>
      </c>
      <c r="E2122" s="103" t="s">
        <v>580</v>
      </c>
      <c r="F2122" s="103" t="s">
        <v>581</v>
      </c>
      <c r="G2122" s="103" t="s">
        <v>582</v>
      </c>
      <c r="H2122" s="103" t="s">
        <v>583</v>
      </c>
    </row>
    <row r="2123" spans="1:8" ht="25.5">
      <c r="B2123" s="159">
        <v>87292</v>
      </c>
      <c r="C2123" s="221" t="s">
        <v>1461</v>
      </c>
      <c r="D2123" s="159" t="s">
        <v>119</v>
      </c>
      <c r="E2123" s="159" t="s">
        <v>624</v>
      </c>
      <c r="F2123" s="174">
        <v>2E-3</v>
      </c>
      <c r="G2123" s="160">
        <v>627.42999999999995</v>
      </c>
      <c r="H2123" s="160">
        <f>ROUND(ROUND(F2123,8)*G2123,2)</f>
        <v>1.25</v>
      </c>
    </row>
    <row r="2124" spans="1:8">
      <c r="B2124" s="222"/>
      <c r="C2124" s="222"/>
      <c r="D2124" s="222"/>
      <c r="E2124" s="222"/>
      <c r="F2124" s="630" t="s">
        <v>587</v>
      </c>
      <c r="G2124" s="630"/>
      <c r="H2124" s="102">
        <f>H2123</f>
        <v>1.25</v>
      </c>
    </row>
    <row r="2125" spans="1:8">
      <c r="B2125" s="222"/>
      <c r="C2125" s="222"/>
      <c r="D2125" s="222"/>
      <c r="E2125" s="222"/>
      <c r="F2125" s="630" t="s">
        <v>464</v>
      </c>
      <c r="G2125" s="630"/>
      <c r="H2125" s="102">
        <f>H2117+H2121+H2124</f>
        <v>296.02000000000004</v>
      </c>
    </row>
    <row r="2127" spans="1:8">
      <c r="B2127" s="245" t="s">
        <v>2544</v>
      </c>
    </row>
    <row r="2128" spans="1:8">
      <c r="B2128" s="222"/>
      <c r="C2128" s="222"/>
      <c r="D2128" s="222"/>
      <c r="E2128" s="222"/>
      <c r="F2128" s="111"/>
      <c r="G2128" s="111"/>
      <c r="H2128" s="228"/>
    </row>
    <row r="2129" spans="1:8" ht="27" customHeight="1">
      <c r="A2129" s="178" t="str">
        <f>'3 - PLAN. ORÇAMENTÁRIA'!A46</f>
        <v>2.3.2.1</v>
      </c>
      <c r="B2129" s="178" t="str">
        <f>'3 - PLAN. ORÇAMENTÁRIA'!B46</f>
        <v>CCU 108</v>
      </c>
      <c r="C2129" s="631" t="str">
        <f>'3 - PLAN. ORÇAMENTÁRIA'!C46</f>
        <v>LOCAÇÃO DE MURO, INCLUSIVE EXECUÇÃO DE GABARITO DE MADEIRA REF. S04816/ORSE</v>
      </c>
      <c r="D2129" s="632"/>
      <c r="E2129" s="632"/>
      <c r="F2129" s="632"/>
      <c r="G2129" s="633"/>
      <c r="H2129" s="131" t="s">
        <v>173</v>
      </c>
    </row>
    <row r="2130" spans="1:8">
      <c r="B2130" s="628" t="s">
        <v>593</v>
      </c>
      <c r="C2130" s="628"/>
      <c r="D2130" s="103" t="s">
        <v>579</v>
      </c>
      <c r="E2130" s="103" t="s">
        <v>580</v>
      </c>
      <c r="F2130" s="103" t="s">
        <v>581</v>
      </c>
      <c r="G2130" s="103" t="s">
        <v>582</v>
      </c>
      <c r="H2130" s="103" t="s">
        <v>583</v>
      </c>
    </row>
    <row r="2131" spans="1:8">
      <c r="B2131" s="173" t="s">
        <v>1013</v>
      </c>
      <c r="C2131" s="221" t="s">
        <v>1014</v>
      </c>
      <c r="D2131" s="159" t="s">
        <v>119</v>
      </c>
      <c r="E2131" s="159" t="s">
        <v>621</v>
      </c>
      <c r="F2131" s="174">
        <v>4.0000000000000001E-3</v>
      </c>
      <c r="G2131" s="160">
        <v>27.64</v>
      </c>
      <c r="H2131" s="160">
        <f>ROUND(ROUND(F2131,8)*G2131,2)</f>
        <v>0.11</v>
      </c>
    </row>
    <row r="2132" spans="1:8">
      <c r="B2132" s="173" t="s">
        <v>2535</v>
      </c>
      <c r="C2132" s="221" t="s">
        <v>2534</v>
      </c>
      <c r="D2132" s="159" t="s">
        <v>158</v>
      </c>
      <c r="E2132" s="159" t="s">
        <v>173</v>
      </c>
      <c r="F2132" s="174">
        <v>1.7999999999999999E-2</v>
      </c>
      <c r="G2132" s="160">
        <v>6.75</v>
      </c>
      <c r="H2132" s="160">
        <f>ROUND(ROUND(F2132,8)*G2132,2)</f>
        <v>0.12</v>
      </c>
    </row>
    <row r="2133" spans="1:8">
      <c r="B2133" s="173" t="s">
        <v>1015</v>
      </c>
      <c r="C2133" s="221" t="s">
        <v>1016</v>
      </c>
      <c r="D2133" s="159" t="s">
        <v>119</v>
      </c>
      <c r="E2133" s="159" t="s">
        <v>621</v>
      </c>
      <c r="F2133" s="174">
        <v>2.3999999999999998E-3</v>
      </c>
      <c r="G2133" s="160">
        <v>19.95</v>
      </c>
      <c r="H2133" s="160">
        <f>ROUND(ROUND(F2133,8)*G2133,2)</f>
        <v>0.05</v>
      </c>
    </row>
    <row r="2134" spans="1:8">
      <c r="B2134" s="173" t="s">
        <v>630</v>
      </c>
      <c r="C2134" s="221" t="s">
        <v>631</v>
      </c>
      <c r="D2134" s="159" t="s">
        <v>119</v>
      </c>
      <c r="E2134" s="159" t="s">
        <v>614</v>
      </c>
      <c r="F2134" s="174">
        <v>2.1999999999999999E-2</v>
      </c>
      <c r="G2134" s="160">
        <v>8.7899999999999991</v>
      </c>
      <c r="H2134" s="160">
        <f>ROUND(ROUND(F2134,8)*G2134,2)</f>
        <v>0.19</v>
      </c>
    </row>
    <row r="2135" spans="1:8">
      <c r="B2135" s="222"/>
      <c r="C2135" s="222"/>
      <c r="D2135" s="222"/>
      <c r="E2135" s="222"/>
      <c r="F2135" s="630" t="s">
        <v>604</v>
      </c>
      <c r="G2135" s="630"/>
      <c r="H2135" s="102">
        <f>SUM(H2131:H2134)</f>
        <v>0.47</v>
      </c>
    </row>
    <row r="2136" spans="1:8">
      <c r="B2136" s="628" t="s">
        <v>584</v>
      </c>
      <c r="C2136" s="628"/>
      <c r="D2136" s="103" t="s">
        <v>579</v>
      </c>
      <c r="E2136" s="103" t="s">
        <v>580</v>
      </c>
      <c r="F2136" s="103" t="s">
        <v>581</v>
      </c>
      <c r="G2136" s="103" t="s">
        <v>582</v>
      </c>
      <c r="H2136" s="103" t="s">
        <v>583</v>
      </c>
    </row>
    <row r="2137" spans="1:8">
      <c r="B2137" s="159">
        <v>88253</v>
      </c>
      <c r="C2137" s="221" t="s">
        <v>1004</v>
      </c>
      <c r="D2137" s="159" t="s">
        <v>119</v>
      </c>
      <c r="E2137" s="159" t="s">
        <v>619</v>
      </c>
      <c r="F2137" s="174">
        <v>4.0000000000000001E-3</v>
      </c>
      <c r="G2137" s="160">
        <v>12.19</v>
      </c>
      <c r="H2137" s="160">
        <f>ROUND(ROUND(F2137,8)*G2137,2)</f>
        <v>0.05</v>
      </c>
    </row>
    <row r="2138" spans="1:8">
      <c r="B2138" s="159">
        <v>88262</v>
      </c>
      <c r="C2138" s="221" t="s">
        <v>618</v>
      </c>
      <c r="D2138" s="159" t="s">
        <v>119</v>
      </c>
      <c r="E2138" s="159" t="s">
        <v>619</v>
      </c>
      <c r="F2138" s="174">
        <v>8.0000000000000002E-3</v>
      </c>
      <c r="G2138" s="160">
        <v>30.91</v>
      </c>
      <c r="H2138" s="160">
        <f>ROUND(ROUND(F2138,8)*G2138,2)</f>
        <v>0.25</v>
      </c>
    </row>
    <row r="2139" spans="1:8">
      <c r="B2139" s="159">
        <v>88316</v>
      </c>
      <c r="C2139" s="221" t="s">
        <v>626</v>
      </c>
      <c r="D2139" s="159" t="s">
        <v>119</v>
      </c>
      <c r="E2139" s="159" t="s">
        <v>619</v>
      </c>
      <c r="F2139" s="174">
        <v>8.0000000000000002E-3</v>
      </c>
      <c r="G2139" s="160">
        <v>23.75</v>
      </c>
      <c r="H2139" s="160">
        <f>ROUND(ROUND(F2139,8)*G2139,2)</f>
        <v>0.19</v>
      </c>
    </row>
    <row r="2140" spans="1:8">
      <c r="B2140" s="159">
        <v>90781</v>
      </c>
      <c r="C2140" s="221" t="s">
        <v>1005</v>
      </c>
      <c r="D2140" s="159" t="s">
        <v>119</v>
      </c>
      <c r="E2140" s="159" t="s">
        <v>619</v>
      </c>
      <c r="F2140" s="174">
        <v>4.0000000000000001E-3</v>
      </c>
      <c r="G2140" s="160">
        <v>24.31</v>
      </c>
      <c r="H2140" s="160">
        <f>ROUND(ROUND(F2140,8)*G2140,2)</f>
        <v>0.1</v>
      </c>
    </row>
    <row r="2141" spans="1:8">
      <c r="B2141" s="222"/>
      <c r="C2141" s="222"/>
      <c r="D2141" s="222"/>
      <c r="E2141" s="222"/>
      <c r="F2141" s="630" t="s">
        <v>585</v>
      </c>
      <c r="G2141" s="630"/>
      <c r="H2141" s="102">
        <f>SUM(H2137:H2140)</f>
        <v>0.59</v>
      </c>
    </row>
    <row r="2142" spans="1:8">
      <c r="B2142" s="222"/>
      <c r="C2142" s="222"/>
      <c r="D2142" s="222"/>
      <c r="E2142" s="222"/>
      <c r="F2142" s="630" t="s">
        <v>464</v>
      </c>
      <c r="G2142" s="630"/>
      <c r="H2142" s="102">
        <f>H2135+H2141</f>
        <v>1.06</v>
      </c>
    </row>
    <row r="2143" spans="1:8">
      <c r="B2143" s="222"/>
      <c r="C2143" s="222"/>
      <c r="D2143" s="222"/>
      <c r="E2143" s="222"/>
      <c r="F2143" s="646"/>
      <c r="G2143" s="646"/>
      <c r="H2143" s="646"/>
    </row>
    <row r="2144" spans="1:8">
      <c r="B2144" s="245" t="s">
        <v>2544</v>
      </c>
    </row>
    <row r="2145" spans="1:8">
      <c r="B2145" s="222"/>
      <c r="C2145" s="222"/>
      <c r="D2145" s="222"/>
      <c r="E2145" s="222"/>
      <c r="F2145" s="111"/>
      <c r="G2145" s="111"/>
      <c r="H2145" s="228"/>
    </row>
    <row r="2146" spans="1:8" ht="27" customHeight="1">
      <c r="A2146" s="178" t="str">
        <f>'3 - PLAN. ORÇAMENTÁRIA'!A280</f>
        <v>4.1.6.1.27</v>
      </c>
      <c r="B2146" s="178" t="str">
        <f>'3 - PLAN. ORÇAMENTÁRIA'!B280</f>
        <v>CCU 124</v>
      </c>
      <c r="C2146" s="631" t="str">
        <f>'3 - PLAN. ORÇAMENTÁRIA'!C280</f>
        <v>CABIDE EM AÇO INOX, DECA 2060 C40, ACABAMENTO CROMADO OU SIMILAR REF. S03708/ORSE</v>
      </c>
      <c r="D2146" s="632"/>
      <c r="E2146" s="632"/>
      <c r="F2146" s="632"/>
      <c r="G2146" s="633"/>
      <c r="H2146" s="131" t="s">
        <v>144</v>
      </c>
    </row>
    <row r="2147" spans="1:8">
      <c r="B2147" s="628" t="s">
        <v>593</v>
      </c>
      <c r="C2147" s="628"/>
      <c r="D2147" s="103" t="s">
        <v>579</v>
      </c>
      <c r="E2147" s="103" t="s">
        <v>580</v>
      </c>
      <c r="F2147" s="103" t="s">
        <v>581</v>
      </c>
      <c r="G2147" s="103" t="s">
        <v>582</v>
      </c>
      <c r="H2147" s="103" t="s">
        <v>583</v>
      </c>
    </row>
    <row r="2148" spans="1:8">
      <c r="B2148" s="159" t="s">
        <v>1147</v>
      </c>
      <c r="C2148" s="221" t="s">
        <v>1148</v>
      </c>
      <c r="D2148" s="159" t="s">
        <v>158</v>
      </c>
      <c r="E2148" s="159" t="s">
        <v>1048</v>
      </c>
      <c r="F2148" s="174">
        <v>1</v>
      </c>
      <c r="G2148" s="160">
        <v>99.9</v>
      </c>
      <c r="H2148" s="160">
        <f>ROUND(ROUND(F2148,8)*G2148,2)</f>
        <v>99.9</v>
      </c>
    </row>
    <row r="2149" spans="1:8">
      <c r="F2149" s="630" t="s">
        <v>604</v>
      </c>
      <c r="G2149" s="630"/>
      <c r="H2149" s="102">
        <f>H2148</f>
        <v>99.9</v>
      </c>
    </row>
    <row r="2150" spans="1:8">
      <c r="B2150" s="628" t="s">
        <v>584</v>
      </c>
      <c r="C2150" s="628"/>
      <c r="D2150" s="103" t="s">
        <v>579</v>
      </c>
      <c r="E2150" s="103" t="s">
        <v>580</v>
      </c>
      <c r="F2150" s="103" t="s">
        <v>581</v>
      </c>
      <c r="G2150" s="103" t="s">
        <v>582</v>
      </c>
      <c r="H2150" s="103" t="s">
        <v>583</v>
      </c>
    </row>
    <row r="2151" spans="1:8">
      <c r="B2151" s="159">
        <v>88309</v>
      </c>
      <c r="C2151" s="221" t="s">
        <v>640</v>
      </c>
      <c r="D2151" s="159" t="s">
        <v>119</v>
      </c>
      <c r="E2151" s="159" t="s">
        <v>619</v>
      </c>
      <c r="F2151" s="174">
        <v>0.7</v>
      </c>
      <c r="G2151" s="160">
        <v>31.34</v>
      </c>
      <c r="H2151" s="160">
        <f>ROUND(ROUND(F2151,8)*G2151,2)</f>
        <v>21.94</v>
      </c>
    </row>
    <row r="2152" spans="1:8">
      <c r="B2152" s="222"/>
      <c r="C2152" s="222"/>
      <c r="D2152" s="222"/>
      <c r="E2152" s="222"/>
      <c r="F2152" s="630" t="s">
        <v>585</v>
      </c>
      <c r="G2152" s="630"/>
      <c r="H2152" s="102">
        <f>H2151</f>
        <v>21.94</v>
      </c>
    </row>
    <row r="2153" spans="1:8">
      <c r="B2153" s="222"/>
      <c r="C2153" s="222"/>
      <c r="D2153" s="222"/>
      <c r="E2153" s="222"/>
      <c r="F2153" s="630" t="s">
        <v>464</v>
      </c>
      <c r="G2153" s="630"/>
      <c r="H2153" s="102">
        <f>H2149+H2152</f>
        <v>121.84</v>
      </c>
    </row>
    <row r="2154" spans="1:8">
      <c r="B2154" s="222"/>
      <c r="C2154" s="222"/>
      <c r="D2154" s="222"/>
      <c r="E2154" s="222"/>
      <c r="F2154" s="226"/>
      <c r="G2154" s="226"/>
      <c r="H2154" s="226"/>
    </row>
    <row r="2155" spans="1:8">
      <c r="B2155" s="245" t="s">
        <v>2544</v>
      </c>
    </row>
    <row r="2156" spans="1:8">
      <c r="B2156" s="222"/>
      <c r="C2156" s="222"/>
      <c r="D2156" s="222"/>
      <c r="E2156" s="222"/>
      <c r="F2156" s="111"/>
      <c r="G2156" s="111"/>
      <c r="H2156" s="228"/>
    </row>
    <row r="2157" spans="1:8" ht="27" customHeight="1">
      <c r="A2157" s="178" t="str">
        <f>'3 - PLAN. ORÇAMENTÁRIA'!A282</f>
        <v>4.1.6.1.29</v>
      </c>
      <c r="B2157" s="178" t="str">
        <f>'3 - PLAN. ORÇAMENTÁRIA'!B282</f>
        <v>CCU 125</v>
      </c>
      <c r="C2157" s="631" t="str">
        <f>'3 - PLAN. ORÇAMENTÁRIA'!C282</f>
        <v>TAMPO/BANCADA EM GRANITO BRANCO SIENA, E=2CM REF. S12492/ORSE</v>
      </c>
      <c r="D2157" s="632"/>
      <c r="E2157" s="632"/>
      <c r="F2157" s="632"/>
      <c r="G2157" s="633"/>
      <c r="H2157" s="131" t="s">
        <v>139</v>
      </c>
    </row>
    <row r="2158" spans="1:8">
      <c r="B2158" s="628" t="s">
        <v>593</v>
      </c>
      <c r="C2158" s="628"/>
      <c r="D2158" s="103" t="s">
        <v>579</v>
      </c>
      <c r="E2158" s="103" t="s">
        <v>580</v>
      </c>
      <c r="F2158" s="103" t="s">
        <v>581</v>
      </c>
      <c r="G2158" s="103" t="s">
        <v>582</v>
      </c>
      <c r="H2158" s="103" t="s">
        <v>583</v>
      </c>
    </row>
    <row r="2159" spans="1:8">
      <c r="B2159" s="159" t="s">
        <v>664</v>
      </c>
      <c r="C2159" s="221" t="s">
        <v>665</v>
      </c>
      <c r="D2159" s="159" t="s">
        <v>158</v>
      </c>
      <c r="E2159" s="159" t="s">
        <v>620</v>
      </c>
      <c r="F2159" s="174">
        <v>1</v>
      </c>
      <c r="G2159" s="160">
        <v>616.79</v>
      </c>
      <c r="H2159" s="160">
        <f>ROUND(ROUND(F2159,8)*G2159,2)</f>
        <v>616.79</v>
      </c>
    </row>
    <row r="2160" spans="1:8">
      <c r="B2160" s="173" t="s">
        <v>2335</v>
      </c>
      <c r="C2160" s="221" t="s">
        <v>1555</v>
      </c>
      <c r="D2160" s="159" t="s">
        <v>119</v>
      </c>
      <c r="E2160" s="159" t="s">
        <v>621</v>
      </c>
      <c r="F2160" s="174">
        <v>0.29039999999999999</v>
      </c>
      <c r="G2160" s="160">
        <v>45.42</v>
      </c>
      <c r="H2160" s="160">
        <f>ROUND(ROUND(F2160,8)*G2160,2)</f>
        <v>13.19</v>
      </c>
    </row>
    <row r="2161" spans="1:8">
      <c r="B2161" s="222"/>
      <c r="C2161" s="222"/>
      <c r="D2161" s="222"/>
      <c r="E2161" s="222"/>
      <c r="F2161" s="630" t="s">
        <v>3827</v>
      </c>
      <c r="G2161" s="630"/>
      <c r="H2161" s="102">
        <f>H2159+H2160</f>
        <v>629.98</v>
      </c>
    </row>
    <row r="2162" spans="1:8">
      <c r="B2162" s="628" t="s">
        <v>584</v>
      </c>
      <c r="C2162" s="628"/>
      <c r="D2162" s="103" t="s">
        <v>579</v>
      </c>
      <c r="E2162" s="103" t="s">
        <v>580</v>
      </c>
      <c r="F2162" s="103" t="s">
        <v>581</v>
      </c>
      <c r="G2162" s="103" t="s">
        <v>582</v>
      </c>
      <c r="H2162" s="103" t="s">
        <v>583</v>
      </c>
    </row>
    <row r="2163" spans="1:8">
      <c r="B2163" s="159">
        <v>88309</v>
      </c>
      <c r="C2163" s="221" t="s">
        <v>640</v>
      </c>
      <c r="D2163" s="159" t="s">
        <v>119</v>
      </c>
      <c r="E2163" s="159" t="s">
        <v>619</v>
      </c>
      <c r="F2163" s="174">
        <v>0.65</v>
      </c>
      <c r="G2163" s="160">
        <v>31.34</v>
      </c>
      <c r="H2163" s="160">
        <f>ROUND(ROUND(F2163,8)*G2163,2)</f>
        <v>20.37</v>
      </c>
    </row>
    <row r="2164" spans="1:8">
      <c r="B2164" s="159">
        <v>88316</v>
      </c>
      <c r="C2164" s="221" t="s">
        <v>626</v>
      </c>
      <c r="D2164" s="159" t="s">
        <v>119</v>
      </c>
      <c r="E2164" s="159" t="s">
        <v>619</v>
      </c>
      <c r="F2164" s="174">
        <v>1.1399999999999999</v>
      </c>
      <c r="G2164" s="160">
        <v>23.75</v>
      </c>
      <c r="H2164" s="160">
        <f>ROUND(ROUND(F2164,8)*G2164,2)</f>
        <v>27.08</v>
      </c>
    </row>
    <row r="2165" spans="1:8">
      <c r="B2165" s="222"/>
      <c r="C2165" s="222"/>
      <c r="D2165" s="222"/>
      <c r="E2165" s="222"/>
      <c r="F2165" s="630" t="s">
        <v>585</v>
      </c>
      <c r="G2165" s="630"/>
      <c r="H2165" s="102">
        <f>H2163+H2164</f>
        <v>47.45</v>
      </c>
    </row>
    <row r="2166" spans="1:8">
      <c r="B2166" s="222"/>
      <c r="C2166" s="222"/>
      <c r="D2166" s="222"/>
      <c r="E2166" s="222"/>
      <c r="F2166" s="630" t="s">
        <v>464</v>
      </c>
      <c r="G2166" s="630"/>
      <c r="H2166" s="102">
        <f>H2161+H2165</f>
        <v>677.43000000000006</v>
      </c>
    </row>
    <row r="2167" spans="1:8">
      <c r="B2167" s="222"/>
      <c r="C2167" s="222"/>
      <c r="D2167" s="222"/>
      <c r="E2167" s="222"/>
      <c r="F2167" s="646"/>
      <c r="G2167" s="646"/>
      <c r="H2167" s="646"/>
    </row>
    <row r="2168" spans="1:8">
      <c r="B2168" s="245" t="s">
        <v>2544</v>
      </c>
    </row>
    <row r="2169" spans="1:8">
      <c r="B2169" s="222"/>
      <c r="C2169" s="222"/>
      <c r="D2169" s="222"/>
      <c r="E2169" s="222"/>
      <c r="F2169" s="111"/>
      <c r="G2169" s="111"/>
      <c r="H2169" s="228"/>
    </row>
    <row r="2170" spans="1:8" ht="27" customHeight="1">
      <c r="A2170" s="178" t="str">
        <f>'3 - PLAN. ORÇAMENTÁRIA'!A299</f>
        <v>4.2.1</v>
      </c>
      <c r="B2170" s="178" t="str">
        <f>'3 - PLAN. ORÇAMENTÁRIA'!B299</f>
        <v>CCU 133</v>
      </c>
      <c r="C2170" s="631" t="str">
        <f>'3 - PLAN. ORÇAMENTÁRIA'!C299</f>
        <v>SINALIZAÇÃO PARA DEFICIENTES/IDOSO - PLACA METÁLICA 50 X 70 CM - "ESTACIONAMENTO RESERVADO" REF. S07319/ORSE</v>
      </c>
      <c r="D2170" s="632"/>
      <c r="E2170" s="632"/>
      <c r="F2170" s="632"/>
      <c r="G2170" s="633"/>
      <c r="H2170" s="131" t="s">
        <v>144</v>
      </c>
    </row>
    <row r="2171" spans="1:8">
      <c r="B2171" s="628" t="s">
        <v>593</v>
      </c>
      <c r="C2171" s="628"/>
      <c r="D2171" s="103" t="s">
        <v>579</v>
      </c>
      <c r="E2171" s="103" t="s">
        <v>580</v>
      </c>
      <c r="F2171" s="103" t="s">
        <v>581</v>
      </c>
      <c r="G2171" s="103" t="s">
        <v>582</v>
      </c>
      <c r="H2171" s="103" t="s">
        <v>583</v>
      </c>
    </row>
    <row r="2172" spans="1:8">
      <c r="B2172" s="173" t="s">
        <v>2325</v>
      </c>
      <c r="C2172" s="221" t="s">
        <v>2326</v>
      </c>
      <c r="D2172" s="159" t="s">
        <v>119</v>
      </c>
      <c r="E2172" s="159" t="s">
        <v>624</v>
      </c>
      <c r="F2172" s="174">
        <v>7.1999999999999998E-3</v>
      </c>
      <c r="G2172" s="160">
        <v>1751.07</v>
      </c>
      <c r="H2172" s="160">
        <f>ROUND(ROUND(F2172,8)*G2172,2)</f>
        <v>12.61</v>
      </c>
    </row>
    <row r="2173" spans="1:8">
      <c r="B2173" s="159" t="s">
        <v>669</v>
      </c>
      <c r="C2173" s="221" t="s">
        <v>670</v>
      </c>
      <c r="D2173" s="159" t="s">
        <v>158</v>
      </c>
      <c r="E2173" s="159" t="s">
        <v>613</v>
      </c>
      <c r="F2173" s="174">
        <v>1</v>
      </c>
      <c r="G2173" s="160">
        <v>304.86</v>
      </c>
      <c r="H2173" s="160">
        <f>ROUND(ROUND(F2173,8)*G2173,2)</f>
        <v>304.86</v>
      </c>
    </row>
    <row r="2174" spans="1:8">
      <c r="B2174" s="222"/>
      <c r="C2174" s="222"/>
      <c r="D2174" s="222"/>
      <c r="E2174" s="222"/>
      <c r="F2174" s="630" t="s">
        <v>604</v>
      </c>
      <c r="G2174" s="630"/>
      <c r="H2174" s="102">
        <f>H2172+H2173</f>
        <v>317.47000000000003</v>
      </c>
    </row>
    <row r="2175" spans="1:8">
      <c r="B2175" s="628" t="s">
        <v>584</v>
      </c>
      <c r="C2175" s="628"/>
      <c r="D2175" s="103" t="s">
        <v>579</v>
      </c>
      <c r="E2175" s="103" t="s">
        <v>580</v>
      </c>
      <c r="F2175" s="103" t="s">
        <v>581</v>
      </c>
      <c r="G2175" s="103" t="s">
        <v>582</v>
      </c>
      <c r="H2175" s="103" t="s">
        <v>583</v>
      </c>
    </row>
    <row r="2176" spans="1:8">
      <c r="B2176" s="159">
        <v>88309</v>
      </c>
      <c r="C2176" s="221" t="s">
        <v>640</v>
      </c>
      <c r="D2176" s="159" t="s">
        <v>119</v>
      </c>
      <c r="E2176" s="159" t="s">
        <v>619</v>
      </c>
      <c r="F2176" s="174">
        <v>0.5</v>
      </c>
      <c r="G2176" s="160">
        <v>31.34</v>
      </c>
      <c r="H2176" s="160">
        <f>ROUND(ROUND(F2176,8)*G2176,2)</f>
        <v>15.67</v>
      </c>
    </row>
    <row r="2177" spans="1:8">
      <c r="B2177" s="159">
        <v>88316</v>
      </c>
      <c r="C2177" s="221" t="s">
        <v>626</v>
      </c>
      <c r="D2177" s="159" t="s">
        <v>119</v>
      </c>
      <c r="E2177" s="159" t="s">
        <v>619</v>
      </c>
      <c r="F2177" s="174">
        <v>0.2</v>
      </c>
      <c r="G2177" s="160">
        <v>23.75</v>
      </c>
      <c r="H2177" s="160">
        <f>ROUND(ROUND(F2177,8)*G2177,2)</f>
        <v>4.75</v>
      </c>
    </row>
    <row r="2178" spans="1:8">
      <c r="B2178" s="222"/>
      <c r="C2178" s="222"/>
      <c r="D2178" s="222"/>
      <c r="E2178" s="222"/>
      <c r="F2178" s="630" t="s">
        <v>585</v>
      </c>
      <c r="G2178" s="630"/>
      <c r="H2178" s="102">
        <f>H2176+H2177</f>
        <v>20.420000000000002</v>
      </c>
    </row>
    <row r="2179" spans="1:8">
      <c r="B2179" s="628" t="s">
        <v>586</v>
      </c>
      <c r="C2179" s="628"/>
      <c r="D2179" s="103" t="s">
        <v>579</v>
      </c>
      <c r="E2179" s="103" t="s">
        <v>580</v>
      </c>
      <c r="F2179" s="103" t="s">
        <v>581</v>
      </c>
      <c r="G2179" s="103" t="s">
        <v>582</v>
      </c>
      <c r="H2179" s="103" t="s">
        <v>583</v>
      </c>
    </row>
    <row r="2180" spans="1:8" ht="25.5">
      <c r="B2180" s="159">
        <v>94963</v>
      </c>
      <c r="C2180" s="221" t="s">
        <v>2336</v>
      </c>
      <c r="D2180" s="159" t="s">
        <v>119</v>
      </c>
      <c r="E2180" s="159" t="s">
        <v>624</v>
      </c>
      <c r="F2180" s="174">
        <v>7.0000000000000001E-3</v>
      </c>
      <c r="G2180" s="160">
        <v>469.3</v>
      </c>
      <c r="H2180" s="160">
        <f>ROUND(ROUND(F2180,8)*G2180,2)</f>
        <v>3.29</v>
      </c>
    </row>
    <row r="2181" spans="1:8">
      <c r="B2181" s="222"/>
      <c r="C2181" s="222"/>
      <c r="D2181" s="222"/>
      <c r="E2181" s="222"/>
      <c r="F2181" s="647" t="s">
        <v>587</v>
      </c>
      <c r="G2181" s="647"/>
      <c r="H2181" s="224">
        <f>H2180</f>
        <v>3.29</v>
      </c>
    </row>
    <row r="2182" spans="1:8">
      <c r="B2182" s="222"/>
      <c r="C2182" s="222"/>
      <c r="D2182" s="222"/>
      <c r="E2182" s="222"/>
      <c r="F2182" s="645" t="s">
        <v>464</v>
      </c>
      <c r="G2182" s="645"/>
      <c r="H2182" s="158">
        <f>H2174+H2178+H2181</f>
        <v>341.18000000000006</v>
      </c>
    </row>
    <row r="2183" spans="1:8">
      <c r="B2183" s="222"/>
      <c r="C2183" s="222"/>
      <c r="D2183" s="222"/>
      <c r="E2183" s="222"/>
      <c r="F2183" s="111"/>
      <c r="G2183" s="111"/>
      <c r="H2183" s="228"/>
    </row>
    <row r="2184" spans="1:8">
      <c r="B2184" s="245" t="s">
        <v>2544</v>
      </c>
    </row>
    <row r="2185" spans="1:8">
      <c r="B2185" s="222"/>
      <c r="C2185" s="222"/>
      <c r="D2185" s="222"/>
      <c r="E2185" s="222"/>
      <c r="F2185" s="111"/>
      <c r="G2185" s="111"/>
      <c r="H2185" s="228"/>
    </row>
    <row r="2186" spans="1:8" ht="27" customHeight="1">
      <c r="A2186" s="178" t="str">
        <f>'3 - PLAN. ORÇAMENTÁRIA'!A300</f>
        <v>4.2.2</v>
      </c>
      <c r="B2186" s="178" t="str">
        <f>'3 - PLAN. ORÇAMENTÁRIA'!B300</f>
        <v>CCU 134</v>
      </c>
      <c r="C2186" s="631" t="str">
        <f>'3 - PLAN. ORÇAMENTÁRIA'!C300</f>
        <v>SINALIZAÇÃO - PLACA EM BRAILLE E AMBIENTES - EM PVC, DIM: 23 X 15 CM REF. S07320/ORSE</v>
      </c>
      <c r="D2186" s="632"/>
      <c r="E2186" s="632"/>
      <c r="F2186" s="632"/>
      <c r="G2186" s="633"/>
      <c r="H2186" s="131" t="s">
        <v>144</v>
      </c>
    </row>
    <row r="2187" spans="1:8">
      <c r="B2187" s="628" t="s">
        <v>593</v>
      </c>
      <c r="C2187" s="628"/>
      <c r="D2187" s="103" t="s">
        <v>579</v>
      </c>
      <c r="E2187" s="103" t="s">
        <v>580</v>
      </c>
      <c r="F2187" s="103" t="s">
        <v>581</v>
      </c>
      <c r="G2187" s="103" t="s">
        <v>582</v>
      </c>
      <c r="H2187" s="103" t="s">
        <v>583</v>
      </c>
    </row>
    <row r="2188" spans="1:8">
      <c r="B2188" s="159" t="s">
        <v>1220</v>
      </c>
      <c r="C2188" s="221" t="s">
        <v>1219</v>
      </c>
      <c r="D2188" s="159" t="s">
        <v>158</v>
      </c>
      <c r="E2188" s="159" t="s">
        <v>1048</v>
      </c>
      <c r="F2188" s="174">
        <v>1</v>
      </c>
      <c r="G2188" s="160">
        <v>133.02000000000001</v>
      </c>
      <c r="H2188" s="160">
        <f>ROUND(ROUND(F2188,8)*G2188,2)</f>
        <v>133.02000000000001</v>
      </c>
    </row>
    <row r="2189" spans="1:8">
      <c r="B2189" s="222"/>
      <c r="C2189" s="222"/>
      <c r="D2189" s="222"/>
      <c r="E2189" s="222"/>
      <c r="F2189" s="630" t="s">
        <v>604</v>
      </c>
      <c r="G2189" s="630"/>
      <c r="H2189" s="102">
        <f>H2188</f>
        <v>133.02000000000001</v>
      </c>
    </row>
    <row r="2190" spans="1:8">
      <c r="B2190" s="628" t="s">
        <v>584</v>
      </c>
      <c r="C2190" s="628"/>
      <c r="D2190" s="103" t="s">
        <v>579</v>
      </c>
      <c r="E2190" s="103" t="s">
        <v>580</v>
      </c>
      <c r="F2190" s="103" t="s">
        <v>581</v>
      </c>
      <c r="G2190" s="103" t="s">
        <v>582</v>
      </c>
      <c r="H2190" s="103" t="s">
        <v>583</v>
      </c>
    </row>
    <row r="2191" spans="1:8">
      <c r="B2191" s="159">
        <v>88309</v>
      </c>
      <c r="C2191" s="221" t="s">
        <v>640</v>
      </c>
      <c r="D2191" s="159" t="s">
        <v>119</v>
      </c>
      <c r="E2191" s="159" t="s">
        <v>619</v>
      </c>
      <c r="F2191" s="174">
        <v>0.2</v>
      </c>
      <c r="G2191" s="160">
        <v>31.34</v>
      </c>
      <c r="H2191" s="160">
        <f>ROUND(ROUND(F2191,8)*G2191,2)</f>
        <v>6.27</v>
      </c>
    </row>
    <row r="2192" spans="1:8">
      <c r="B2192" s="222"/>
      <c r="C2192" s="222"/>
      <c r="D2192" s="222"/>
      <c r="E2192" s="222"/>
      <c r="F2192" s="630" t="s">
        <v>585</v>
      </c>
      <c r="G2192" s="630"/>
      <c r="H2192" s="102">
        <f>H2191</f>
        <v>6.27</v>
      </c>
    </row>
    <row r="2193" spans="1:8">
      <c r="B2193" s="222"/>
      <c r="C2193" s="222"/>
      <c r="D2193" s="222"/>
      <c r="E2193" s="222"/>
      <c r="F2193" s="645" t="s">
        <v>464</v>
      </c>
      <c r="G2193" s="645"/>
      <c r="H2193" s="158">
        <f>H2192+H2189</f>
        <v>139.29000000000002</v>
      </c>
    </row>
    <row r="2194" spans="1:8">
      <c r="B2194" s="222"/>
      <c r="C2194" s="222"/>
      <c r="D2194" s="222"/>
      <c r="E2194" s="222"/>
      <c r="F2194" s="111"/>
      <c r="G2194" s="111"/>
      <c r="H2194" s="228"/>
    </row>
    <row r="2195" spans="1:8">
      <c r="B2195" s="245" t="s">
        <v>2544</v>
      </c>
    </row>
    <row r="2196" spans="1:8">
      <c r="B2196" s="222"/>
      <c r="C2196" s="222"/>
      <c r="D2196" s="222"/>
      <c r="E2196" s="222"/>
      <c r="F2196" s="111"/>
      <c r="G2196" s="111"/>
      <c r="H2196" s="228"/>
    </row>
    <row r="2197" spans="1:8" ht="27" customHeight="1">
      <c r="A2197" s="178" t="str">
        <f>'3 - PLAN. ORÇAMENTÁRIA'!A303</f>
        <v>4.2.5</v>
      </c>
      <c r="B2197" s="178" t="str">
        <f>'3 - PLAN. ORÇAMENTÁRIA'!B303</f>
        <v>CCU 135</v>
      </c>
      <c r="C2197" s="631" t="str">
        <f>'3 - PLAN. ORÇAMENTÁRIA'!C303</f>
        <v>SINALIZADOR FOTOLUMINESCENTE 7 X 3CM, CANTONEIRA, PARA DEGRAUS DE ESCADA REF. S13788/ORSE</v>
      </c>
      <c r="D2197" s="632"/>
      <c r="E2197" s="632"/>
      <c r="F2197" s="632"/>
      <c r="G2197" s="633"/>
      <c r="H2197" s="131" t="s">
        <v>173</v>
      </c>
    </row>
    <row r="2198" spans="1:8">
      <c r="B2198" s="652" t="s">
        <v>593</v>
      </c>
      <c r="C2198" s="652"/>
      <c r="D2198" s="162" t="s">
        <v>579</v>
      </c>
      <c r="E2198" s="162" t="s">
        <v>580</v>
      </c>
      <c r="F2198" s="162" t="s">
        <v>581</v>
      </c>
      <c r="G2198" s="162" t="s">
        <v>582</v>
      </c>
      <c r="H2198" s="162" t="s">
        <v>583</v>
      </c>
    </row>
    <row r="2199" spans="1:8">
      <c r="B2199" s="159" t="s">
        <v>3853</v>
      </c>
      <c r="C2199" s="221" t="s">
        <v>3851</v>
      </c>
      <c r="D2199" s="159" t="s">
        <v>158</v>
      </c>
      <c r="E2199" s="159" t="s">
        <v>200</v>
      </c>
      <c r="F2199" s="174">
        <v>3.3600000000000001E-3</v>
      </c>
      <c r="G2199" s="160">
        <v>27.1</v>
      </c>
      <c r="H2199" s="160">
        <f>ROUND(ROUND(F2199,8)*G2199,2)</f>
        <v>0.09</v>
      </c>
    </row>
    <row r="2200" spans="1:8">
      <c r="B2200" s="159" t="s">
        <v>3854</v>
      </c>
      <c r="C2200" s="221" t="s">
        <v>3852</v>
      </c>
      <c r="D2200" s="159" t="s">
        <v>158</v>
      </c>
      <c r="E2200" s="159" t="s">
        <v>1048</v>
      </c>
      <c r="F2200" s="174">
        <v>1</v>
      </c>
      <c r="G2200" s="160">
        <v>7.34</v>
      </c>
      <c r="H2200" s="160">
        <f>ROUND(ROUND(F2200,8)*G2200,2)</f>
        <v>7.34</v>
      </c>
    </row>
    <row r="2201" spans="1:8">
      <c r="B2201" s="222"/>
      <c r="C2201" s="222"/>
      <c r="D2201" s="222"/>
      <c r="E2201" s="222"/>
      <c r="F2201" s="630" t="s">
        <v>604</v>
      </c>
      <c r="G2201" s="630"/>
      <c r="H2201" s="102">
        <f>H2199+H2200</f>
        <v>7.43</v>
      </c>
    </row>
    <row r="2202" spans="1:8">
      <c r="B2202" s="628" t="s">
        <v>584</v>
      </c>
      <c r="C2202" s="628"/>
      <c r="D2202" s="103" t="s">
        <v>579</v>
      </c>
      <c r="E2202" s="103" t="s">
        <v>580</v>
      </c>
      <c r="F2202" s="103" t="s">
        <v>581</v>
      </c>
      <c r="G2202" s="103" t="s">
        <v>582</v>
      </c>
      <c r="H2202" s="103" t="s">
        <v>583</v>
      </c>
    </row>
    <row r="2203" spans="1:8">
      <c r="B2203" s="159">
        <v>88316</v>
      </c>
      <c r="C2203" s="221" t="s">
        <v>626</v>
      </c>
      <c r="D2203" s="159" t="s">
        <v>119</v>
      </c>
      <c r="E2203" s="159" t="s">
        <v>121</v>
      </c>
      <c r="F2203" s="174">
        <v>0.1</v>
      </c>
      <c r="G2203" s="160">
        <v>23.75</v>
      </c>
      <c r="H2203" s="160">
        <f>ROUND(ROUND(F2203,8)*G2203,2)</f>
        <v>2.38</v>
      </c>
    </row>
    <row r="2204" spans="1:8">
      <c r="B2204" s="222"/>
      <c r="C2204" s="222"/>
      <c r="D2204" s="222"/>
      <c r="E2204" s="222"/>
      <c r="F2204" s="630" t="s">
        <v>585</v>
      </c>
      <c r="G2204" s="630"/>
      <c r="H2204" s="102">
        <f>H2203</f>
        <v>2.38</v>
      </c>
    </row>
    <row r="2205" spans="1:8">
      <c r="B2205" s="222"/>
      <c r="C2205" s="222"/>
      <c r="D2205" s="222"/>
      <c r="E2205" s="222"/>
      <c r="F2205" s="630" t="s">
        <v>464</v>
      </c>
      <c r="G2205" s="630"/>
      <c r="H2205" s="102">
        <f>H2201+H2204</f>
        <v>9.8099999999999987</v>
      </c>
    </row>
    <row r="2207" spans="1:8">
      <c r="B2207" s="245" t="s">
        <v>2544</v>
      </c>
    </row>
    <row r="2208" spans="1:8">
      <c r="B2208" s="222"/>
      <c r="C2208" s="222"/>
      <c r="D2208" s="222"/>
      <c r="E2208" s="222"/>
      <c r="F2208" s="111"/>
      <c r="G2208" s="111"/>
      <c r="H2208" s="228"/>
    </row>
    <row r="2209" spans="1:8" ht="27" customHeight="1">
      <c r="A2209" s="178" t="str">
        <f>'3 - PLAN. ORÇAMENTÁRIA'!A331</f>
        <v>4.3.24</v>
      </c>
      <c r="B2209" s="178" t="str">
        <f>'3 - PLAN. ORÇAMENTÁRIA'!B331</f>
        <v>CCU 141</v>
      </c>
      <c r="C2209" s="631" t="str">
        <f>'3 - PLAN. ORÇAMENTÁRIA'!C331</f>
        <v>LIMITADOR DE GRAMA COM BORDA FINA, L=12,5CM REF. S07657/ORSE</v>
      </c>
      <c r="D2209" s="632"/>
      <c r="E2209" s="632"/>
      <c r="F2209" s="632"/>
      <c r="G2209" s="633"/>
      <c r="H2209" s="131" t="s">
        <v>173</v>
      </c>
    </row>
    <row r="2210" spans="1:8">
      <c r="B2210" s="628" t="s">
        <v>593</v>
      </c>
      <c r="C2210" s="628"/>
      <c r="D2210" s="103" t="s">
        <v>579</v>
      </c>
      <c r="E2210" s="103" t="s">
        <v>580</v>
      </c>
      <c r="F2210" s="103" t="s">
        <v>581</v>
      </c>
      <c r="G2210" s="103" t="s">
        <v>582</v>
      </c>
      <c r="H2210" s="103" t="s">
        <v>583</v>
      </c>
    </row>
    <row r="2211" spans="1:8">
      <c r="B2211" s="159" t="s">
        <v>1205</v>
      </c>
      <c r="C2211" s="221" t="s">
        <v>1204</v>
      </c>
      <c r="D2211" s="159" t="s">
        <v>158</v>
      </c>
      <c r="E2211" s="159" t="s">
        <v>173</v>
      </c>
      <c r="F2211" s="174">
        <v>1</v>
      </c>
      <c r="G2211" s="160">
        <v>9.09</v>
      </c>
      <c r="H2211" s="160">
        <f>F2211*G2211</f>
        <v>9.09</v>
      </c>
    </row>
    <row r="2212" spans="1:8">
      <c r="F2212" s="630" t="s">
        <v>604</v>
      </c>
      <c r="G2212" s="630"/>
      <c r="H2212" s="102">
        <f>H2211</f>
        <v>9.09</v>
      </c>
    </row>
    <row r="2213" spans="1:8">
      <c r="B2213" s="628" t="s">
        <v>584</v>
      </c>
      <c r="C2213" s="628"/>
      <c r="D2213" s="103" t="s">
        <v>579</v>
      </c>
      <c r="E2213" s="103" t="s">
        <v>580</v>
      </c>
      <c r="F2213" s="103" t="s">
        <v>581</v>
      </c>
      <c r="G2213" s="103" t="s">
        <v>582</v>
      </c>
      <c r="H2213" s="103" t="s">
        <v>583</v>
      </c>
    </row>
    <row r="2214" spans="1:8">
      <c r="B2214" s="159">
        <v>88441</v>
      </c>
      <c r="C2214" s="221" t="s">
        <v>634</v>
      </c>
      <c r="D2214" s="159" t="s">
        <v>119</v>
      </c>
      <c r="E2214" s="159" t="s">
        <v>121</v>
      </c>
      <c r="F2214" s="174">
        <v>0.35</v>
      </c>
      <c r="G2214" s="160">
        <v>28</v>
      </c>
      <c r="H2214" s="160">
        <f>F2214*G2214</f>
        <v>9.7999999999999989</v>
      </c>
    </row>
    <row r="2215" spans="1:8">
      <c r="B2215" s="222"/>
      <c r="C2215" s="222"/>
      <c r="D2215" s="222"/>
      <c r="E2215" s="222"/>
      <c r="F2215" s="630" t="s">
        <v>585</v>
      </c>
      <c r="G2215" s="630"/>
      <c r="H2215" s="102">
        <f>H2214</f>
        <v>9.7999999999999989</v>
      </c>
    </row>
    <row r="2216" spans="1:8">
      <c r="B2216" s="222"/>
      <c r="C2216" s="222"/>
      <c r="D2216" s="222"/>
      <c r="E2216" s="222"/>
      <c r="F2216" s="630" t="s">
        <v>464</v>
      </c>
      <c r="G2216" s="630"/>
      <c r="H2216" s="102">
        <f>H2215+H2212</f>
        <v>18.89</v>
      </c>
    </row>
    <row r="2217" spans="1:8">
      <c r="B2217" s="222"/>
      <c r="C2217" s="222"/>
      <c r="D2217" s="222"/>
      <c r="E2217" s="222"/>
      <c r="F2217" s="111"/>
      <c r="G2217" s="111"/>
      <c r="H2217" s="228"/>
    </row>
    <row r="2218" spans="1:8">
      <c r="B2218" s="245" t="s">
        <v>2544</v>
      </c>
    </row>
    <row r="2219" spans="1:8">
      <c r="B2219" s="222"/>
      <c r="C2219" s="222"/>
      <c r="D2219" s="222"/>
      <c r="E2219" s="222"/>
      <c r="F2219" s="111"/>
      <c r="G2219" s="111"/>
      <c r="H2219" s="228"/>
    </row>
    <row r="2220" spans="1:8" ht="27" customHeight="1">
      <c r="A2220" s="178" t="str">
        <f>'3 - PLAN. ORÇAMENTÁRIA'!A653</f>
        <v>6.5.2.4</v>
      </c>
      <c r="B2220" s="178" t="str">
        <f>'3 - PLAN. ORÇAMENTÁRIA'!B653</f>
        <v>CCU 149</v>
      </c>
      <c r="C2220" s="631" t="str">
        <f>'3 - PLAN. ORÇAMENTÁRIA'!C653</f>
        <v>CAIXA ACUSTICA QUADRADA EM ABS, TELA DE ALUMINIO MICROPERFURADA, PINTURA ELETROSTATICA C/POLIESTER, WOOFER COAXIAL 6" C/CARCAÇA DE ALUMINIO. POTENCIA 100W REF. I09325/ORSE</v>
      </c>
      <c r="D2220" s="632"/>
      <c r="E2220" s="632"/>
      <c r="F2220" s="632"/>
      <c r="G2220" s="633"/>
      <c r="H2220" s="131" t="s">
        <v>144</v>
      </c>
    </row>
    <row r="2221" spans="1:8">
      <c r="A2221" s="163"/>
      <c r="F2221" s="630" t="s">
        <v>464</v>
      </c>
      <c r="G2221" s="630"/>
      <c r="H2221" s="102">
        <v>490</v>
      </c>
    </row>
    <row r="2222" spans="1:8">
      <c r="B2222" s="222"/>
      <c r="C2222" s="222"/>
      <c r="D2222" s="222"/>
      <c r="E2222" s="222"/>
      <c r="F2222" s="226"/>
      <c r="G2222" s="226"/>
      <c r="H2222" s="226"/>
    </row>
    <row r="2223" spans="1:8">
      <c r="B2223" s="245" t="s">
        <v>2544</v>
      </c>
    </row>
    <row r="2224" spans="1:8">
      <c r="B2224" s="222"/>
      <c r="C2224" s="222"/>
      <c r="D2224" s="222"/>
      <c r="E2224" s="222"/>
      <c r="F2224" s="111"/>
      <c r="G2224" s="111"/>
      <c r="H2224" s="228"/>
    </row>
    <row r="2225" spans="1:8" ht="27" customHeight="1">
      <c r="A2225" s="178" t="str">
        <f>'3 - PLAN. ORÇAMENTÁRIA'!A656</f>
        <v>6.5.3.1</v>
      </c>
      <c r="B2225" s="178" t="str">
        <f>'3 - PLAN. ORÇAMENTÁRIA'!B656</f>
        <v>CCU 150</v>
      </c>
      <c r="C2225" s="631" t="str">
        <f>'3 - PLAN. ORÇAMENTÁRIA'!C656</f>
        <v>CABO PARALELO 2 X 2,5MM2 PARA SOM REF. I08331/ORSE</v>
      </c>
      <c r="D2225" s="632"/>
      <c r="E2225" s="632"/>
      <c r="F2225" s="632"/>
      <c r="G2225" s="633"/>
      <c r="H2225" s="131" t="s">
        <v>173</v>
      </c>
    </row>
    <row r="2226" spans="1:8">
      <c r="F2226" s="630" t="s">
        <v>464</v>
      </c>
      <c r="G2226" s="630"/>
      <c r="H2226" s="102">
        <v>5.9</v>
      </c>
    </row>
    <row r="2227" spans="1:8">
      <c r="B2227" s="222"/>
      <c r="C2227" s="222"/>
      <c r="D2227" s="222"/>
      <c r="E2227" s="222"/>
      <c r="F2227" s="226"/>
      <c r="G2227" s="226"/>
      <c r="H2227" s="226"/>
    </row>
    <row r="2228" spans="1:8">
      <c r="B2228" s="245" t="s">
        <v>2544</v>
      </c>
    </row>
    <row r="2229" spans="1:8">
      <c r="B2229" s="222"/>
      <c r="C2229" s="222"/>
      <c r="D2229" s="222"/>
      <c r="E2229" s="222"/>
      <c r="F2229" s="111"/>
      <c r="G2229" s="111"/>
      <c r="H2229" s="228"/>
    </row>
    <row r="2230" spans="1:8" ht="27" customHeight="1">
      <c r="A2230" s="178" t="str">
        <f>'3 - PLAN. ORÇAMENTÁRIA'!A677</f>
        <v>7.1.1.1.5</v>
      </c>
      <c r="B2230" s="178" t="str">
        <f>'3 - PLAN. ORÇAMENTÁRIA'!B677</f>
        <v>CCU 151</v>
      </c>
      <c r="C2230" s="631" t="str">
        <f>'3 - PLAN. ORÇAMENTÁRIA'!C677</f>
        <v>CAIXA DE PASSAGEM POLAR PARA AR CONDICIONADO REF. I12184/ORSE</v>
      </c>
      <c r="D2230" s="632"/>
      <c r="E2230" s="632"/>
      <c r="F2230" s="632"/>
      <c r="G2230" s="633"/>
      <c r="H2230" s="131" t="s">
        <v>144</v>
      </c>
    </row>
    <row r="2231" spans="1:8">
      <c r="F2231" s="630" t="s">
        <v>464</v>
      </c>
      <c r="G2231" s="630"/>
      <c r="H2231" s="102">
        <v>46.8</v>
      </c>
    </row>
    <row r="2232" spans="1:8">
      <c r="B2232" s="222"/>
      <c r="C2232" s="222"/>
      <c r="D2232" s="222"/>
      <c r="E2232" s="222"/>
      <c r="F2232" s="226"/>
      <c r="G2232" s="226"/>
      <c r="H2232" s="226"/>
    </row>
    <row r="2233" spans="1:8">
      <c r="B2233" s="245" t="s">
        <v>2544</v>
      </c>
    </row>
    <row r="2234" spans="1:8">
      <c r="B2234" s="222"/>
      <c r="C2234" s="222"/>
      <c r="D2234" s="222"/>
      <c r="E2234" s="222"/>
      <c r="F2234" s="111"/>
      <c r="G2234" s="111"/>
      <c r="H2234" s="228"/>
    </row>
    <row r="2235" spans="1:8" ht="27" customHeight="1">
      <c r="A2235" s="178" t="str">
        <f>'3 - PLAN. ORÇAMENTÁRIA'!A683</f>
        <v>7.1.1.2.5</v>
      </c>
      <c r="B2235" s="178" t="str">
        <f>'3 - PLAN. ORÇAMENTÁRIA'!B683</f>
        <v>CCU 152</v>
      </c>
      <c r="C2235" s="631" t="str">
        <f>'3 - PLAN. ORÇAMENTÁRIA'!C683</f>
        <v>CABO DE COBRE PP CORDPLAST 4 X 2,5 MM2 - FORNECIMENTO E INSTALAÇÃO REF. S11412/ORSE</v>
      </c>
      <c r="D2235" s="632"/>
      <c r="E2235" s="632"/>
      <c r="F2235" s="632"/>
      <c r="G2235" s="633"/>
      <c r="H2235" s="131" t="s">
        <v>173</v>
      </c>
    </row>
    <row r="2236" spans="1:8">
      <c r="B2236" s="628" t="s">
        <v>593</v>
      </c>
      <c r="C2236" s="628"/>
      <c r="D2236" s="103" t="s">
        <v>579</v>
      </c>
      <c r="E2236" s="103" t="s">
        <v>580</v>
      </c>
      <c r="F2236" s="103" t="s">
        <v>581</v>
      </c>
      <c r="G2236" s="103" t="s">
        <v>582</v>
      </c>
      <c r="H2236" s="103" t="s">
        <v>583</v>
      </c>
    </row>
    <row r="2237" spans="1:8">
      <c r="B2237" s="159" t="s">
        <v>1217</v>
      </c>
      <c r="C2237" s="221" t="s">
        <v>1218</v>
      </c>
      <c r="D2237" s="159" t="s">
        <v>158</v>
      </c>
      <c r="E2237" s="159" t="s">
        <v>614</v>
      </c>
      <c r="F2237" s="174">
        <v>1.02</v>
      </c>
      <c r="G2237" s="160">
        <v>11</v>
      </c>
      <c r="H2237" s="160">
        <f>ROUND(ROUND(F2237,8)*G2237,2)</f>
        <v>11.22</v>
      </c>
    </row>
    <row r="2238" spans="1:8">
      <c r="B2238" s="222"/>
      <c r="C2238" s="222"/>
      <c r="D2238" s="222"/>
      <c r="E2238" s="222"/>
      <c r="F2238" s="630" t="s">
        <v>604</v>
      </c>
      <c r="G2238" s="630"/>
      <c r="H2238" s="102">
        <f>H2237</f>
        <v>11.22</v>
      </c>
    </row>
    <row r="2239" spans="1:8">
      <c r="B2239" s="628" t="s">
        <v>584</v>
      </c>
      <c r="C2239" s="628"/>
      <c r="D2239" s="103" t="s">
        <v>579</v>
      </c>
      <c r="E2239" s="103" t="s">
        <v>580</v>
      </c>
      <c r="F2239" s="103" t="s">
        <v>581</v>
      </c>
      <c r="G2239" s="103" t="s">
        <v>582</v>
      </c>
      <c r="H2239" s="103" t="s">
        <v>583</v>
      </c>
    </row>
    <row r="2240" spans="1:8">
      <c r="B2240" s="159">
        <v>88264</v>
      </c>
      <c r="C2240" s="221" t="s">
        <v>609</v>
      </c>
      <c r="D2240" s="159" t="s">
        <v>119</v>
      </c>
      <c r="E2240" s="159" t="s">
        <v>121</v>
      </c>
      <c r="F2240" s="174">
        <v>0.11</v>
      </c>
      <c r="G2240" s="160">
        <v>31.72</v>
      </c>
      <c r="H2240" s="160">
        <f>ROUND(ROUND(F2240,8)*G2240,2)</f>
        <v>3.49</v>
      </c>
    </row>
    <row r="2241" spans="1:8">
      <c r="B2241" s="159">
        <v>88316</v>
      </c>
      <c r="C2241" s="221" t="s">
        <v>626</v>
      </c>
      <c r="D2241" s="159" t="s">
        <v>119</v>
      </c>
      <c r="E2241" s="159" t="s">
        <v>121</v>
      </c>
      <c r="F2241" s="174">
        <v>0.11</v>
      </c>
      <c r="G2241" s="160">
        <v>23.75</v>
      </c>
      <c r="H2241" s="160">
        <f>ROUND(ROUND(F2241,8)*G2241,2)</f>
        <v>2.61</v>
      </c>
    </row>
    <row r="2242" spans="1:8">
      <c r="B2242" s="222"/>
      <c r="C2242" s="222"/>
      <c r="D2242" s="222"/>
      <c r="E2242" s="222"/>
      <c r="F2242" s="647" t="s">
        <v>585</v>
      </c>
      <c r="G2242" s="647"/>
      <c r="H2242" s="224">
        <f>H2240+H2241</f>
        <v>6.1</v>
      </c>
    </row>
    <row r="2243" spans="1:8">
      <c r="B2243" s="222"/>
      <c r="C2243" s="222"/>
      <c r="D2243" s="222"/>
      <c r="E2243" s="222"/>
      <c r="F2243" s="645" t="s">
        <v>464</v>
      </c>
      <c r="G2243" s="645"/>
      <c r="H2243" s="158">
        <f>H2242+H2238</f>
        <v>17.32</v>
      </c>
    </row>
    <row r="2244" spans="1:8">
      <c r="B2244" s="222"/>
      <c r="C2244" s="222"/>
      <c r="D2244" s="222"/>
      <c r="E2244" s="222"/>
      <c r="F2244" s="111"/>
      <c r="G2244" s="111"/>
      <c r="H2244" s="228"/>
    </row>
    <row r="2245" spans="1:8">
      <c r="B2245" s="245" t="s">
        <v>2544</v>
      </c>
    </row>
    <row r="2246" spans="1:8">
      <c r="B2246" s="222"/>
      <c r="C2246" s="222"/>
      <c r="D2246" s="222"/>
      <c r="E2246" s="222"/>
      <c r="F2246" s="111"/>
      <c r="G2246" s="111"/>
      <c r="H2246" s="228"/>
    </row>
    <row r="2247" spans="1:8" ht="27" customHeight="1">
      <c r="A2247" s="178" t="str">
        <f>'3 - PLAN. ORÇAMENTÁRIA'!A710</f>
        <v>9.2.1</v>
      </c>
      <c r="B2247" s="178" t="str">
        <f>'3 - PLAN. ORÇAMENTÁRIA'!B710</f>
        <v>CCU 154</v>
      </c>
      <c r="C2247" s="631" t="str">
        <f>'3 - PLAN. ORÇAMENTÁRIA'!C710</f>
        <v>AS BUILT ARQUITETURA REF. I07325/ORSE</v>
      </c>
      <c r="D2247" s="632"/>
      <c r="E2247" s="632"/>
      <c r="F2247" s="632"/>
      <c r="G2247" s="633"/>
      <c r="H2247" s="131" t="str">
        <f>'3 - PLAN. ORÇAMENTÁRIA'!E710</f>
        <v>M2</v>
      </c>
    </row>
    <row r="2248" spans="1:8">
      <c r="A2248" s="163"/>
      <c r="B2248" s="222"/>
      <c r="C2248" s="222"/>
      <c r="D2248" s="222"/>
      <c r="E2248" s="222"/>
      <c r="F2248" s="630" t="s">
        <v>464</v>
      </c>
      <c r="G2248" s="630"/>
      <c r="H2248" s="102">
        <v>1</v>
      </c>
    </row>
    <row r="2250" spans="1:8">
      <c r="B2250" s="245" t="s">
        <v>2544</v>
      </c>
    </row>
    <row r="2251" spans="1:8">
      <c r="B2251" s="222"/>
      <c r="C2251" s="222"/>
      <c r="D2251" s="222"/>
      <c r="E2251" s="222"/>
      <c r="F2251" s="111"/>
      <c r="G2251" s="111"/>
      <c r="H2251" s="228"/>
    </row>
    <row r="2252" spans="1:8">
      <c r="A2252" s="178" t="str">
        <f>'3 - PLAN. ORÇAMENTÁRIA'!A711</f>
        <v>9.2.2</v>
      </c>
      <c r="B2252" s="178" t="str">
        <f>'3 - PLAN. ORÇAMENTÁRIA'!B711</f>
        <v>CCU 192</v>
      </c>
      <c r="C2252" s="631" t="str">
        <f>'3 - PLAN. ORÇAMENTÁRIA'!C711</f>
        <v>AS BUILT AR-CONDICIONADO REF. I07325/ORSE</v>
      </c>
      <c r="D2252" s="632"/>
      <c r="E2252" s="632"/>
      <c r="F2252" s="632"/>
      <c r="G2252" s="633"/>
      <c r="H2252" s="508" t="str">
        <f>'3 - PLAN. ORÇAMENTÁRIA'!E711</f>
        <v>M2</v>
      </c>
    </row>
    <row r="2253" spans="1:8">
      <c r="A2253" s="163"/>
      <c r="B2253" s="222"/>
      <c r="C2253" s="222"/>
      <c r="D2253" s="222"/>
      <c r="E2253" s="222"/>
      <c r="F2253" s="630" t="s">
        <v>464</v>
      </c>
      <c r="G2253" s="630"/>
      <c r="H2253" s="102">
        <v>1</v>
      </c>
    </row>
    <row r="2255" spans="1:8">
      <c r="B2255" s="245" t="s">
        <v>2544</v>
      </c>
    </row>
    <row r="2256" spans="1:8">
      <c r="B2256" s="222"/>
      <c r="C2256" s="222"/>
      <c r="D2256" s="222"/>
      <c r="E2256" s="222"/>
      <c r="F2256" s="507"/>
      <c r="G2256" s="507"/>
      <c r="H2256" s="506"/>
    </row>
    <row r="2257" spans="1:8">
      <c r="A2257" s="178" t="str">
        <f>'3 - PLAN. ORÇAMENTÁRIA'!A712</f>
        <v>9.2.3</v>
      </c>
      <c r="B2257" s="178" t="str">
        <f>'3 - PLAN. ORÇAMENTÁRIA'!B712</f>
        <v>CCU 193</v>
      </c>
      <c r="C2257" s="631" t="str">
        <f>'3 - PLAN. ORÇAMENTÁRIA'!C712</f>
        <v>AS BUILT ELÉTRICA REF. I07325/ORSE</v>
      </c>
      <c r="D2257" s="632"/>
      <c r="E2257" s="632"/>
      <c r="F2257" s="632"/>
      <c r="G2257" s="633"/>
      <c r="H2257" s="508" t="str">
        <f>'3 - PLAN. ORÇAMENTÁRIA'!E712</f>
        <v>M2</v>
      </c>
    </row>
    <row r="2258" spans="1:8">
      <c r="A2258" s="163"/>
      <c r="B2258" s="222"/>
      <c r="C2258" s="222"/>
      <c r="D2258" s="222"/>
      <c r="E2258" s="222"/>
      <c r="F2258" s="630" t="s">
        <v>464</v>
      </c>
      <c r="G2258" s="630"/>
      <c r="H2258" s="102">
        <v>1</v>
      </c>
    </row>
    <row r="2260" spans="1:8">
      <c r="B2260" s="245" t="s">
        <v>2544</v>
      </c>
    </row>
    <row r="2261" spans="1:8">
      <c r="B2261" s="222"/>
      <c r="C2261" s="222"/>
      <c r="D2261" s="222"/>
      <c r="E2261" s="222"/>
      <c r="F2261" s="507"/>
      <c r="G2261" s="507"/>
      <c r="H2261" s="506"/>
    </row>
    <row r="2262" spans="1:8">
      <c r="A2262" s="178" t="str">
        <f>'3 - PLAN. ORÇAMENTÁRIA'!A713</f>
        <v>9.2.4</v>
      </c>
      <c r="B2262" s="178" t="str">
        <f>'3 - PLAN. ORÇAMENTÁRIA'!B713</f>
        <v>CCU 194</v>
      </c>
      <c r="C2262" s="631" t="str">
        <f>'3 - PLAN. ORÇAMENTÁRIA'!C713</f>
        <v>AS BUILT ESTRUTURA REF. I07325/ORSE</v>
      </c>
      <c r="D2262" s="632"/>
      <c r="E2262" s="632"/>
      <c r="F2262" s="632"/>
      <c r="G2262" s="633"/>
      <c r="H2262" s="508" t="str">
        <f>'3 - PLAN. ORÇAMENTÁRIA'!E713</f>
        <v>M2</v>
      </c>
    </row>
    <row r="2263" spans="1:8">
      <c r="A2263" s="163"/>
      <c r="B2263" s="222"/>
      <c r="C2263" s="222"/>
      <c r="D2263" s="222"/>
      <c r="E2263" s="222"/>
      <c r="F2263" s="630" t="s">
        <v>464</v>
      </c>
      <c r="G2263" s="630"/>
      <c r="H2263" s="102">
        <v>1</v>
      </c>
    </row>
    <row r="2265" spans="1:8">
      <c r="B2265" s="245" t="s">
        <v>2544</v>
      </c>
    </row>
    <row r="2266" spans="1:8">
      <c r="B2266" s="222"/>
      <c r="C2266" s="222"/>
      <c r="D2266" s="222"/>
      <c r="E2266" s="222"/>
      <c r="F2266" s="507"/>
      <c r="G2266" s="507"/>
      <c r="H2266" s="506"/>
    </row>
    <row r="2267" spans="1:8">
      <c r="A2267" s="178" t="str">
        <f>'3 - PLAN. ORÇAMENTÁRIA'!A714</f>
        <v>9.2.5</v>
      </c>
      <c r="B2267" s="178" t="str">
        <f>'3 - PLAN. ORÇAMENTÁRIA'!B714</f>
        <v>CCU 195</v>
      </c>
      <c r="C2267" s="631" t="str">
        <f>'3 - PLAN. ORÇAMENTÁRIA'!C714</f>
        <v>AS BUILT HIDROSSANITÁRIO REF. I07325/ORSE</v>
      </c>
      <c r="D2267" s="632"/>
      <c r="E2267" s="632"/>
      <c r="F2267" s="632"/>
      <c r="G2267" s="633"/>
      <c r="H2267" s="508" t="str">
        <f>'3 - PLAN. ORÇAMENTÁRIA'!E714</f>
        <v>M2</v>
      </c>
    </row>
    <row r="2268" spans="1:8">
      <c r="A2268" s="163"/>
      <c r="B2268" s="222"/>
      <c r="C2268" s="222"/>
      <c r="D2268" s="222"/>
      <c r="E2268" s="222"/>
      <c r="F2268" s="630" t="s">
        <v>464</v>
      </c>
      <c r="G2268" s="630"/>
      <c r="H2268" s="102">
        <v>1</v>
      </c>
    </row>
    <row r="2270" spans="1:8">
      <c r="B2270" s="245" t="s">
        <v>2544</v>
      </c>
    </row>
    <row r="2271" spans="1:8">
      <c r="B2271" s="222"/>
      <c r="C2271" s="222"/>
      <c r="D2271" s="222"/>
      <c r="E2271" s="222"/>
      <c r="F2271" s="507"/>
      <c r="G2271" s="507"/>
      <c r="H2271" s="506"/>
    </row>
    <row r="2272" spans="1:8">
      <c r="A2272" s="178" t="str">
        <f>'3 - PLAN. ORÇAMENTÁRIA'!A715</f>
        <v>9.2.6</v>
      </c>
      <c r="B2272" s="178" t="str">
        <f>'3 - PLAN. ORÇAMENTÁRIA'!B715</f>
        <v>CCU 196</v>
      </c>
      <c r="C2272" s="631" t="str">
        <f>'3 - PLAN. ORÇAMENTÁRIA'!C715</f>
        <v>AS BUILT TELEMÁTICA REF. I07325/ORSE</v>
      </c>
      <c r="D2272" s="632"/>
      <c r="E2272" s="632"/>
      <c r="F2272" s="632"/>
      <c r="G2272" s="633"/>
      <c r="H2272" s="508" t="str">
        <f>'3 - PLAN. ORÇAMENTÁRIA'!E715</f>
        <v>M2</v>
      </c>
    </row>
    <row r="2273" spans="1:8">
      <c r="A2273" s="163"/>
      <c r="B2273" s="222"/>
      <c r="C2273" s="222"/>
      <c r="D2273" s="222"/>
      <c r="E2273" s="222"/>
      <c r="F2273" s="630" t="s">
        <v>464</v>
      </c>
      <c r="G2273" s="630"/>
      <c r="H2273" s="102">
        <v>1</v>
      </c>
    </row>
    <row r="2275" spans="1:8">
      <c r="B2275" s="245" t="s">
        <v>2544</v>
      </c>
    </row>
    <row r="2276" spans="1:8">
      <c r="B2276" s="222"/>
      <c r="C2276" s="222"/>
      <c r="D2276" s="222"/>
      <c r="E2276" s="222"/>
      <c r="F2276" s="507"/>
      <c r="G2276" s="507"/>
      <c r="H2276" s="506"/>
    </row>
    <row r="2277" spans="1:8">
      <c r="A2277" s="178" t="str">
        <f>'3 - PLAN. ORÇAMENTÁRIA'!A716</f>
        <v>9.2.7</v>
      </c>
      <c r="B2277" s="178" t="str">
        <f>'3 - PLAN. ORÇAMENTÁRIA'!B716</f>
        <v>CCU 197</v>
      </c>
      <c r="C2277" s="631" t="str">
        <f>'3 - PLAN. ORÇAMENTÁRIA'!C716</f>
        <v>AS BUILT INCÊNDIO REF. I07325/ORSE</v>
      </c>
      <c r="D2277" s="632"/>
      <c r="E2277" s="632"/>
      <c r="F2277" s="632"/>
      <c r="G2277" s="633"/>
      <c r="H2277" s="508" t="str">
        <f>'3 - PLAN. ORÇAMENTÁRIA'!E716</f>
        <v>M2</v>
      </c>
    </row>
    <row r="2278" spans="1:8">
      <c r="A2278" s="163"/>
      <c r="B2278" s="222"/>
      <c r="C2278" s="222"/>
      <c r="D2278" s="222"/>
      <c r="E2278" s="222"/>
      <c r="F2278" s="630" t="s">
        <v>464</v>
      </c>
      <c r="G2278" s="630"/>
      <c r="H2278" s="102">
        <v>1</v>
      </c>
    </row>
    <row r="2280" spans="1:8">
      <c r="B2280" s="245" t="s">
        <v>2544</v>
      </c>
    </row>
    <row r="2281" spans="1:8">
      <c r="B2281" s="222"/>
      <c r="C2281" s="222"/>
      <c r="D2281" s="222"/>
      <c r="E2281" s="222"/>
      <c r="F2281" s="507"/>
      <c r="G2281" s="507"/>
      <c r="H2281" s="506"/>
    </row>
    <row r="2282" spans="1:8">
      <c r="A2282" s="178" t="str">
        <f>'3 - PLAN. ORÇAMENTÁRIA'!A717</f>
        <v>9.2.8</v>
      </c>
      <c r="B2282" s="178" t="str">
        <f>'3 - PLAN. ORÇAMENTÁRIA'!B717</f>
        <v>CCU 198</v>
      </c>
      <c r="C2282" s="631" t="str">
        <f>'3 - PLAN. ORÇAMENTÁRIA'!C717</f>
        <v>AS BUILT IMPERMEABILIZAÇÃO REF. I07325/ORSE</v>
      </c>
      <c r="D2282" s="632"/>
      <c r="E2282" s="632"/>
      <c r="F2282" s="632"/>
      <c r="G2282" s="633"/>
      <c r="H2282" s="508" t="str">
        <f>'3 - PLAN. ORÇAMENTÁRIA'!E717</f>
        <v>M2</v>
      </c>
    </row>
    <row r="2283" spans="1:8">
      <c r="A2283" s="163"/>
      <c r="B2283" s="222"/>
      <c r="C2283" s="222"/>
      <c r="D2283" s="222"/>
      <c r="E2283" s="222"/>
      <c r="F2283" s="630" t="s">
        <v>464</v>
      </c>
      <c r="G2283" s="630"/>
      <c r="H2283" s="102">
        <v>1</v>
      </c>
    </row>
    <row r="2285" spans="1:8">
      <c r="B2285" s="245" t="s">
        <v>2544</v>
      </c>
    </row>
    <row r="2286" spans="1:8">
      <c r="B2286" s="222"/>
      <c r="C2286" s="222"/>
      <c r="D2286" s="222"/>
      <c r="E2286" s="222"/>
      <c r="F2286" s="507"/>
      <c r="G2286" s="507"/>
      <c r="H2286" s="506"/>
    </row>
    <row r="2287" spans="1:8">
      <c r="A2287" s="178" t="str">
        <f>'3 - PLAN. ORÇAMENTÁRIA'!A643</f>
        <v>6.4.2.6</v>
      </c>
      <c r="B2287" s="178" t="str">
        <f>'3 - PLAN. ORÇAMENTÁRIA'!B643</f>
        <v>CCU 181</v>
      </c>
      <c r="C2287" s="631" t="str">
        <f>'3 - PLAN. ORÇAMENTÁRIA'!C643</f>
        <v>FORNECIMENTO E INSTALAÇÃO DE CONECTOR RJ 45 MACHO CAT 6A REF. S11242/ORSE</v>
      </c>
      <c r="D2287" s="632"/>
      <c r="E2287" s="632"/>
      <c r="F2287" s="632"/>
      <c r="G2287" s="633"/>
      <c r="H2287" s="131" t="s">
        <v>144</v>
      </c>
    </row>
    <row r="2288" spans="1:8">
      <c r="A2288" s="163"/>
      <c r="B2288" s="628" t="s">
        <v>1238</v>
      </c>
      <c r="C2288" s="628"/>
      <c r="D2288" s="103" t="s">
        <v>579</v>
      </c>
      <c r="E2288" s="103" t="s">
        <v>580</v>
      </c>
      <c r="F2288" s="103" t="s">
        <v>581</v>
      </c>
      <c r="G2288" s="103" t="s">
        <v>582</v>
      </c>
      <c r="H2288" s="103" t="s">
        <v>583</v>
      </c>
    </row>
    <row r="2289" spans="1:8">
      <c r="A2289" s="163"/>
      <c r="B2289" s="159" t="s">
        <v>2097</v>
      </c>
      <c r="C2289" s="221" t="s">
        <v>2098</v>
      </c>
      <c r="D2289" s="159" t="s">
        <v>158</v>
      </c>
      <c r="E2289" s="159" t="s">
        <v>619</v>
      </c>
      <c r="F2289" s="174">
        <v>0.1</v>
      </c>
      <c r="G2289" s="160">
        <v>3.74</v>
      </c>
      <c r="H2289" s="160">
        <f>ROUND(ROUND(F2289,8)*G2289,2)</f>
        <v>0.37</v>
      </c>
    </row>
    <row r="2290" spans="1:8">
      <c r="A2290" s="163"/>
      <c r="B2290" s="222"/>
      <c r="C2290" s="222"/>
      <c r="D2290" s="222"/>
      <c r="E2290" s="222"/>
      <c r="F2290" s="630" t="s">
        <v>604</v>
      </c>
      <c r="G2290" s="630"/>
      <c r="H2290" s="102">
        <f>SUM(H2289:H2289)</f>
        <v>0.37</v>
      </c>
    </row>
    <row r="2291" spans="1:8">
      <c r="B2291" s="628" t="s">
        <v>593</v>
      </c>
      <c r="C2291" s="628"/>
      <c r="D2291" s="103" t="s">
        <v>579</v>
      </c>
      <c r="E2291" s="103" t="s">
        <v>580</v>
      </c>
      <c r="F2291" s="103" t="s">
        <v>581</v>
      </c>
      <c r="G2291" s="103" t="s">
        <v>582</v>
      </c>
      <c r="H2291" s="103" t="s">
        <v>583</v>
      </c>
    </row>
    <row r="2292" spans="1:8">
      <c r="B2292" s="159" t="s">
        <v>2099</v>
      </c>
      <c r="C2292" s="221" t="s">
        <v>2100</v>
      </c>
      <c r="D2292" s="159" t="s">
        <v>158</v>
      </c>
      <c r="E2292" s="159" t="s">
        <v>613</v>
      </c>
      <c r="F2292" s="174">
        <v>1</v>
      </c>
      <c r="G2292" s="160">
        <v>3.03</v>
      </c>
      <c r="H2292" s="160">
        <f>ROUND(ROUND(F2292,8)*G2292,2)</f>
        <v>3.03</v>
      </c>
    </row>
    <row r="2293" spans="1:8">
      <c r="B2293" s="222"/>
      <c r="C2293" s="222"/>
      <c r="D2293" s="222"/>
      <c r="E2293" s="222"/>
      <c r="F2293" s="630" t="s">
        <v>604</v>
      </c>
      <c r="G2293" s="630"/>
      <c r="H2293" s="102">
        <f>SUM(H2292:H2292)</f>
        <v>3.03</v>
      </c>
    </row>
    <row r="2294" spans="1:8">
      <c r="B2294" s="628" t="s">
        <v>584</v>
      </c>
      <c r="C2294" s="628"/>
      <c r="D2294" s="103" t="s">
        <v>579</v>
      </c>
      <c r="E2294" s="103" t="s">
        <v>580</v>
      </c>
      <c r="F2294" s="103" t="s">
        <v>581</v>
      </c>
      <c r="G2294" s="103" t="s">
        <v>582</v>
      </c>
      <c r="H2294" s="103" t="s">
        <v>583</v>
      </c>
    </row>
    <row r="2295" spans="1:8">
      <c r="B2295" s="159" t="s">
        <v>2101</v>
      </c>
      <c r="C2295" s="221" t="s">
        <v>2102</v>
      </c>
      <c r="D2295" s="159" t="s">
        <v>158</v>
      </c>
      <c r="E2295" s="159" t="s">
        <v>121</v>
      </c>
      <c r="F2295" s="174">
        <v>0.1</v>
      </c>
      <c r="G2295" s="160">
        <v>19.13</v>
      </c>
      <c r="H2295" s="160">
        <f>ROUND(ROUND(F2295,8)*G2295,2)</f>
        <v>1.91</v>
      </c>
    </row>
    <row r="2296" spans="1:8">
      <c r="B2296" s="159">
        <v>88316</v>
      </c>
      <c r="C2296" s="221" t="s">
        <v>626</v>
      </c>
      <c r="D2296" s="159" t="s">
        <v>119</v>
      </c>
      <c r="E2296" s="159" t="s">
        <v>121</v>
      </c>
      <c r="F2296" s="174">
        <v>0.1</v>
      </c>
      <c r="G2296" s="160">
        <v>23.75</v>
      </c>
      <c r="H2296" s="160">
        <f>ROUND(ROUND(F2296,8)*G2296,2)</f>
        <v>2.38</v>
      </c>
    </row>
    <row r="2297" spans="1:8">
      <c r="B2297" s="222"/>
      <c r="C2297" s="222"/>
      <c r="D2297" s="222"/>
      <c r="E2297" s="222"/>
      <c r="F2297" s="647" t="s">
        <v>585</v>
      </c>
      <c r="G2297" s="647"/>
      <c r="H2297" s="224">
        <f>H2295+H2296</f>
        <v>4.29</v>
      </c>
    </row>
    <row r="2298" spans="1:8">
      <c r="B2298" s="222"/>
      <c r="C2298" s="222"/>
      <c r="D2298" s="222"/>
      <c r="E2298" s="222"/>
      <c r="F2298" s="645" t="s">
        <v>464</v>
      </c>
      <c r="G2298" s="645"/>
      <c r="H2298" s="158">
        <f>H2297+H2293+H2290</f>
        <v>7.69</v>
      </c>
    </row>
    <row r="2300" spans="1:8">
      <c r="B2300" s="245" t="s">
        <v>2544</v>
      </c>
    </row>
    <row r="2301" spans="1:8">
      <c r="B2301" s="222"/>
      <c r="C2301" s="222"/>
      <c r="D2301" s="222"/>
      <c r="E2301" s="222"/>
      <c r="F2301" s="111"/>
      <c r="G2301" s="111"/>
      <c r="H2301" s="228"/>
    </row>
    <row r="2302" spans="1:8">
      <c r="A2302" s="178" t="str">
        <f>'3 - PLAN. ORÇAMENTÁRIA'!A286</f>
        <v>4.1.6.1.33</v>
      </c>
      <c r="B2302" s="178" t="str">
        <f>'3 - PLAN. ORÇAMENTÁRIA'!B286</f>
        <v>CCU 188</v>
      </c>
      <c r="C2302" s="631" t="str">
        <f>'3 - PLAN. ORÇAMENTÁRIA'!C286</f>
        <v>PRATELEIRA METÁLICA REF LINHA POLO 2031.C33, DECA OU EQUIVALENTE REF. S09494/ORSE</v>
      </c>
      <c r="D2302" s="632"/>
      <c r="E2302" s="632"/>
      <c r="F2302" s="632"/>
      <c r="G2302" s="633"/>
      <c r="H2302" s="131" t="s">
        <v>144</v>
      </c>
    </row>
    <row r="2303" spans="1:8">
      <c r="B2303" s="628" t="s">
        <v>593</v>
      </c>
      <c r="C2303" s="628"/>
      <c r="D2303" s="103" t="s">
        <v>579</v>
      </c>
      <c r="E2303" s="103" t="s">
        <v>580</v>
      </c>
      <c r="F2303" s="103" t="s">
        <v>581</v>
      </c>
      <c r="G2303" s="103" t="s">
        <v>582</v>
      </c>
      <c r="H2303" s="103" t="s">
        <v>583</v>
      </c>
    </row>
    <row r="2304" spans="1:8">
      <c r="B2304" s="159" t="str">
        <f>'6 - COTAÇÃO MERCADO'!B124</f>
        <v>COT 01.014</v>
      </c>
      <c r="C2304" s="221" t="str">
        <f>'6 - COTAÇÃO MERCADO'!C124</f>
        <v>PRATELEIRA METÁLICA REF LINHA POLO 2031.C33, DECA OU EQUIVALENTE</v>
      </c>
      <c r="D2304" s="159" t="s">
        <v>3280</v>
      </c>
      <c r="E2304" s="159" t="s">
        <v>1048</v>
      </c>
      <c r="F2304" s="174">
        <v>1</v>
      </c>
      <c r="G2304" s="160">
        <f>'6 - COTAÇÃO MERCADO'!D124</f>
        <v>926.91</v>
      </c>
      <c r="H2304" s="160">
        <f>ROUND(ROUND(F2304,8)*G2304,2)</f>
        <v>926.91</v>
      </c>
    </row>
    <row r="2305" spans="1:8">
      <c r="B2305" s="222"/>
      <c r="C2305" s="222"/>
      <c r="D2305" s="222"/>
      <c r="E2305" s="222"/>
      <c r="F2305" s="630" t="s">
        <v>604</v>
      </c>
      <c r="G2305" s="630"/>
      <c r="H2305" s="102">
        <f>H2304</f>
        <v>926.91</v>
      </c>
    </row>
    <row r="2306" spans="1:8">
      <c r="B2306" s="628" t="s">
        <v>584</v>
      </c>
      <c r="C2306" s="628"/>
      <c r="D2306" s="103" t="s">
        <v>579</v>
      </c>
      <c r="E2306" s="103" t="s">
        <v>580</v>
      </c>
      <c r="F2306" s="103" t="s">
        <v>581</v>
      </c>
      <c r="G2306" s="103" t="s">
        <v>582</v>
      </c>
      <c r="H2306" s="103" t="s">
        <v>583</v>
      </c>
    </row>
    <row r="2307" spans="1:8">
      <c r="B2307" s="159">
        <v>88309</v>
      </c>
      <c r="C2307" s="221" t="s">
        <v>640</v>
      </c>
      <c r="D2307" s="159" t="s">
        <v>119</v>
      </c>
      <c r="E2307" s="159" t="s">
        <v>121</v>
      </c>
      <c r="F2307" s="174">
        <v>0.7</v>
      </c>
      <c r="G2307" s="160">
        <v>31.34</v>
      </c>
      <c r="H2307" s="160">
        <f>ROUND(ROUND(F2307,8)*G2307,2)</f>
        <v>21.94</v>
      </c>
    </row>
    <row r="2308" spans="1:8">
      <c r="B2308" s="222"/>
      <c r="C2308" s="222"/>
      <c r="D2308" s="222"/>
      <c r="E2308" s="222"/>
      <c r="F2308" s="647" t="s">
        <v>585</v>
      </c>
      <c r="G2308" s="647"/>
      <c r="H2308" s="224">
        <f>H2307</f>
        <v>21.94</v>
      </c>
    </row>
    <row r="2309" spans="1:8">
      <c r="B2309" s="222"/>
      <c r="C2309" s="222"/>
      <c r="D2309" s="222"/>
      <c r="E2309" s="222"/>
      <c r="F2309" s="645" t="s">
        <v>464</v>
      </c>
      <c r="G2309" s="645"/>
      <c r="H2309" s="158">
        <f>H2308+H2305</f>
        <v>948.85</v>
      </c>
    </row>
    <row r="2311" spans="1:8">
      <c r="B2311" s="245" t="s">
        <v>2544</v>
      </c>
    </row>
    <row r="2312" spans="1:8">
      <c r="B2312" s="222"/>
      <c r="C2312" s="222"/>
      <c r="D2312" s="222"/>
      <c r="E2312" s="222"/>
      <c r="F2312" s="111"/>
      <c r="G2312" s="111"/>
      <c r="H2312" s="228"/>
    </row>
    <row r="2313" spans="1:8">
      <c r="A2313" s="178" t="str">
        <f>'3 - PLAN. ORÇAMENTÁRIA'!A204</f>
        <v>4.1.4.6</v>
      </c>
      <c r="B2313" s="178" t="str">
        <f>'3 - PLAN. ORÇAMENTÁRIA'!B204</f>
        <v>CCU 104</v>
      </c>
      <c r="C2313" s="631" t="str">
        <f>'3 - PLAN. ORÇAMENTÁRIA'!C204</f>
        <v>CHAPA XADREX 1/4" REF. S00226/ORSE</v>
      </c>
      <c r="D2313" s="632"/>
      <c r="E2313" s="632"/>
      <c r="F2313" s="632"/>
      <c r="G2313" s="633"/>
      <c r="H2313" s="131" t="str">
        <f>'3 - PLAN. ORÇAMENTÁRIA'!E204</f>
        <v>KG</v>
      </c>
    </row>
    <row r="2314" spans="1:8">
      <c r="B2314" s="628" t="s">
        <v>593</v>
      </c>
      <c r="C2314" s="628"/>
      <c r="D2314" s="103" t="s">
        <v>579</v>
      </c>
      <c r="E2314" s="103" t="s">
        <v>580</v>
      </c>
      <c r="F2314" s="103" t="s">
        <v>581</v>
      </c>
      <c r="G2314" s="103" t="s">
        <v>582</v>
      </c>
      <c r="H2314" s="103" t="s">
        <v>583</v>
      </c>
    </row>
    <row r="2315" spans="1:8">
      <c r="B2315" s="159" t="s">
        <v>2692</v>
      </c>
      <c r="C2315" s="221" t="s">
        <v>2693</v>
      </c>
      <c r="D2315" s="159" t="s">
        <v>158</v>
      </c>
      <c r="E2315" s="159" t="s">
        <v>200</v>
      </c>
      <c r="F2315" s="174">
        <v>1</v>
      </c>
      <c r="G2315" s="160">
        <v>9.44</v>
      </c>
      <c r="H2315" s="160">
        <f>ROUND(ROUND(F2315,8)*G2315,2)</f>
        <v>9.44</v>
      </c>
    </row>
    <row r="2316" spans="1:8">
      <c r="B2316" s="222"/>
      <c r="C2316" s="222"/>
      <c r="D2316" s="222"/>
      <c r="E2316" s="222"/>
      <c r="F2316" s="630" t="s">
        <v>604</v>
      </c>
      <c r="G2316" s="630"/>
      <c r="H2316" s="102">
        <f>H2315</f>
        <v>9.44</v>
      </c>
    </row>
    <row r="2317" spans="1:8">
      <c r="B2317" s="222"/>
      <c r="C2317" s="222"/>
      <c r="D2317" s="222"/>
      <c r="E2317" s="222"/>
      <c r="F2317" s="645" t="s">
        <v>464</v>
      </c>
      <c r="G2317" s="645"/>
      <c r="H2317" s="158">
        <f>H2316</f>
        <v>9.44</v>
      </c>
    </row>
    <row r="2318" spans="1:8">
      <c r="B2318" s="222"/>
      <c r="C2318" s="222"/>
      <c r="D2318" s="222"/>
      <c r="E2318" s="222"/>
      <c r="F2318" s="111"/>
      <c r="G2318" s="111"/>
      <c r="H2318" s="228"/>
    </row>
    <row r="2319" spans="1:8">
      <c r="B2319" s="245" t="s">
        <v>2544</v>
      </c>
      <c r="C2319" s="222"/>
      <c r="D2319" s="222"/>
      <c r="E2319" s="222"/>
      <c r="F2319" s="111"/>
      <c r="G2319" s="111"/>
      <c r="H2319" s="228"/>
    </row>
    <row r="2320" spans="1:8">
      <c r="B2320" s="222"/>
      <c r="C2320" s="222"/>
      <c r="D2320" s="222"/>
      <c r="E2320" s="222"/>
      <c r="F2320" s="111"/>
      <c r="G2320" s="111"/>
      <c r="H2320" s="228"/>
    </row>
    <row r="2321" spans="1:8">
      <c r="A2321" s="178" t="str">
        <f>'3 - PLAN. ORÇAMENTÁRIA'!A304</f>
        <v>4.2.6</v>
      </c>
      <c r="B2321" s="178" t="str">
        <f>'3 - PLAN. ORÇAMENTÁRIA'!B304</f>
        <v>CCU 106</v>
      </c>
      <c r="C2321" s="631" t="str">
        <f>'3 - PLAN. ORÇAMENTÁRIA'!C304</f>
        <v>MAPA TÁTIL EM ACRÍLICO MEDINDO 70 X 50CM, COM SUPORTE EM CHAPA GALVANIZADA REVESTIDA COM ALUCOBOND H=1,00M REF. S09691</v>
      </c>
      <c r="D2321" s="632"/>
      <c r="E2321" s="632"/>
      <c r="F2321" s="632"/>
      <c r="G2321" s="633"/>
      <c r="H2321" s="131" t="str">
        <f>'3 - PLAN. ORÇAMENTÁRIA'!E304</f>
        <v>UN</v>
      </c>
    </row>
    <row r="2322" spans="1:8">
      <c r="B2322" s="628" t="s">
        <v>593</v>
      </c>
      <c r="C2322" s="628"/>
      <c r="D2322" s="103" t="s">
        <v>579</v>
      </c>
      <c r="E2322" s="103" t="s">
        <v>580</v>
      </c>
      <c r="F2322" s="103" t="s">
        <v>581</v>
      </c>
      <c r="G2322" s="103" t="s">
        <v>582</v>
      </c>
      <c r="H2322" s="103" t="s">
        <v>583</v>
      </c>
    </row>
    <row r="2323" spans="1:8">
      <c r="B2323" s="159" t="s">
        <v>2727</v>
      </c>
      <c r="C2323" s="221" t="s">
        <v>2728</v>
      </c>
      <c r="D2323" s="159" t="s">
        <v>158</v>
      </c>
      <c r="E2323" s="159" t="s">
        <v>1048</v>
      </c>
      <c r="F2323" s="174">
        <v>1</v>
      </c>
      <c r="G2323" s="160">
        <v>1732.74</v>
      </c>
      <c r="H2323" s="160">
        <f>ROUND(ROUND(F2323,8)*G2323,2)</f>
        <v>1732.74</v>
      </c>
    </row>
    <row r="2324" spans="1:8">
      <c r="B2324" s="159" t="s">
        <v>2729</v>
      </c>
      <c r="C2324" s="221" t="s">
        <v>2730</v>
      </c>
      <c r="D2324" s="159" t="s">
        <v>158</v>
      </c>
      <c r="E2324" s="159" t="s">
        <v>1048</v>
      </c>
      <c r="F2324" s="174">
        <v>1</v>
      </c>
      <c r="G2324" s="160">
        <v>4481.34</v>
      </c>
      <c r="H2324" s="160">
        <f>ROUND(ROUND(F2324,8)*G2324,2)</f>
        <v>4481.34</v>
      </c>
    </row>
    <row r="2325" spans="1:8">
      <c r="B2325" s="222"/>
      <c r="C2325" s="222"/>
      <c r="D2325" s="222"/>
      <c r="E2325" s="222"/>
      <c r="F2325" s="630" t="s">
        <v>604</v>
      </c>
      <c r="G2325" s="630"/>
      <c r="H2325" s="102">
        <f>H2323+H2324</f>
        <v>6214.08</v>
      </c>
    </row>
    <row r="2326" spans="1:8">
      <c r="B2326" s="222"/>
      <c r="C2326" s="222"/>
      <c r="D2326" s="222"/>
      <c r="E2326" s="222"/>
      <c r="F2326" s="645" t="s">
        <v>464</v>
      </c>
      <c r="G2326" s="645"/>
      <c r="H2326" s="158">
        <f>H2325</f>
        <v>6214.08</v>
      </c>
    </row>
    <row r="2328" spans="1:8">
      <c r="B2328" s="245" t="s">
        <v>2544</v>
      </c>
    </row>
    <row r="2329" spans="1:8">
      <c r="B2329" s="222"/>
      <c r="C2329" s="222"/>
      <c r="D2329" s="222"/>
      <c r="E2329" s="222"/>
      <c r="F2329" s="111"/>
      <c r="G2329" s="111"/>
      <c r="H2329" s="228"/>
    </row>
    <row r="2330" spans="1:8" ht="24.75" customHeight="1">
      <c r="A2330" s="178" t="str">
        <f>'3 - PLAN. ORÇAMENTÁRIA'!A654</f>
        <v>6.5.2.5</v>
      </c>
      <c r="B2330" s="178" t="str">
        <f>'3 - PLAN. ORÇAMENTÁRIA'!B654</f>
        <v>CCU 053</v>
      </c>
      <c r="C2330" s="631" t="str">
        <f>'3 - PLAN. ORÇAMENTÁRIA'!C654</f>
        <v>AMPLIFICADOR DE SOM 500W - SLIM 4700 HDMI OPTICAL REF. S12396/ORSE</v>
      </c>
      <c r="D2330" s="632"/>
      <c r="E2330" s="632"/>
      <c r="F2330" s="632"/>
      <c r="G2330" s="633"/>
      <c r="H2330" s="282" t="str">
        <f>'3 - PLAN. ORÇAMENTÁRIA'!E654</f>
        <v>UN</v>
      </c>
    </row>
    <row r="2331" spans="1:8">
      <c r="B2331" s="628" t="s">
        <v>1238</v>
      </c>
      <c r="C2331" s="628"/>
      <c r="D2331" s="103" t="s">
        <v>579</v>
      </c>
      <c r="E2331" s="103" t="s">
        <v>580</v>
      </c>
      <c r="F2331" s="103" t="s">
        <v>581</v>
      </c>
      <c r="G2331" s="103" t="s">
        <v>582</v>
      </c>
      <c r="H2331" s="103" t="s">
        <v>583</v>
      </c>
    </row>
    <row r="2332" spans="1:8">
      <c r="B2332" s="173" t="s">
        <v>2097</v>
      </c>
      <c r="C2332" s="221" t="s">
        <v>2098</v>
      </c>
      <c r="D2332" s="159" t="s">
        <v>158</v>
      </c>
      <c r="E2332" s="159" t="s">
        <v>121</v>
      </c>
      <c r="F2332" s="174">
        <v>2</v>
      </c>
      <c r="G2332" s="160">
        <v>3.74</v>
      </c>
      <c r="H2332" s="160">
        <f>ROUND(ROUND(F2332,8)*G2332,2)</f>
        <v>7.48</v>
      </c>
    </row>
    <row r="2333" spans="1:8">
      <c r="B2333" s="222"/>
      <c r="C2333" s="222"/>
      <c r="D2333" s="222"/>
      <c r="E2333" s="222"/>
      <c r="F2333" s="630" t="s">
        <v>604</v>
      </c>
      <c r="G2333" s="630"/>
      <c r="H2333" s="102">
        <f>H2332</f>
        <v>7.48</v>
      </c>
    </row>
    <row r="2334" spans="1:8">
      <c r="B2334" s="628" t="s">
        <v>593</v>
      </c>
      <c r="C2334" s="628"/>
      <c r="D2334" s="103" t="s">
        <v>579</v>
      </c>
      <c r="E2334" s="103" t="s">
        <v>580</v>
      </c>
      <c r="F2334" s="103" t="s">
        <v>581</v>
      </c>
      <c r="G2334" s="103" t="s">
        <v>582</v>
      </c>
      <c r="H2334" s="103" t="s">
        <v>583</v>
      </c>
    </row>
    <row r="2335" spans="1:8">
      <c r="B2335" s="159" t="str">
        <f>'6 - COTAÇÃO MERCADO'!B23</f>
        <v>COT 01.003</v>
      </c>
      <c r="C2335" s="221" t="str">
        <f>'6 - COTAÇÃO MERCADO'!C23</f>
        <v>AMPLIFICADOR DE SOM 500W - SLIM 4700 HDMI OPTICAL</v>
      </c>
      <c r="D2335" s="159" t="s">
        <v>3280</v>
      </c>
      <c r="E2335" s="159" t="str">
        <f>'6 - COTAÇÃO MERCADO'!E23</f>
        <v>UN</v>
      </c>
      <c r="F2335" s="174">
        <v>1</v>
      </c>
      <c r="G2335" s="160">
        <f>'6 - COTAÇÃO MERCADO'!D23</f>
        <v>2898</v>
      </c>
      <c r="H2335" s="160">
        <f>ROUND(ROUND(F2335,8)*G2335,2)</f>
        <v>2898</v>
      </c>
    </row>
    <row r="2336" spans="1:8">
      <c r="B2336" s="222"/>
      <c r="C2336" s="222"/>
      <c r="D2336" s="222"/>
      <c r="E2336" s="222"/>
      <c r="F2336" s="630" t="s">
        <v>585</v>
      </c>
      <c r="G2336" s="630"/>
      <c r="H2336" s="102">
        <f>H2335</f>
        <v>2898</v>
      </c>
    </row>
    <row r="2337" spans="1:8">
      <c r="B2337" s="628" t="s">
        <v>584</v>
      </c>
      <c r="C2337" s="628"/>
      <c r="D2337" s="103" t="s">
        <v>579</v>
      </c>
      <c r="E2337" s="103" t="s">
        <v>580</v>
      </c>
      <c r="F2337" s="103" t="s">
        <v>581</v>
      </c>
      <c r="G2337" s="103" t="s">
        <v>582</v>
      </c>
      <c r="H2337" s="103" t="s">
        <v>583</v>
      </c>
    </row>
    <row r="2338" spans="1:8">
      <c r="B2338" s="159" t="s">
        <v>2101</v>
      </c>
      <c r="C2338" s="221" t="s">
        <v>2102</v>
      </c>
      <c r="D2338" s="159" t="s">
        <v>158</v>
      </c>
      <c r="E2338" s="159" t="s">
        <v>121</v>
      </c>
      <c r="F2338" s="174">
        <v>2</v>
      </c>
      <c r="G2338" s="160">
        <v>19.13</v>
      </c>
      <c r="H2338" s="160">
        <f t="shared" ref="H2338:H2339" si="69">ROUND(ROUND(F2338,8)*G2338,2)</f>
        <v>38.26</v>
      </c>
    </row>
    <row r="2339" spans="1:8">
      <c r="B2339" s="159" t="s">
        <v>2856</v>
      </c>
      <c r="C2339" s="221" t="s">
        <v>2857</v>
      </c>
      <c r="D2339" s="159" t="s">
        <v>158</v>
      </c>
      <c r="E2339" s="159" t="s">
        <v>121</v>
      </c>
      <c r="F2339" s="174">
        <v>2</v>
      </c>
      <c r="G2339" s="160">
        <v>24.14</v>
      </c>
      <c r="H2339" s="160">
        <f t="shared" si="69"/>
        <v>48.28</v>
      </c>
    </row>
    <row r="2340" spans="1:8">
      <c r="B2340" s="222"/>
      <c r="C2340" s="222"/>
      <c r="D2340" s="222"/>
      <c r="E2340" s="222"/>
      <c r="F2340" s="630" t="s">
        <v>585</v>
      </c>
      <c r="G2340" s="630"/>
      <c r="H2340" s="102">
        <f>SUM(H2338:H2339)</f>
        <v>86.539999999999992</v>
      </c>
    </row>
    <row r="2341" spans="1:8">
      <c r="B2341" s="222"/>
      <c r="C2341" s="222"/>
      <c r="D2341" s="222"/>
      <c r="E2341" s="222"/>
      <c r="F2341" s="630" t="s">
        <v>464</v>
      </c>
      <c r="G2341" s="630"/>
      <c r="H2341" s="102">
        <f>H2340+H2336+H2333</f>
        <v>2992.02</v>
      </c>
    </row>
    <row r="2342" spans="1:8">
      <c r="B2342" s="222"/>
      <c r="C2342" s="222"/>
      <c r="D2342" s="222"/>
      <c r="E2342" s="222"/>
      <c r="F2342" s="108"/>
      <c r="G2342" s="108"/>
      <c r="H2342" s="108"/>
    </row>
    <row r="2343" spans="1:8">
      <c r="B2343" s="245" t="s">
        <v>2544</v>
      </c>
    </row>
    <row r="2344" spans="1:8">
      <c r="B2344" s="222"/>
      <c r="C2344" s="222"/>
      <c r="D2344" s="222"/>
      <c r="E2344" s="222"/>
      <c r="F2344" s="280"/>
      <c r="G2344" s="280"/>
      <c r="H2344" s="283"/>
    </row>
    <row r="2345" spans="1:8">
      <c r="A2345" s="178" t="str">
        <f>'3 - PLAN. ORÇAMENTÁRIA'!A102</f>
        <v>3.3.6</v>
      </c>
      <c r="B2345" s="178" t="str">
        <f>'3 - PLAN. ORÇAMENTÁRIA'!B102</f>
        <v>CCU 081</v>
      </c>
      <c r="C2345" s="631" t="str">
        <f>'3 - PLAN. ORÇAMENTÁRIA'!C102</f>
        <v>EXECUÇÃO DE SOLDA CONTÍNUA (JUNÇÃO ALVENARIA E PILARES METÁLICOS) REF. S13072/ORSE</v>
      </c>
      <c r="D2345" s="632"/>
      <c r="E2345" s="632"/>
      <c r="F2345" s="632"/>
      <c r="G2345" s="633"/>
      <c r="H2345" s="312" t="str">
        <f>'3 - PLAN. ORÇAMENTÁRIA'!E102</f>
        <v>M</v>
      </c>
    </row>
    <row r="2346" spans="1:8">
      <c r="B2346" s="628" t="s">
        <v>593</v>
      </c>
      <c r="C2346" s="628"/>
      <c r="D2346" s="103" t="s">
        <v>579</v>
      </c>
      <c r="E2346" s="103" t="s">
        <v>580</v>
      </c>
      <c r="F2346" s="103" t="s">
        <v>581</v>
      </c>
      <c r="G2346" s="103" t="s">
        <v>582</v>
      </c>
      <c r="H2346" s="103" t="s">
        <v>583</v>
      </c>
    </row>
    <row r="2347" spans="1:8">
      <c r="B2347" s="173" t="s">
        <v>2941</v>
      </c>
      <c r="C2347" s="221" t="s">
        <v>2942</v>
      </c>
      <c r="D2347" s="159" t="s">
        <v>158</v>
      </c>
      <c r="E2347" s="159" t="s">
        <v>200</v>
      </c>
      <c r="F2347" s="174">
        <v>0.124</v>
      </c>
      <c r="G2347" s="160">
        <v>49.78</v>
      </c>
      <c r="H2347" s="160">
        <f>ROUND(ROUND(F2347,8)*G2347,2)</f>
        <v>6.17</v>
      </c>
    </row>
    <row r="2348" spans="1:8">
      <c r="B2348" s="222"/>
      <c r="C2348" s="222"/>
      <c r="D2348" s="222"/>
      <c r="E2348" s="222"/>
      <c r="F2348" s="630" t="s">
        <v>604</v>
      </c>
      <c r="G2348" s="630"/>
      <c r="H2348" s="102">
        <f>H2347</f>
        <v>6.17</v>
      </c>
    </row>
    <row r="2349" spans="1:8">
      <c r="B2349" s="628" t="s">
        <v>584</v>
      </c>
      <c r="C2349" s="628"/>
      <c r="D2349" s="103" t="s">
        <v>579</v>
      </c>
      <c r="E2349" s="103" t="s">
        <v>580</v>
      </c>
      <c r="F2349" s="103" t="s">
        <v>581</v>
      </c>
      <c r="G2349" s="103" t="s">
        <v>582</v>
      </c>
      <c r="H2349" s="103" t="s">
        <v>583</v>
      </c>
    </row>
    <row r="2350" spans="1:8">
      <c r="B2350" s="159">
        <v>88317</v>
      </c>
      <c r="C2350" s="221" t="s">
        <v>2943</v>
      </c>
      <c r="D2350" s="159" t="s">
        <v>119</v>
      </c>
      <c r="E2350" s="159" t="s">
        <v>121</v>
      </c>
      <c r="F2350" s="174">
        <v>0.33</v>
      </c>
      <c r="G2350" s="160">
        <v>32.07</v>
      </c>
      <c r="H2350" s="160">
        <f>ROUND(ROUND(F2350,8)*G2350,2)</f>
        <v>10.58</v>
      </c>
    </row>
    <row r="2351" spans="1:8">
      <c r="B2351" s="222"/>
      <c r="C2351" s="222"/>
      <c r="D2351" s="222"/>
      <c r="E2351" s="222"/>
      <c r="F2351" s="630" t="s">
        <v>585</v>
      </c>
      <c r="G2351" s="630"/>
      <c r="H2351" s="102">
        <f>H2350</f>
        <v>10.58</v>
      </c>
    </row>
    <row r="2352" spans="1:8">
      <c r="B2352" s="222"/>
      <c r="C2352" s="222"/>
      <c r="D2352" s="222"/>
      <c r="E2352" s="222"/>
      <c r="F2352" s="630" t="s">
        <v>464</v>
      </c>
      <c r="G2352" s="630"/>
      <c r="H2352" s="102">
        <f>H2348+H2351</f>
        <v>16.75</v>
      </c>
    </row>
    <row r="2353" spans="1:8">
      <c r="B2353" s="222"/>
      <c r="C2353" s="222"/>
      <c r="D2353" s="222"/>
      <c r="E2353" s="222"/>
      <c r="F2353" s="310"/>
      <c r="G2353" s="310"/>
      <c r="H2353" s="313"/>
    </row>
    <row r="2354" spans="1:8" ht="27" customHeight="1">
      <c r="A2354" s="178" t="str">
        <f>'3 - PLAN. ORÇAMENTÁRIA'!A391</f>
        <v>4.4.4.8</v>
      </c>
      <c r="B2354" s="178" t="str">
        <f>'3 - PLAN. ORÇAMENTÁRIA'!B391</f>
        <v>CCU 096</v>
      </c>
      <c r="C2354" s="631" t="str">
        <f>'3 - PLAN. ORÇAMENTÁRIA'!C391</f>
        <v>BRISE QUADRICULADO EM TELA DE ARAME GALVANIZADO FIO 12, MALHA 2", COM SUPORTE EM TUBO GALVANIZADO 1 1/2" E REQUADROS EM BARRA CHATA 3/4" X 3/16" REF. S09580/ORSE</v>
      </c>
      <c r="D2354" s="632"/>
      <c r="E2354" s="632"/>
      <c r="F2354" s="632"/>
      <c r="G2354" s="633"/>
      <c r="H2354" s="312" t="str">
        <f>'3 - PLAN. ORÇAMENTÁRIA'!E391</f>
        <v>M2</v>
      </c>
    </row>
    <row r="2355" spans="1:8">
      <c r="B2355" s="648" t="s">
        <v>593</v>
      </c>
      <c r="C2355" s="648"/>
      <c r="D2355" s="231" t="s">
        <v>579</v>
      </c>
      <c r="E2355" s="231" t="s">
        <v>580</v>
      </c>
      <c r="F2355" s="291" t="s">
        <v>581</v>
      </c>
      <c r="G2355" s="291" t="s">
        <v>582</v>
      </c>
      <c r="H2355" s="291" t="s">
        <v>583</v>
      </c>
    </row>
    <row r="2356" spans="1:8">
      <c r="B2356" s="292" t="s">
        <v>3683</v>
      </c>
      <c r="C2356" s="293" t="s">
        <v>3686</v>
      </c>
      <c r="D2356" s="292" t="s">
        <v>158</v>
      </c>
      <c r="E2356" s="292" t="s">
        <v>621</v>
      </c>
      <c r="F2356" s="294">
        <v>5.28</v>
      </c>
      <c r="G2356" s="295">
        <v>10.42</v>
      </c>
      <c r="H2356" s="408">
        <f t="shared" ref="H2356:H2363" si="70">ROUND(ROUND(F2356,8)*G2356,2)</f>
        <v>55.02</v>
      </c>
    </row>
    <row r="2357" spans="1:8">
      <c r="B2357" s="292" t="s">
        <v>3684</v>
      </c>
      <c r="C2357" s="293" t="s">
        <v>3687</v>
      </c>
      <c r="D2357" s="292" t="s">
        <v>158</v>
      </c>
      <c r="E2357" s="292" t="s">
        <v>614</v>
      </c>
      <c r="F2357" s="294">
        <v>7.9</v>
      </c>
      <c r="G2357" s="295">
        <v>12.78</v>
      </c>
      <c r="H2357" s="408">
        <f t="shared" si="70"/>
        <v>100.96</v>
      </c>
    </row>
    <row r="2358" spans="1:8">
      <c r="B2358" s="292" t="s">
        <v>3685</v>
      </c>
      <c r="C2358" s="293" t="s">
        <v>3688</v>
      </c>
      <c r="D2358" s="292" t="s">
        <v>158</v>
      </c>
      <c r="E2358" s="292" t="s">
        <v>620</v>
      </c>
      <c r="F2358" s="294">
        <v>1.4999999999999999E-2</v>
      </c>
      <c r="G2358" s="295">
        <v>140.66999999999999</v>
      </c>
      <c r="H2358" s="408">
        <f t="shared" si="70"/>
        <v>2.11</v>
      </c>
    </row>
    <row r="2359" spans="1:8">
      <c r="B2359" s="292" t="s">
        <v>3268</v>
      </c>
      <c r="C2359" s="293" t="s">
        <v>3947</v>
      </c>
      <c r="D2359" s="292" t="s">
        <v>158</v>
      </c>
      <c r="E2359" s="292" t="s">
        <v>620</v>
      </c>
      <c r="F2359" s="294">
        <v>1</v>
      </c>
      <c r="G2359" s="295">
        <v>221.24</v>
      </c>
      <c r="H2359" s="408">
        <f t="shared" si="70"/>
        <v>221.24</v>
      </c>
    </row>
    <row r="2360" spans="1:8">
      <c r="B2360" s="292" t="s">
        <v>3689</v>
      </c>
      <c r="C2360" s="293" t="s">
        <v>3690</v>
      </c>
      <c r="D2360" s="292" t="s">
        <v>158</v>
      </c>
      <c r="E2360" s="292" t="s">
        <v>613</v>
      </c>
      <c r="F2360" s="294">
        <v>3</v>
      </c>
      <c r="G2360" s="295">
        <v>83.06</v>
      </c>
      <c r="H2360" s="408">
        <f t="shared" si="70"/>
        <v>249.18</v>
      </c>
    </row>
    <row r="2361" spans="1:8">
      <c r="B2361" s="292" t="s">
        <v>2944</v>
      </c>
      <c r="C2361" s="293" t="s">
        <v>2945</v>
      </c>
      <c r="D2361" s="292" t="s">
        <v>158</v>
      </c>
      <c r="E2361" s="292" t="s">
        <v>621</v>
      </c>
      <c r="F2361" s="294">
        <v>6.11</v>
      </c>
      <c r="G2361" s="295">
        <v>51.84</v>
      </c>
      <c r="H2361" s="408">
        <f t="shared" si="70"/>
        <v>316.74</v>
      </c>
    </row>
    <row r="2362" spans="1:8">
      <c r="B2362" s="292" t="s">
        <v>3691</v>
      </c>
      <c r="C2362" s="293" t="s">
        <v>3692</v>
      </c>
      <c r="D2362" s="292" t="s">
        <v>158</v>
      </c>
      <c r="E2362" s="292" t="s">
        <v>613</v>
      </c>
      <c r="F2362" s="294">
        <v>6</v>
      </c>
      <c r="G2362" s="295">
        <v>15.35</v>
      </c>
      <c r="H2362" s="408">
        <f t="shared" si="70"/>
        <v>92.1</v>
      </c>
    </row>
    <row r="2363" spans="1:8">
      <c r="B2363" s="292" t="s">
        <v>3693</v>
      </c>
      <c r="C2363" s="293" t="s">
        <v>3694</v>
      </c>
      <c r="D2363" s="292" t="s">
        <v>158</v>
      </c>
      <c r="E2363" s="292" t="s">
        <v>614</v>
      </c>
      <c r="F2363" s="294">
        <v>4.18</v>
      </c>
      <c r="G2363" s="295">
        <v>52.1</v>
      </c>
      <c r="H2363" s="408">
        <f t="shared" si="70"/>
        <v>217.78</v>
      </c>
    </row>
    <row r="2364" spans="1:8">
      <c r="B2364" s="105"/>
      <c r="C2364" s="105"/>
      <c r="D2364" s="105"/>
      <c r="E2364" s="105"/>
      <c r="F2364" s="655" t="s">
        <v>604</v>
      </c>
      <c r="G2364" s="655"/>
      <c r="H2364" s="296">
        <f>SUM(H2356:H2363)</f>
        <v>1255.1299999999999</v>
      </c>
    </row>
    <row r="2365" spans="1:8" ht="12.75" customHeight="1">
      <c r="B2365" s="648" t="s">
        <v>607</v>
      </c>
      <c r="C2365" s="648"/>
      <c r="D2365" s="231" t="s">
        <v>579</v>
      </c>
      <c r="E2365" s="231" t="s">
        <v>580</v>
      </c>
      <c r="F2365" s="291" t="s">
        <v>581</v>
      </c>
      <c r="G2365" s="291" t="s">
        <v>582</v>
      </c>
      <c r="H2365" s="291" t="s">
        <v>583</v>
      </c>
    </row>
    <row r="2366" spans="1:8">
      <c r="B2366" s="292">
        <v>88315</v>
      </c>
      <c r="C2366" s="293" t="s">
        <v>668</v>
      </c>
      <c r="D2366" s="292" t="s">
        <v>119</v>
      </c>
      <c r="E2366" s="292" t="s">
        <v>121</v>
      </c>
      <c r="F2366" s="294">
        <v>3</v>
      </c>
      <c r="G2366" s="295">
        <v>31.13</v>
      </c>
      <c r="H2366" s="160">
        <f>ROUND(ROUND(F2366,8)*G2366,2)</f>
        <v>93.39</v>
      </c>
    </row>
    <row r="2367" spans="1:8">
      <c r="B2367" s="292" t="s">
        <v>625</v>
      </c>
      <c r="C2367" s="293" t="s">
        <v>626</v>
      </c>
      <c r="D2367" s="292" t="s">
        <v>119</v>
      </c>
      <c r="E2367" s="292" t="s">
        <v>121</v>
      </c>
      <c r="F2367" s="294">
        <v>3</v>
      </c>
      <c r="G2367" s="295">
        <v>23.75</v>
      </c>
      <c r="H2367" s="160">
        <f>ROUND(ROUND(F2367,8)*G2367,2)</f>
        <v>71.25</v>
      </c>
    </row>
    <row r="2368" spans="1:8" ht="12.75" customHeight="1">
      <c r="B2368" s="105"/>
      <c r="C2368" s="105"/>
      <c r="D2368" s="105"/>
      <c r="E2368" s="105"/>
      <c r="F2368" s="649" t="s">
        <v>610</v>
      </c>
      <c r="G2368" s="649"/>
      <c r="H2368" s="296">
        <f>SUM(H2366:H2367)</f>
        <v>164.64</v>
      </c>
    </row>
    <row r="2369" spans="1:8" ht="12.75" customHeight="1">
      <c r="B2369" s="105"/>
      <c r="C2369" s="105"/>
      <c r="D2369" s="105"/>
      <c r="E2369" s="105"/>
      <c r="F2369" s="645" t="s">
        <v>2946</v>
      </c>
      <c r="G2369" s="645"/>
      <c r="H2369" s="158">
        <f>H2368+H2364</f>
        <v>1419.77</v>
      </c>
    </row>
    <row r="2370" spans="1:8">
      <c r="B2370" s="222"/>
      <c r="C2370" s="222"/>
      <c r="D2370" s="222"/>
      <c r="E2370" s="222"/>
      <c r="F2370" s="310"/>
      <c r="G2370" s="310"/>
      <c r="H2370" s="313"/>
    </row>
    <row r="2371" spans="1:8">
      <c r="A2371" s="178" t="str">
        <f>'3 - PLAN. ORÇAMENTÁRIA'!A652</f>
        <v>6.5.2.3</v>
      </c>
      <c r="B2371" s="178" t="str">
        <f>'3 - PLAN. ORÇAMENTÁRIA'!B652</f>
        <v>CCU 131</v>
      </c>
      <c r="C2371" s="631" t="str">
        <f>'3 - PLAN. ORÇAMENTÁRIA'!C652</f>
        <v>FORNECIMENTO E INSTALAÇÃO DE CONCECTOR MACHO P10 REF. S11242/ORSE</v>
      </c>
      <c r="D2371" s="632"/>
      <c r="E2371" s="632"/>
      <c r="F2371" s="632"/>
      <c r="G2371" s="633"/>
      <c r="H2371" s="333" t="str">
        <f>'3 - PLAN. ORÇAMENTÁRIA'!E652</f>
        <v>UN</v>
      </c>
    </row>
    <row r="2372" spans="1:8">
      <c r="B2372" s="628" t="s">
        <v>1238</v>
      </c>
      <c r="C2372" s="628"/>
      <c r="D2372" s="103" t="s">
        <v>579</v>
      </c>
      <c r="E2372" s="103" t="s">
        <v>580</v>
      </c>
      <c r="F2372" s="103" t="s">
        <v>581</v>
      </c>
      <c r="G2372" s="103" t="s">
        <v>582</v>
      </c>
      <c r="H2372" s="103" t="s">
        <v>583</v>
      </c>
    </row>
    <row r="2373" spans="1:8">
      <c r="B2373" s="173" t="s">
        <v>2097</v>
      </c>
      <c r="C2373" s="221" t="s">
        <v>2098</v>
      </c>
      <c r="D2373" s="159" t="s">
        <v>158</v>
      </c>
      <c r="E2373" s="159" t="s">
        <v>121</v>
      </c>
      <c r="F2373" s="174">
        <v>0.1</v>
      </c>
      <c r="G2373" s="160">
        <v>3.74</v>
      </c>
      <c r="H2373" s="160">
        <f t="shared" ref="H2373" si="71">ROUND(ROUND(F2373,8)*G2373,2)</f>
        <v>0.37</v>
      </c>
    </row>
    <row r="2374" spans="1:8">
      <c r="B2374" s="222"/>
      <c r="C2374" s="222"/>
      <c r="D2374" s="222"/>
      <c r="E2374" s="222"/>
      <c r="F2374" s="630" t="s">
        <v>604</v>
      </c>
      <c r="G2374" s="630"/>
      <c r="H2374" s="102">
        <f>H2373</f>
        <v>0.37</v>
      </c>
    </row>
    <row r="2375" spans="1:8">
      <c r="B2375" s="628" t="s">
        <v>593</v>
      </c>
      <c r="C2375" s="628"/>
      <c r="D2375" s="103" t="s">
        <v>579</v>
      </c>
      <c r="E2375" s="103" t="s">
        <v>580</v>
      </c>
      <c r="F2375" s="103" t="s">
        <v>581</v>
      </c>
      <c r="G2375" s="103" t="s">
        <v>582</v>
      </c>
      <c r="H2375" s="103" t="s">
        <v>583</v>
      </c>
    </row>
    <row r="2376" spans="1:8">
      <c r="B2376" s="159" t="s">
        <v>3276</v>
      </c>
      <c r="C2376" s="221" t="s">
        <v>3277</v>
      </c>
      <c r="D2376" s="159" t="s">
        <v>158</v>
      </c>
      <c r="E2376" s="159" t="s">
        <v>1048</v>
      </c>
      <c r="F2376" s="174">
        <v>1</v>
      </c>
      <c r="G2376" s="160">
        <v>37.799999999999997</v>
      </c>
      <c r="H2376" s="160">
        <f t="shared" ref="H2376" si="72">ROUND(ROUND(F2376,8)*G2376,2)</f>
        <v>37.799999999999997</v>
      </c>
    </row>
    <row r="2377" spans="1:8">
      <c r="B2377" s="222"/>
      <c r="C2377" s="222"/>
      <c r="D2377" s="222"/>
      <c r="E2377" s="222"/>
      <c r="F2377" s="630" t="s">
        <v>585</v>
      </c>
      <c r="G2377" s="630"/>
      <c r="H2377" s="102">
        <f>H2376</f>
        <v>37.799999999999997</v>
      </c>
    </row>
    <row r="2378" spans="1:8">
      <c r="B2378" s="628" t="s">
        <v>584</v>
      </c>
      <c r="C2378" s="628"/>
      <c r="D2378" s="103" t="s">
        <v>579</v>
      </c>
      <c r="E2378" s="103" t="s">
        <v>580</v>
      </c>
      <c r="F2378" s="103" t="s">
        <v>581</v>
      </c>
      <c r="G2378" s="103" t="s">
        <v>582</v>
      </c>
      <c r="H2378" s="103" t="s">
        <v>583</v>
      </c>
    </row>
    <row r="2379" spans="1:8">
      <c r="B2379" s="159" t="s">
        <v>2101</v>
      </c>
      <c r="C2379" s="221" t="s">
        <v>2102</v>
      </c>
      <c r="D2379" s="159" t="s">
        <v>158</v>
      </c>
      <c r="E2379" s="159" t="s">
        <v>121</v>
      </c>
      <c r="F2379" s="174">
        <v>0.1</v>
      </c>
      <c r="G2379" s="160">
        <v>19.13</v>
      </c>
      <c r="H2379" s="160">
        <f t="shared" ref="H2379" si="73">ROUND(ROUND(F2379,8)*G2379,2)</f>
        <v>1.91</v>
      </c>
    </row>
    <row r="2380" spans="1:8">
      <c r="B2380" s="222"/>
      <c r="C2380" s="222"/>
      <c r="D2380" s="222"/>
      <c r="E2380" s="222"/>
      <c r="F2380" s="630" t="s">
        <v>585</v>
      </c>
      <c r="G2380" s="630"/>
      <c r="H2380" s="102">
        <f>H2379</f>
        <v>1.91</v>
      </c>
    </row>
    <row r="2381" spans="1:8">
      <c r="B2381" s="648" t="s">
        <v>607</v>
      </c>
      <c r="C2381" s="648"/>
      <c r="D2381" s="231" t="s">
        <v>579</v>
      </c>
      <c r="E2381" s="231" t="s">
        <v>580</v>
      </c>
      <c r="F2381" s="291" t="s">
        <v>581</v>
      </c>
      <c r="G2381" s="291" t="s">
        <v>582</v>
      </c>
      <c r="H2381" s="291" t="s">
        <v>583</v>
      </c>
    </row>
    <row r="2382" spans="1:8">
      <c r="B2382" s="292">
        <v>88316</v>
      </c>
      <c r="C2382" s="293" t="s">
        <v>626</v>
      </c>
      <c r="D2382" s="292" t="s">
        <v>119</v>
      </c>
      <c r="E2382" s="292" t="s">
        <v>121</v>
      </c>
      <c r="F2382" s="294">
        <v>0.1</v>
      </c>
      <c r="G2382" s="295">
        <v>23.75</v>
      </c>
      <c r="H2382" s="160">
        <f t="shared" ref="H2382" si="74">ROUND(ROUND(F2382,8)*G2382,2)</f>
        <v>2.38</v>
      </c>
    </row>
    <row r="2383" spans="1:8">
      <c r="B2383" s="222"/>
      <c r="C2383" s="222"/>
      <c r="D2383" s="222"/>
      <c r="E2383" s="222"/>
      <c r="F2383" s="649" t="s">
        <v>610</v>
      </c>
      <c r="G2383" s="649"/>
      <c r="H2383" s="296">
        <f>H2382</f>
        <v>2.38</v>
      </c>
    </row>
    <row r="2384" spans="1:8">
      <c r="B2384" s="222"/>
      <c r="C2384" s="222"/>
      <c r="D2384" s="222"/>
      <c r="E2384" s="222"/>
      <c r="F2384" s="630" t="s">
        <v>464</v>
      </c>
      <c r="G2384" s="630"/>
      <c r="H2384" s="102">
        <f>H2383+H2380+H2377+H2374</f>
        <v>42.459999999999994</v>
      </c>
    </row>
    <row r="2385" spans="1:8">
      <c r="B2385" s="222"/>
      <c r="C2385" s="222"/>
      <c r="D2385" s="222"/>
      <c r="E2385" s="222"/>
      <c r="F2385" s="332"/>
      <c r="G2385" s="332"/>
      <c r="H2385" s="334"/>
    </row>
    <row r="2386" spans="1:8">
      <c r="A2386" s="178" t="str">
        <f>'3 - PLAN. ORÇAMENTÁRIA'!A668</f>
        <v>6.7.8</v>
      </c>
      <c r="B2386" s="178" t="str">
        <f>'3 - PLAN. ORÇAMENTÁRIA'!B668</f>
        <v>CCU 132</v>
      </c>
      <c r="C2386" s="631" t="str">
        <f>'3 - PLAN. ORÇAMENTÁRIA'!C668</f>
        <v>CERTIFICAÇÃO DE REDE CABEAMENTO ESTRUTURADO REF. I10322/ORSE</v>
      </c>
      <c r="D2386" s="632"/>
      <c r="E2386" s="632"/>
      <c r="F2386" s="632"/>
      <c r="G2386" s="633"/>
      <c r="H2386" s="333" t="str">
        <f>'3 - PLAN. ORÇAMENTÁRIA'!E668</f>
        <v>UN</v>
      </c>
    </row>
    <row r="2387" spans="1:8">
      <c r="B2387" s="648" t="s">
        <v>593</v>
      </c>
      <c r="C2387" s="648"/>
      <c r="D2387" s="231" t="s">
        <v>579</v>
      </c>
      <c r="E2387" s="231" t="s">
        <v>580</v>
      </c>
      <c r="F2387" s="291" t="s">
        <v>581</v>
      </c>
      <c r="G2387" s="291" t="s">
        <v>582</v>
      </c>
      <c r="H2387" s="291" t="s">
        <v>583</v>
      </c>
    </row>
    <row r="2388" spans="1:8">
      <c r="B2388" s="292" t="s">
        <v>3278</v>
      </c>
      <c r="C2388" s="293" t="s">
        <v>3279</v>
      </c>
      <c r="D2388" s="292" t="s">
        <v>158</v>
      </c>
      <c r="E2388" s="159" t="s">
        <v>1048</v>
      </c>
      <c r="F2388" s="294">
        <v>1</v>
      </c>
      <c r="G2388" s="295">
        <v>23.68</v>
      </c>
      <c r="H2388" s="160">
        <f t="shared" ref="H2388" si="75">ROUND(ROUND(F2388,8)*G2388,2)</f>
        <v>23.68</v>
      </c>
    </row>
    <row r="2389" spans="1:8">
      <c r="B2389" s="222"/>
      <c r="C2389" s="222"/>
      <c r="D2389" s="222"/>
      <c r="E2389" s="222"/>
      <c r="F2389" s="649" t="s">
        <v>604</v>
      </c>
      <c r="G2389" s="649"/>
      <c r="H2389" s="296">
        <f>SUM(H2385:H2388)</f>
        <v>23.68</v>
      </c>
    </row>
    <row r="2390" spans="1:8">
      <c r="B2390" s="222"/>
      <c r="C2390" s="222"/>
      <c r="D2390" s="222"/>
      <c r="E2390" s="222"/>
      <c r="F2390" s="630" t="s">
        <v>464</v>
      </c>
      <c r="G2390" s="630"/>
      <c r="H2390" s="102">
        <f>H2389</f>
        <v>23.68</v>
      </c>
    </row>
    <row r="2391" spans="1:8">
      <c r="B2391" s="222"/>
      <c r="C2391" s="222"/>
      <c r="D2391" s="222"/>
      <c r="E2391" s="222"/>
      <c r="F2391" s="332"/>
      <c r="G2391" s="332"/>
      <c r="H2391" s="334"/>
    </row>
    <row r="2392" spans="1:8" ht="27.75" customHeight="1">
      <c r="A2392" s="178" t="str">
        <f>'3 - PLAN. ORÇAMENTÁRIA'!A184</f>
        <v>4.1.2.1.11</v>
      </c>
      <c r="B2392" s="178" t="str">
        <f>'3 - PLAN. ORÇAMENTÁRIA'!B184</f>
        <v>CCU 051</v>
      </c>
      <c r="C2392" s="631" t="str">
        <f>'3 - PLAN. ORÇAMENTÁRIA'!C184</f>
        <v>FORNECIMENTO E MONTAGEM DE PORTA DE ENROLAR AUTOMÁTICA, EM CHAPA 20 TRANSVISION, COM GUIAS LATERAIS, SOLEIRA T, MOTOR PARA 1000KG , PVC AUTO LUBRIFICANTE NAS GUIAS, BORRACHA DE VEDAÇÃO DE SOLEIRA, CENTRAL COM 02 CONTROLES E PINTURA ELETROSTÁTICA REF. S13468/ORSE</v>
      </c>
      <c r="D2392" s="632"/>
      <c r="E2392" s="632"/>
      <c r="F2392" s="632"/>
      <c r="G2392" s="633"/>
      <c r="H2392" s="348" t="str">
        <f>'3 - PLAN. ORÇAMENTÁRIA'!E184</f>
        <v>M2</v>
      </c>
    </row>
    <row r="2393" spans="1:8">
      <c r="B2393" s="648" t="s">
        <v>593</v>
      </c>
      <c r="C2393" s="648"/>
      <c r="D2393" s="231" t="s">
        <v>579</v>
      </c>
      <c r="E2393" s="231" t="s">
        <v>580</v>
      </c>
      <c r="F2393" s="291" t="s">
        <v>581</v>
      </c>
      <c r="G2393" s="291" t="s">
        <v>582</v>
      </c>
      <c r="H2393" s="291" t="s">
        <v>583</v>
      </c>
    </row>
    <row r="2394" spans="1:8" ht="25.5">
      <c r="B2394" s="356" t="s">
        <v>3351</v>
      </c>
      <c r="C2394" s="357" t="s">
        <v>3352</v>
      </c>
      <c r="D2394" s="356" t="s">
        <v>158</v>
      </c>
      <c r="E2394" s="159" t="s">
        <v>620</v>
      </c>
      <c r="F2394" s="358">
        <v>1</v>
      </c>
      <c r="G2394" s="359">
        <v>370.44</v>
      </c>
      <c r="H2394" s="160">
        <f t="shared" ref="H2394" si="76">ROUND(ROUND(F2394,8)*G2394,2)</f>
        <v>370.44</v>
      </c>
    </row>
    <row r="2395" spans="1:8">
      <c r="B2395" s="222"/>
      <c r="C2395" s="222"/>
      <c r="D2395" s="222"/>
      <c r="E2395" s="222"/>
      <c r="F2395" s="649" t="s">
        <v>604</v>
      </c>
      <c r="G2395" s="649"/>
      <c r="H2395" s="296">
        <f>SUM(H2391:H2394)</f>
        <v>370.44</v>
      </c>
    </row>
    <row r="2396" spans="1:8">
      <c r="B2396" s="222"/>
      <c r="C2396" s="222"/>
      <c r="D2396" s="222"/>
      <c r="E2396" s="222"/>
      <c r="F2396" s="630" t="s">
        <v>464</v>
      </c>
      <c r="G2396" s="630"/>
      <c r="H2396" s="102">
        <f>H2395</f>
        <v>370.44</v>
      </c>
    </row>
    <row r="2397" spans="1:8">
      <c r="B2397" s="222"/>
      <c r="C2397" s="222"/>
      <c r="D2397" s="222"/>
      <c r="E2397" s="222"/>
      <c r="F2397" s="345"/>
      <c r="G2397" s="345"/>
      <c r="H2397" s="349"/>
    </row>
    <row r="2398" spans="1:8">
      <c r="A2398" s="178" t="str">
        <f>'3 - PLAN. ORÇAMENTÁRIA'!A283</f>
        <v>4.1.6.1.30</v>
      </c>
      <c r="B2398" s="178" t="str">
        <f>'3 - PLAN. ORÇAMENTÁRIA'!B283</f>
        <v>CCU 033</v>
      </c>
      <c r="C2398" s="631" t="str">
        <f>'3 - PLAN. ORÇAMENTÁRIA'!C283</f>
        <v>KIT DE ALARME PARA WC PNE, COMPOSTO POR BOTOEIRA E SIRENE AUDIOVISUAL - FORNECIMENTO E INSTALAÇÃO REF. S12514/ORSE</v>
      </c>
      <c r="D2398" s="632"/>
      <c r="E2398" s="632"/>
      <c r="F2398" s="632"/>
      <c r="G2398" s="633"/>
      <c r="H2398" s="348" t="str">
        <f>'3 - PLAN. ORÇAMENTÁRIA'!E283</f>
        <v>CJ</v>
      </c>
    </row>
    <row r="2399" spans="1:8">
      <c r="B2399" s="648" t="s">
        <v>593</v>
      </c>
      <c r="C2399" s="648"/>
      <c r="D2399" s="231" t="s">
        <v>579</v>
      </c>
      <c r="E2399" s="231" t="s">
        <v>580</v>
      </c>
      <c r="F2399" s="291" t="s">
        <v>581</v>
      </c>
      <c r="G2399" s="291" t="s">
        <v>582</v>
      </c>
      <c r="H2399" s="291" t="s">
        <v>583</v>
      </c>
    </row>
    <row r="2400" spans="1:8">
      <c r="B2400" s="356" t="s">
        <v>3353</v>
      </c>
      <c r="C2400" s="357" t="s">
        <v>3354</v>
      </c>
      <c r="D2400" s="356" t="s">
        <v>158</v>
      </c>
      <c r="E2400" s="159" t="s">
        <v>144</v>
      </c>
      <c r="F2400" s="358">
        <v>1</v>
      </c>
      <c r="G2400" s="359">
        <v>794.09</v>
      </c>
      <c r="H2400" s="160">
        <f t="shared" ref="H2400" si="77">ROUND(ROUND(F2400,8)*G2400,2)</f>
        <v>794.09</v>
      </c>
    </row>
    <row r="2401" spans="1:8">
      <c r="B2401" s="222"/>
      <c r="C2401" s="222"/>
      <c r="D2401" s="222"/>
      <c r="E2401" s="222"/>
      <c r="F2401" s="649" t="s">
        <v>604</v>
      </c>
      <c r="G2401" s="649"/>
      <c r="H2401" s="296">
        <f>SUM(H2397:H2400)</f>
        <v>794.09</v>
      </c>
    </row>
    <row r="2402" spans="1:8">
      <c r="B2402" s="222"/>
      <c r="C2402" s="222"/>
      <c r="D2402" s="222"/>
      <c r="E2402" s="222"/>
      <c r="F2402" s="630" t="s">
        <v>464</v>
      </c>
      <c r="G2402" s="630"/>
      <c r="H2402" s="102">
        <f>H2401</f>
        <v>794.09</v>
      </c>
    </row>
    <row r="2403" spans="1:8">
      <c r="B2403" s="222"/>
      <c r="C2403" s="222"/>
      <c r="D2403" s="222"/>
      <c r="E2403" s="222"/>
      <c r="F2403" s="345"/>
      <c r="G2403" s="345"/>
      <c r="H2403" s="349"/>
    </row>
    <row r="2404" spans="1:8">
      <c r="A2404" s="178" t="str">
        <f>'3 - PLAN. ORÇAMENTÁRIA'!A460</f>
        <v>5.3.1.22</v>
      </c>
      <c r="B2404" s="178" t="str">
        <f>'3 - PLAN. ORÇAMENTÁRIA'!B460</f>
        <v>CCU 174</v>
      </c>
      <c r="C2404" s="631" t="str">
        <f>'3 - PLAN. ORÇAMENTÁRIA'!C460</f>
        <v>RALO HEMISFÉRICO EM F° F°, TIPO ABACAXI Ø 100MM REF. S04283/ORSE</v>
      </c>
      <c r="D2404" s="632"/>
      <c r="E2404" s="632"/>
      <c r="F2404" s="632"/>
      <c r="G2404" s="633"/>
      <c r="H2404" s="392" t="str">
        <f>'3 - PLAN. ORÇAMENTÁRIA'!E460</f>
        <v>UN</v>
      </c>
    </row>
    <row r="2405" spans="1:8">
      <c r="B2405" s="628" t="s">
        <v>593</v>
      </c>
      <c r="C2405" s="628"/>
      <c r="D2405" s="103" t="s">
        <v>579</v>
      </c>
      <c r="E2405" s="103" t="s">
        <v>580</v>
      </c>
      <c r="F2405" s="103" t="s">
        <v>581</v>
      </c>
      <c r="G2405" s="103" t="s">
        <v>582</v>
      </c>
      <c r="H2405" s="103" t="s">
        <v>583</v>
      </c>
    </row>
    <row r="2406" spans="1:8">
      <c r="B2406" s="159" t="s">
        <v>3610</v>
      </c>
      <c r="C2406" s="221" t="s">
        <v>3611</v>
      </c>
      <c r="D2406" s="159" t="s">
        <v>158</v>
      </c>
      <c r="E2406" s="159" t="s">
        <v>1048</v>
      </c>
      <c r="F2406" s="174">
        <v>1</v>
      </c>
      <c r="G2406" s="160">
        <v>15.77</v>
      </c>
      <c r="H2406" s="160">
        <f t="shared" ref="H2406" si="78">ROUND(ROUND(F2406,8)*G2406,2)</f>
        <v>15.77</v>
      </c>
    </row>
    <row r="2407" spans="1:8">
      <c r="B2407" s="222"/>
      <c r="C2407" s="222"/>
      <c r="D2407" s="222"/>
      <c r="E2407" s="222"/>
      <c r="F2407" s="630" t="s">
        <v>604</v>
      </c>
      <c r="G2407" s="630"/>
      <c r="H2407" s="102">
        <f>H2406</f>
        <v>15.77</v>
      </c>
    </row>
    <row r="2408" spans="1:8">
      <c r="B2408" s="628" t="s">
        <v>607</v>
      </c>
      <c r="C2408" s="628"/>
      <c r="D2408" s="103" t="s">
        <v>579</v>
      </c>
      <c r="E2408" s="103" t="s">
        <v>580</v>
      </c>
      <c r="F2408" s="103" t="s">
        <v>581</v>
      </c>
      <c r="G2408" s="103" t="s">
        <v>582</v>
      </c>
      <c r="H2408" s="103" t="s">
        <v>583</v>
      </c>
    </row>
    <row r="2409" spans="1:8">
      <c r="B2409" s="159">
        <v>88267</v>
      </c>
      <c r="C2409" s="221" t="s">
        <v>612</v>
      </c>
      <c r="D2409" s="159" t="s">
        <v>119</v>
      </c>
      <c r="E2409" s="159" t="s">
        <v>121</v>
      </c>
      <c r="F2409" s="174">
        <v>0.5</v>
      </c>
      <c r="G2409" s="160">
        <v>30.62</v>
      </c>
      <c r="H2409" s="160">
        <f>ROUND(ROUND(F2409,8)*G2409,2)</f>
        <v>15.31</v>
      </c>
    </row>
    <row r="2410" spans="1:8">
      <c r="B2410" s="159">
        <v>88316</v>
      </c>
      <c r="C2410" s="221" t="s">
        <v>626</v>
      </c>
      <c r="D2410" s="159" t="s">
        <v>119</v>
      </c>
      <c r="E2410" s="159" t="s">
        <v>121</v>
      </c>
      <c r="F2410" s="174">
        <v>0.5</v>
      </c>
      <c r="G2410" s="160">
        <v>23.75</v>
      </c>
      <c r="H2410" s="160">
        <f>ROUND(ROUND(F2410,8)*G2410,2)</f>
        <v>11.88</v>
      </c>
    </row>
    <row r="2411" spans="1:8">
      <c r="B2411" s="222"/>
      <c r="C2411" s="222"/>
      <c r="D2411" s="222"/>
      <c r="E2411" s="222"/>
      <c r="F2411" s="630" t="s">
        <v>610</v>
      </c>
      <c r="G2411" s="630"/>
      <c r="H2411" s="102">
        <f>H2409+H2410</f>
        <v>27.19</v>
      </c>
    </row>
    <row r="2412" spans="1:8">
      <c r="B2412" s="222"/>
      <c r="C2412" s="222"/>
      <c r="D2412" s="222"/>
      <c r="E2412" s="222"/>
      <c r="F2412" s="630" t="s">
        <v>464</v>
      </c>
      <c r="G2412" s="630"/>
      <c r="H2412" s="102">
        <f>H2411+H2407</f>
        <v>42.96</v>
      </c>
    </row>
    <row r="2413" spans="1:8">
      <c r="B2413" s="222"/>
      <c r="C2413" s="222"/>
      <c r="D2413" s="222"/>
      <c r="E2413" s="222"/>
      <c r="F2413" s="391"/>
      <c r="G2413" s="391"/>
      <c r="H2413" s="393"/>
    </row>
    <row r="2414" spans="1:8">
      <c r="A2414" s="178" t="str">
        <f>'3 - PLAN. ORÇAMENTÁRIA'!A580</f>
        <v>6.1.4.18</v>
      </c>
      <c r="B2414" s="178" t="str">
        <f>'3 - PLAN. ORÇAMENTÁRIA'!B580</f>
        <v>CCU 008</v>
      </c>
      <c r="C2414" s="631" t="str">
        <f>'3 - PLAN. ORÇAMENTÁRIA'!C580</f>
        <v>REFLETOR SLIM LED 100W DE POTÊNCIA, BRANCO FRIO, 6500K, AUTOVOLT, MARCA G-LIGHT OU SIMILAR REF. S13148/ORSE</v>
      </c>
      <c r="D2414" s="632"/>
      <c r="E2414" s="632"/>
      <c r="F2414" s="632"/>
      <c r="G2414" s="633"/>
      <c r="H2414" s="451" t="str">
        <f>'3 - PLAN. ORÇAMENTÁRIA'!E580</f>
        <v>UN</v>
      </c>
    </row>
    <row r="2415" spans="1:8">
      <c r="B2415" s="648" t="s">
        <v>593</v>
      </c>
      <c r="C2415" s="648"/>
      <c r="D2415" s="231" t="s">
        <v>579</v>
      </c>
      <c r="E2415" s="231" t="s">
        <v>580</v>
      </c>
      <c r="F2415" s="291" t="s">
        <v>581</v>
      </c>
      <c r="G2415" s="291" t="s">
        <v>582</v>
      </c>
      <c r="H2415" s="291" t="s">
        <v>583</v>
      </c>
    </row>
    <row r="2416" spans="1:8">
      <c r="B2416" s="356" t="s">
        <v>2417</v>
      </c>
      <c r="C2416" s="357" t="s">
        <v>2418</v>
      </c>
      <c r="D2416" s="356" t="s">
        <v>158</v>
      </c>
      <c r="E2416" s="159" t="s">
        <v>1048</v>
      </c>
      <c r="F2416" s="358">
        <v>2</v>
      </c>
      <c r="G2416" s="359">
        <v>0.87</v>
      </c>
      <c r="H2416" s="160">
        <f t="shared" ref="H2416:H2417" si="79">ROUND(ROUND(F2416,8)*G2416,2)</f>
        <v>1.74</v>
      </c>
    </row>
    <row r="2417" spans="1:8">
      <c r="B2417" s="356" t="s">
        <v>3861</v>
      </c>
      <c r="C2417" s="357" t="s">
        <v>3860</v>
      </c>
      <c r="D2417" s="356" t="s">
        <v>158</v>
      </c>
      <c r="E2417" s="159" t="s">
        <v>1048</v>
      </c>
      <c r="F2417" s="358">
        <v>1</v>
      </c>
      <c r="G2417" s="359">
        <v>66.7</v>
      </c>
      <c r="H2417" s="160">
        <f t="shared" si="79"/>
        <v>66.7</v>
      </c>
    </row>
    <row r="2418" spans="1:8">
      <c r="B2418" s="222"/>
      <c r="C2418" s="222"/>
      <c r="D2418" s="222"/>
      <c r="E2418" s="222"/>
      <c r="F2418" s="649" t="s">
        <v>604</v>
      </c>
      <c r="G2418" s="649"/>
      <c r="H2418" s="296">
        <f>H2416+H2417</f>
        <v>68.44</v>
      </c>
    </row>
    <row r="2419" spans="1:8">
      <c r="B2419" s="628" t="s">
        <v>607</v>
      </c>
      <c r="C2419" s="628"/>
      <c r="D2419" s="103" t="s">
        <v>579</v>
      </c>
      <c r="E2419" s="103" t="s">
        <v>580</v>
      </c>
      <c r="F2419" s="103" t="s">
        <v>581</v>
      </c>
      <c r="G2419" s="103" t="s">
        <v>582</v>
      </c>
      <c r="H2419" s="103" t="s">
        <v>583</v>
      </c>
    </row>
    <row r="2420" spans="1:8">
      <c r="B2420" s="159">
        <v>88264</v>
      </c>
      <c r="C2420" s="221" t="s">
        <v>609</v>
      </c>
      <c r="D2420" s="159" t="s">
        <v>119</v>
      </c>
      <c r="E2420" s="159" t="s">
        <v>121</v>
      </c>
      <c r="F2420" s="174">
        <v>0.5</v>
      </c>
      <c r="G2420" s="160">
        <v>31.72</v>
      </c>
      <c r="H2420" s="160">
        <f>ROUND(ROUND(F2420,8)*G2420,2)</f>
        <v>15.86</v>
      </c>
    </row>
    <row r="2421" spans="1:8">
      <c r="B2421" s="159">
        <v>88316</v>
      </c>
      <c r="C2421" s="221" t="s">
        <v>626</v>
      </c>
      <c r="D2421" s="159" t="s">
        <v>119</v>
      </c>
      <c r="E2421" s="159" t="s">
        <v>121</v>
      </c>
      <c r="F2421" s="174">
        <v>0.3</v>
      </c>
      <c r="G2421" s="160">
        <v>23.75</v>
      </c>
      <c r="H2421" s="160">
        <f>ROUND(ROUND(F2421,8)*G2421,2)</f>
        <v>7.13</v>
      </c>
    </row>
    <row r="2422" spans="1:8">
      <c r="B2422" s="222"/>
      <c r="C2422" s="222"/>
      <c r="D2422" s="222"/>
      <c r="E2422" s="222"/>
      <c r="F2422" s="630" t="s">
        <v>610</v>
      </c>
      <c r="G2422" s="630"/>
      <c r="H2422" s="102">
        <f>H2420+H2421</f>
        <v>22.99</v>
      </c>
    </row>
    <row r="2423" spans="1:8">
      <c r="B2423" s="222"/>
      <c r="C2423" s="222"/>
      <c r="D2423" s="222"/>
      <c r="E2423" s="222"/>
      <c r="F2423" s="630" t="s">
        <v>464</v>
      </c>
      <c r="G2423" s="630"/>
      <c r="H2423" s="102">
        <f>H2422+H2418</f>
        <v>91.429999999999993</v>
      </c>
    </row>
    <row r="2424" spans="1:8">
      <c r="B2424" s="222"/>
      <c r="C2424" s="222"/>
      <c r="D2424" s="222"/>
      <c r="E2424" s="222"/>
      <c r="F2424" s="452"/>
      <c r="G2424" s="452"/>
      <c r="H2424" s="453"/>
    </row>
    <row r="2425" spans="1:8">
      <c r="A2425" s="178" t="str">
        <f>'3 - PLAN. ORÇAMENTÁRIA'!A239</f>
        <v>4.1.5.2.1.14</v>
      </c>
      <c r="B2425" s="178" t="str">
        <f>'3 - PLAN. ORÇAMENTÁRIA'!B239</f>
        <v>CCU 186</v>
      </c>
      <c r="C2425" s="631" t="str">
        <f>'3 - PLAN. ORÇAMENTÁRIA'!C239</f>
        <v>CANTONEIRA ALUMÍNIO ANODIZADO COLORIDO, 1 1/2" X 1 1/2" X 1/4 REF. S01910/ORSE</v>
      </c>
      <c r="D2425" s="632"/>
      <c r="E2425" s="632"/>
      <c r="F2425" s="632"/>
      <c r="G2425" s="633"/>
      <c r="H2425" s="490" t="str">
        <f>'3 - PLAN. ORÇAMENTÁRIA'!E239</f>
        <v>M</v>
      </c>
    </row>
    <row r="2426" spans="1:8">
      <c r="B2426" s="648" t="s">
        <v>593</v>
      </c>
      <c r="C2426" s="648"/>
      <c r="D2426" s="231" t="s">
        <v>579</v>
      </c>
      <c r="E2426" s="231" t="s">
        <v>580</v>
      </c>
      <c r="F2426" s="291" t="s">
        <v>581</v>
      </c>
      <c r="G2426" s="291" t="s">
        <v>582</v>
      </c>
      <c r="H2426" s="291" t="s">
        <v>583</v>
      </c>
    </row>
    <row r="2427" spans="1:8">
      <c r="B2427" s="356" t="s">
        <v>4005</v>
      </c>
      <c r="C2427" s="357" t="s">
        <v>4004</v>
      </c>
      <c r="D2427" s="356" t="s">
        <v>158</v>
      </c>
      <c r="E2427" s="159" t="s">
        <v>173</v>
      </c>
      <c r="F2427" s="358">
        <v>1.1000000000000001</v>
      </c>
      <c r="G2427" s="359">
        <v>27.73</v>
      </c>
      <c r="H2427" s="160">
        <f t="shared" ref="H2427" si="80">ROUND(ROUND(F2427,8)*G2427,2)</f>
        <v>30.5</v>
      </c>
    </row>
    <row r="2428" spans="1:8">
      <c r="B2428" s="222"/>
      <c r="C2428" s="222"/>
      <c r="D2428" s="222"/>
      <c r="E2428" s="222"/>
      <c r="F2428" s="649" t="s">
        <v>604</v>
      </c>
      <c r="G2428" s="649"/>
      <c r="H2428" s="296">
        <f>H2427</f>
        <v>30.5</v>
      </c>
    </row>
    <row r="2429" spans="1:8">
      <c r="B2429" s="628" t="s">
        <v>607</v>
      </c>
      <c r="C2429" s="628"/>
      <c r="D2429" s="103" t="s">
        <v>579</v>
      </c>
      <c r="E2429" s="103" t="s">
        <v>580</v>
      </c>
      <c r="F2429" s="103" t="s">
        <v>581</v>
      </c>
      <c r="G2429" s="103" t="s">
        <v>582</v>
      </c>
      <c r="H2429" s="103" t="s">
        <v>583</v>
      </c>
    </row>
    <row r="2430" spans="1:8">
      <c r="B2430" s="159">
        <v>88262</v>
      </c>
      <c r="C2430" s="221" t="s">
        <v>618</v>
      </c>
      <c r="D2430" s="159" t="s">
        <v>119</v>
      </c>
      <c r="E2430" s="159" t="s">
        <v>121</v>
      </c>
      <c r="F2430" s="174">
        <v>0.25</v>
      </c>
      <c r="G2430" s="160">
        <v>30.91</v>
      </c>
      <c r="H2430" s="160">
        <f>ROUND(ROUND(F2430,8)*G2430,2)</f>
        <v>7.73</v>
      </c>
    </row>
    <row r="2431" spans="1:8">
      <c r="B2431" s="159">
        <v>88316</v>
      </c>
      <c r="C2431" s="221" t="s">
        <v>626</v>
      </c>
      <c r="D2431" s="159" t="s">
        <v>119</v>
      </c>
      <c r="E2431" s="159" t="s">
        <v>121</v>
      </c>
      <c r="F2431" s="174">
        <v>0.25</v>
      </c>
      <c r="G2431" s="160">
        <v>23.75</v>
      </c>
      <c r="H2431" s="160">
        <f>ROUND(ROUND(F2431,8)*G2431,2)</f>
        <v>5.94</v>
      </c>
    </row>
    <row r="2432" spans="1:8">
      <c r="B2432" s="222"/>
      <c r="C2432" s="222"/>
      <c r="D2432" s="222"/>
      <c r="E2432" s="222"/>
      <c r="F2432" s="630" t="s">
        <v>610</v>
      </c>
      <c r="G2432" s="630"/>
      <c r="H2432" s="102">
        <f>H2430+H2431</f>
        <v>13.670000000000002</v>
      </c>
    </row>
    <row r="2433" spans="1:8">
      <c r="B2433" s="222"/>
      <c r="C2433" s="222"/>
      <c r="D2433" s="222"/>
      <c r="E2433" s="222"/>
      <c r="F2433" s="630" t="s">
        <v>464</v>
      </c>
      <c r="G2433" s="630"/>
      <c r="H2433" s="102">
        <f>H2432+H2428</f>
        <v>44.17</v>
      </c>
    </row>
    <row r="2434" spans="1:8">
      <c r="B2434" s="222"/>
      <c r="C2434" s="222"/>
      <c r="D2434" s="222"/>
      <c r="E2434" s="222"/>
      <c r="F2434" s="491"/>
      <c r="G2434" s="491"/>
      <c r="H2434" s="492"/>
    </row>
    <row r="2435" spans="1:8">
      <c r="A2435" s="178" t="str">
        <f>'3 - PLAN. ORÇAMENTÁRIA'!A337</f>
        <v>4.3.30</v>
      </c>
      <c r="B2435" s="178" t="str">
        <f>'3 - PLAN. ORÇAMENTÁRIA'!B337</f>
        <v>CCU 102</v>
      </c>
      <c r="C2435" s="631" t="str">
        <f>'3 - PLAN. ORÇAMENTÁRIA'!C337</f>
        <v>PINTURA DE ACABAMENTO COM APLICAÇÃO DE 01 DEMÃO DE VERNIZ ACRÍLICO PARA PROTEÇÃO DE SUPERFÍCIES EM CONCRETO APARENTE REF. S03733/ORSE</v>
      </c>
      <c r="D2435" s="632"/>
      <c r="E2435" s="632"/>
      <c r="F2435" s="632"/>
      <c r="G2435" s="633"/>
      <c r="H2435" s="511" t="str">
        <f>'3 - PLAN. ORÇAMENTÁRIA'!E337</f>
        <v>M2</v>
      </c>
    </row>
    <row r="2436" spans="1:8">
      <c r="B2436" s="648" t="s">
        <v>593</v>
      </c>
      <c r="C2436" s="648"/>
      <c r="D2436" s="231" t="s">
        <v>579</v>
      </c>
      <c r="E2436" s="231" t="s">
        <v>580</v>
      </c>
      <c r="F2436" s="291" t="s">
        <v>581</v>
      </c>
      <c r="G2436" s="291" t="s">
        <v>582</v>
      </c>
      <c r="H2436" s="291" t="s">
        <v>583</v>
      </c>
    </row>
    <row r="2437" spans="1:8">
      <c r="B2437" s="356" t="s">
        <v>4117</v>
      </c>
      <c r="C2437" s="357" t="s">
        <v>4119</v>
      </c>
      <c r="D2437" s="356" t="s">
        <v>158</v>
      </c>
      <c r="E2437" s="159" t="s">
        <v>107</v>
      </c>
      <c r="F2437" s="358">
        <v>0.12</v>
      </c>
      <c r="G2437" s="359">
        <v>45.69</v>
      </c>
      <c r="H2437" s="160">
        <f t="shared" ref="H2437:H2438" si="81">ROUND(ROUND(F2437,8)*G2437,2)</f>
        <v>5.48</v>
      </c>
    </row>
    <row r="2438" spans="1:8">
      <c r="B2438" s="356" t="s">
        <v>4118</v>
      </c>
      <c r="C2438" s="357" t="s">
        <v>4120</v>
      </c>
      <c r="D2438" s="356" t="s">
        <v>158</v>
      </c>
      <c r="E2438" s="159" t="s">
        <v>107</v>
      </c>
      <c r="F2438" s="358">
        <v>0.12</v>
      </c>
      <c r="G2438" s="359">
        <v>18.329999999999998</v>
      </c>
      <c r="H2438" s="160">
        <f t="shared" si="81"/>
        <v>2.2000000000000002</v>
      </c>
    </row>
    <row r="2439" spans="1:8">
      <c r="B2439" s="222"/>
      <c r="C2439" s="222"/>
      <c r="D2439" s="222"/>
      <c r="E2439" s="222"/>
      <c r="F2439" s="649" t="s">
        <v>604</v>
      </c>
      <c r="G2439" s="649"/>
      <c r="H2439" s="296">
        <f>SUM(H2437:H2438)</f>
        <v>7.6800000000000006</v>
      </c>
    </row>
    <row r="2440" spans="1:8">
      <c r="B2440" s="628" t="s">
        <v>607</v>
      </c>
      <c r="C2440" s="628"/>
      <c r="D2440" s="103" t="s">
        <v>579</v>
      </c>
      <c r="E2440" s="103" t="s">
        <v>580</v>
      </c>
      <c r="F2440" s="103" t="s">
        <v>581</v>
      </c>
      <c r="G2440" s="103" t="s">
        <v>582</v>
      </c>
      <c r="H2440" s="103" t="s">
        <v>583</v>
      </c>
    </row>
    <row r="2441" spans="1:8">
      <c r="B2441" s="159">
        <v>88310</v>
      </c>
      <c r="C2441" s="221" t="s">
        <v>663</v>
      </c>
      <c r="D2441" s="159" t="s">
        <v>119</v>
      </c>
      <c r="E2441" s="159" t="s">
        <v>121</v>
      </c>
      <c r="F2441" s="174">
        <v>0.2</v>
      </c>
      <c r="G2441" s="160">
        <v>33.01</v>
      </c>
      <c r="H2441" s="160">
        <f>ROUND(ROUND(F2441,8)*G2441,2)</f>
        <v>6.6</v>
      </c>
    </row>
    <row r="2442" spans="1:8">
      <c r="B2442" s="159">
        <v>88316</v>
      </c>
      <c r="C2442" s="221" t="s">
        <v>626</v>
      </c>
      <c r="D2442" s="159" t="s">
        <v>119</v>
      </c>
      <c r="E2442" s="159" t="s">
        <v>121</v>
      </c>
      <c r="F2442" s="174">
        <v>0.1</v>
      </c>
      <c r="G2442" s="160">
        <v>23.75</v>
      </c>
      <c r="H2442" s="160">
        <f>ROUND(ROUND(F2442,8)*G2442,2)</f>
        <v>2.38</v>
      </c>
    </row>
    <row r="2443" spans="1:8">
      <c r="B2443" s="222"/>
      <c r="C2443" s="222"/>
      <c r="D2443" s="222"/>
      <c r="E2443" s="222"/>
      <c r="F2443" s="630" t="s">
        <v>610</v>
      </c>
      <c r="G2443" s="630"/>
      <c r="H2443" s="102">
        <f>SUM(H2441:H2442)</f>
        <v>8.98</v>
      </c>
    </row>
    <row r="2444" spans="1:8">
      <c r="B2444" s="222"/>
      <c r="C2444" s="222"/>
      <c r="D2444" s="222"/>
      <c r="E2444" s="222"/>
      <c r="F2444" s="630" t="s">
        <v>464</v>
      </c>
      <c r="G2444" s="630"/>
      <c r="H2444" s="102">
        <f>H2443+H2439</f>
        <v>16.66</v>
      </c>
    </row>
    <row r="2445" spans="1:8">
      <c r="B2445" s="222"/>
      <c r="C2445" s="222"/>
      <c r="D2445" s="222"/>
      <c r="E2445" s="222"/>
      <c r="F2445" s="512"/>
      <c r="G2445" s="512"/>
      <c r="H2445" s="515"/>
    </row>
    <row r="2446" spans="1:8">
      <c r="A2446" s="178" t="str">
        <f>'3 - PLAN. ORÇAMENTÁRIA'!A190</f>
        <v>4.1.2.1.17</v>
      </c>
      <c r="B2446" s="178" t="str">
        <f>'3 - PLAN. ORÇAMENTÁRIA'!B190</f>
        <v>CCU 200</v>
      </c>
      <c r="C2446" s="631" t="str">
        <f>'3 - PLAN. ORÇAMENTÁRIA'!C190</f>
        <v>PORTA DE SHAFT EM PLACA MDF 6MM REF. S08856/ORSE</v>
      </c>
      <c r="D2446" s="632"/>
      <c r="E2446" s="632"/>
      <c r="F2446" s="632"/>
      <c r="G2446" s="633"/>
      <c r="H2446" s="518" t="str">
        <f>'3 - PLAN. ORÇAMENTÁRIA'!E190</f>
        <v>M2</v>
      </c>
    </row>
    <row r="2447" spans="1:8">
      <c r="B2447" s="648" t="s">
        <v>593</v>
      </c>
      <c r="C2447" s="648"/>
      <c r="D2447" s="231" t="s">
        <v>579</v>
      </c>
      <c r="E2447" s="231" t="s">
        <v>580</v>
      </c>
      <c r="F2447" s="291" t="s">
        <v>581</v>
      </c>
      <c r="G2447" s="291" t="s">
        <v>582</v>
      </c>
      <c r="H2447" s="291" t="s">
        <v>583</v>
      </c>
    </row>
    <row r="2448" spans="1:8">
      <c r="B2448" s="356" t="s">
        <v>4126</v>
      </c>
      <c r="C2448" s="357" t="s">
        <v>4124</v>
      </c>
      <c r="D2448" s="356" t="s">
        <v>158</v>
      </c>
      <c r="E2448" s="159" t="s">
        <v>139</v>
      </c>
      <c r="F2448" s="358">
        <v>1</v>
      </c>
      <c r="G2448" s="359">
        <v>20.260000000000002</v>
      </c>
      <c r="H2448" s="160">
        <f t="shared" ref="H2448:H2449" si="82">ROUND(ROUND(F2448,8)*G2448,2)</f>
        <v>20.260000000000002</v>
      </c>
    </row>
    <row r="2449" spans="1:9">
      <c r="B2449" s="356" t="s">
        <v>4127</v>
      </c>
      <c r="C2449" s="357" t="s">
        <v>4125</v>
      </c>
      <c r="D2449" s="356" t="s">
        <v>158</v>
      </c>
      <c r="E2449" s="159" t="s">
        <v>1048</v>
      </c>
      <c r="F2449" s="358">
        <v>4</v>
      </c>
      <c r="G2449" s="359">
        <v>9.75</v>
      </c>
      <c r="H2449" s="160">
        <f t="shared" si="82"/>
        <v>39</v>
      </c>
    </row>
    <row r="2450" spans="1:9">
      <c r="B2450" s="222"/>
      <c r="C2450" s="222"/>
      <c r="D2450" s="222"/>
      <c r="E2450" s="222"/>
      <c r="F2450" s="649" t="s">
        <v>604</v>
      </c>
      <c r="G2450" s="649"/>
      <c r="H2450" s="296">
        <f>SUM(H2448:H2449)</f>
        <v>59.260000000000005</v>
      </c>
    </row>
    <row r="2451" spans="1:9">
      <c r="B2451" s="628" t="s">
        <v>607</v>
      </c>
      <c r="C2451" s="628"/>
      <c r="D2451" s="103" t="s">
        <v>579</v>
      </c>
      <c r="E2451" s="103" t="s">
        <v>580</v>
      </c>
      <c r="F2451" s="103" t="s">
        <v>581</v>
      </c>
      <c r="G2451" s="103" t="s">
        <v>582</v>
      </c>
      <c r="H2451" s="103" t="s">
        <v>583</v>
      </c>
    </row>
    <row r="2452" spans="1:9">
      <c r="B2452" s="159">
        <v>88262</v>
      </c>
      <c r="C2452" s="221" t="s">
        <v>618</v>
      </c>
      <c r="D2452" s="159" t="s">
        <v>119</v>
      </c>
      <c r="E2452" s="159" t="s">
        <v>121</v>
      </c>
      <c r="F2452" s="174">
        <v>1</v>
      </c>
      <c r="G2452" s="160">
        <v>30.91</v>
      </c>
      <c r="H2452" s="160">
        <f>ROUND(ROUND(F2452,8)*G2452,2)</f>
        <v>30.91</v>
      </c>
    </row>
    <row r="2453" spans="1:9">
      <c r="B2453" s="159">
        <v>88316</v>
      </c>
      <c r="C2453" s="221" t="s">
        <v>626</v>
      </c>
      <c r="D2453" s="159" t="s">
        <v>119</v>
      </c>
      <c r="E2453" s="159" t="s">
        <v>121</v>
      </c>
      <c r="F2453" s="174">
        <v>0.3</v>
      </c>
      <c r="G2453" s="160">
        <v>23.75</v>
      </c>
      <c r="H2453" s="160">
        <f>ROUND(ROUND(F2453,8)*G2453,2)</f>
        <v>7.13</v>
      </c>
    </row>
    <row r="2454" spans="1:9">
      <c r="B2454" s="222"/>
      <c r="C2454" s="222"/>
      <c r="D2454" s="222"/>
      <c r="E2454" s="222"/>
      <c r="F2454" s="630" t="s">
        <v>610</v>
      </c>
      <c r="G2454" s="630"/>
      <c r="H2454" s="102">
        <f>SUM(H2452:H2453)</f>
        <v>38.04</v>
      </c>
    </row>
    <row r="2455" spans="1:9">
      <c r="B2455" s="222"/>
      <c r="C2455" s="222"/>
      <c r="D2455" s="222"/>
      <c r="E2455" s="222"/>
      <c r="F2455" s="630" t="s">
        <v>464</v>
      </c>
      <c r="G2455" s="630"/>
      <c r="H2455" s="102">
        <f>H2454+H2450</f>
        <v>97.300000000000011</v>
      </c>
    </row>
    <row r="2456" spans="1:9">
      <c r="B2456" s="222"/>
      <c r="C2456" s="222"/>
      <c r="D2456" s="222"/>
      <c r="E2456" s="222"/>
      <c r="F2456" s="517"/>
      <c r="G2456" s="517"/>
      <c r="H2456" s="516"/>
    </row>
    <row r="2457" spans="1:9">
      <c r="B2457" s="222"/>
      <c r="C2457" s="222"/>
      <c r="D2457" s="222"/>
      <c r="E2457" s="222"/>
      <c r="F2457" s="517"/>
      <c r="G2457" s="517"/>
      <c r="H2457" s="516"/>
    </row>
    <row r="2458" spans="1:9">
      <c r="B2458" s="222"/>
      <c r="C2458" s="222"/>
      <c r="D2458" s="222"/>
      <c r="E2458" s="222"/>
      <c r="F2458" s="517"/>
      <c r="G2458" s="517"/>
      <c r="H2458" s="516"/>
    </row>
    <row r="2459" spans="1:9" ht="12.75" customHeight="1">
      <c r="A2459" s="650" t="s">
        <v>1002</v>
      </c>
      <c r="B2459" s="650"/>
      <c r="C2459" s="650"/>
      <c r="D2459" s="650"/>
      <c r="E2459" s="650"/>
      <c r="F2459" s="650"/>
      <c r="G2459" s="650"/>
      <c r="H2459" s="650"/>
      <c r="I2459" s="650"/>
    </row>
    <row r="2460" spans="1:9" ht="12.75" customHeight="1">
      <c r="A2460" s="650"/>
      <c r="B2460" s="650"/>
      <c r="C2460" s="650"/>
      <c r="D2460" s="650"/>
      <c r="E2460" s="650"/>
      <c r="F2460" s="650"/>
      <c r="G2460" s="650"/>
      <c r="H2460" s="650"/>
      <c r="I2460" s="650"/>
    </row>
    <row r="2461" spans="1:9" ht="12.75" customHeight="1">
      <c r="A2461" s="650"/>
      <c r="B2461" s="650"/>
      <c r="C2461" s="650"/>
      <c r="D2461" s="650"/>
      <c r="E2461" s="650"/>
      <c r="F2461" s="650"/>
      <c r="G2461" s="650"/>
      <c r="H2461" s="650"/>
      <c r="I2461" s="650"/>
    </row>
    <row r="2463" spans="1:9" ht="27" customHeight="1">
      <c r="A2463" s="178" t="str">
        <f>'3 - PLAN. ORÇAMENTÁRIA'!A169</f>
        <v>4.1.1.2.2</v>
      </c>
      <c r="B2463" s="178" t="str">
        <f>'3 - PLAN. ORÇAMENTÁRIA'!B169</f>
        <v>CCU 157</v>
      </c>
      <c r="C2463" s="631" t="str">
        <f>'3 - PLAN. ORÇAMENTÁRIA'!C169</f>
        <v>ISOLACAO TERMOACUSTICA - LA DE VIDRO E=2" REF. 10.01.059/SP EDUCAÇÃO</v>
      </c>
      <c r="D2463" s="632"/>
      <c r="E2463" s="632"/>
      <c r="F2463" s="632"/>
      <c r="G2463" s="633"/>
      <c r="H2463" s="131" t="s">
        <v>139</v>
      </c>
    </row>
    <row r="2464" spans="1:9">
      <c r="B2464" s="628" t="s">
        <v>593</v>
      </c>
      <c r="C2464" s="628"/>
      <c r="D2464" s="103" t="s">
        <v>579</v>
      </c>
      <c r="E2464" s="103" t="s">
        <v>580</v>
      </c>
      <c r="F2464" s="103" t="s">
        <v>581</v>
      </c>
      <c r="G2464" s="103" t="s">
        <v>582</v>
      </c>
      <c r="H2464" s="103" t="s">
        <v>583</v>
      </c>
    </row>
    <row r="2465" spans="1:8" ht="12.75" customHeight="1">
      <c r="B2465" s="173" t="s">
        <v>1018</v>
      </c>
      <c r="C2465" s="221" t="s">
        <v>1019</v>
      </c>
      <c r="D2465" s="159" t="s">
        <v>119</v>
      </c>
      <c r="E2465" s="159" t="s">
        <v>139</v>
      </c>
      <c r="F2465" s="174">
        <v>1</v>
      </c>
      <c r="G2465" s="160">
        <v>45.86</v>
      </c>
      <c r="H2465" s="160">
        <f>ROUND(ROUND(F2465,8)*G2465,2)</f>
        <v>45.86</v>
      </c>
    </row>
    <row r="2466" spans="1:8" ht="12.75" customHeight="1">
      <c r="B2466" s="222"/>
      <c r="C2466" s="222"/>
      <c r="D2466" s="222"/>
      <c r="E2466" s="222"/>
      <c r="F2466" s="630" t="s">
        <v>604</v>
      </c>
      <c r="G2466" s="630"/>
      <c r="H2466" s="102">
        <f>H2465</f>
        <v>45.86</v>
      </c>
    </row>
    <row r="2467" spans="1:8">
      <c r="B2467" s="628" t="s">
        <v>584</v>
      </c>
      <c r="C2467" s="628"/>
      <c r="D2467" s="103" t="s">
        <v>579</v>
      </c>
      <c r="E2467" s="103" t="s">
        <v>580</v>
      </c>
      <c r="F2467" s="103" t="s">
        <v>581</v>
      </c>
      <c r="G2467" s="103" t="s">
        <v>582</v>
      </c>
      <c r="H2467" s="103" t="s">
        <v>583</v>
      </c>
    </row>
    <row r="2468" spans="1:8" ht="12.75" customHeight="1">
      <c r="B2468" s="159">
        <v>88316</v>
      </c>
      <c r="C2468" s="221" t="s">
        <v>626</v>
      </c>
      <c r="D2468" s="159" t="s">
        <v>119</v>
      </c>
      <c r="E2468" s="159" t="s">
        <v>121</v>
      </c>
      <c r="F2468" s="174">
        <v>0.2</v>
      </c>
      <c r="G2468" s="160">
        <v>23.75</v>
      </c>
      <c r="H2468" s="160">
        <f>ROUND(ROUND(F2468,8)*G2468,2)</f>
        <v>4.75</v>
      </c>
    </row>
    <row r="2469" spans="1:8" ht="12.75" customHeight="1">
      <c r="B2469" s="222"/>
      <c r="C2469" s="222"/>
      <c r="D2469" s="222"/>
      <c r="E2469" s="222"/>
      <c r="F2469" s="630" t="s">
        <v>585</v>
      </c>
      <c r="G2469" s="630"/>
      <c r="H2469" s="102">
        <f>H2468</f>
        <v>4.75</v>
      </c>
    </row>
    <row r="2470" spans="1:8">
      <c r="B2470" s="222"/>
      <c r="C2470" s="222"/>
      <c r="D2470" s="222"/>
      <c r="E2470" s="222"/>
      <c r="F2470" s="630" t="s">
        <v>464</v>
      </c>
      <c r="G2470" s="630"/>
      <c r="H2470" s="102">
        <f>H2466+H2469</f>
        <v>50.61</v>
      </c>
    </row>
    <row r="2471" spans="1:8">
      <c r="B2471" s="222"/>
      <c r="C2471" s="222"/>
      <c r="D2471" s="222"/>
      <c r="E2471" s="222"/>
      <c r="F2471" s="108"/>
      <c r="G2471" s="108"/>
      <c r="H2471" s="108"/>
    </row>
    <row r="2472" spans="1:8" ht="12.75" customHeight="1">
      <c r="B2472" s="245" t="s">
        <v>2544</v>
      </c>
    </row>
    <row r="2473" spans="1:8">
      <c r="B2473" s="222"/>
      <c r="C2473" s="222"/>
      <c r="D2473" s="222"/>
      <c r="E2473" s="222"/>
      <c r="F2473" s="111"/>
      <c r="G2473" s="111"/>
      <c r="H2473" s="228"/>
    </row>
    <row r="2474" spans="1:8">
      <c r="A2474" s="178" t="str">
        <f>'3 - PLAN. ORÇAMENTÁRIA'!A38</f>
        <v>2.2.1.2</v>
      </c>
      <c r="B2474" s="178" t="str">
        <f>'3 - PLAN. ORÇAMENTÁRIA'!B38</f>
        <v>CCU 158</v>
      </c>
      <c r="C2474" s="631" t="str">
        <f>'3 - PLAN. ORÇAMENTÁRIA'!C38</f>
        <v>DEMOLIÇÃO DE CONSTRUÇÕES PROVISÓRIAS EM MADEIRA REF. 04.50.010/SP EDUCAÇÃO</v>
      </c>
      <c r="D2474" s="632"/>
      <c r="E2474" s="632"/>
      <c r="F2474" s="632"/>
      <c r="G2474" s="633"/>
      <c r="H2474" s="131" t="s">
        <v>139</v>
      </c>
    </row>
    <row r="2475" spans="1:8">
      <c r="B2475" s="628" t="s">
        <v>584</v>
      </c>
      <c r="C2475" s="628"/>
      <c r="D2475" s="103" t="s">
        <v>579</v>
      </c>
      <c r="E2475" s="103" t="s">
        <v>580</v>
      </c>
      <c r="F2475" s="103" t="s">
        <v>581</v>
      </c>
      <c r="G2475" s="103" t="s">
        <v>582</v>
      </c>
      <c r="H2475" s="103" t="s">
        <v>583</v>
      </c>
    </row>
    <row r="2476" spans="1:8">
      <c r="B2476" s="159">
        <v>88316</v>
      </c>
      <c r="C2476" s="221" t="s">
        <v>626</v>
      </c>
      <c r="D2476" s="159" t="s">
        <v>119</v>
      </c>
      <c r="E2476" s="159" t="s">
        <v>121</v>
      </c>
      <c r="F2476" s="174">
        <v>0.3</v>
      </c>
      <c r="G2476" s="160">
        <v>23.75</v>
      </c>
      <c r="H2476" s="160">
        <f>ROUND(ROUND(F2476,8)*G2476,2)</f>
        <v>7.13</v>
      </c>
    </row>
    <row r="2477" spans="1:8">
      <c r="B2477" s="222"/>
      <c r="C2477" s="222"/>
      <c r="D2477" s="222"/>
      <c r="E2477" s="222"/>
      <c r="F2477" s="630" t="s">
        <v>585</v>
      </c>
      <c r="G2477" s="630"/>
      <c r="H2477" s="102">
        <f>H2476</f>
        <v>7.13</v>
      </c>
    </row>
    <row r="2478" spans="1:8">
      <c r="B2478" s="222"/>
      <c r="C2478" s="222"/>
      <c r="D2478" s="222"/>
      <c r="E2478" s="222"/>
      <c r="F2478" s="630" t="s">
        <v>464</v>
      </c>
      <c r="G2478" s="630"/>
      <c r="H2478" s="102">
        <f>H2477</f>
        <v>7.13</v>
      </c>
    </row>
    <row r="2479" spans="1:8">
      <c r="B2479" s="222"/>
      <c r="C2479" s="222"/>
      <c r="D2479" s="222"/>
      <c r="E2479" s="222"/>
      <c r="F2479" s="226"/>
      <c r="G2479" s="226"/>
      <c r="H2479" s="226"/>
    </row>
    <row r="2480" spans="1:8">
      <c r="B2480" s="245" t="s">
        <v>2544</v>
      </c>
    </row>
    <row r="2481" spans="1:8">
      <c r="B2481" s="222"/>
      <c r="C2481" s="222"/>
      <c r="D2481" s="222"/>
      <c r="E2481" s="222"/>
      <c r="F2481" s="111"/>
      <c r="G2481" s="111"/>
      <c r="H2481" s="228"/>
    </row>
    <row r="2482" spans="1:8" ht="27" customHeight="1">
      <c r="A2482" s="178" t="str">
        <f>'3 - PLAN. ORÇAMENTÁRIA'!A594</f>
        <v>6.1.6.1</v>
      </c>
      <c r="B2482" s="178" t="str">
        <f>'3 - PLAN. ORÇAMENTÁRIA'!B594</f>
        <v>CCU 169</v>
      </c>
      <c r="C2482" s="631" t="str">
        <f>'3 - PLAN. ORÇAMENTÁRIA'!C594</f>
        <v>TE-09 ENTRADA PRIMÁRIA SIMPLIF. POSTE ÚNICO - NEOENERGIA - 112,5 kVA 15kV- 220/127 V REF. 09.01.009/SP EDUCAÇÃO</v>
      </c>
      <c r="D2482" s="632"/>
      <c r="E2482" s="632"/>
      <c r="F2482" s="632"/>
      <c r="G2482" s="633"/>
      <c r="H2482" s="131" t="s">
        <v>144</v>
      </c>
    </row>
    <row r="2483" spans="1:8">
      <c r="B2483" s="628" t="s">
        <v>593</v>
      </c>
      <c r="C2483" s="628"/>
      <c r="D2483" s="103" t="s">
        <v>579</v>
      </c>
      <c r="E2483" s="103" t="s">
        <v>580</v>
      </c>
      <c r="F2483" s="103" t="s">
        <v>581</v>
      </c>
      <c r="G2483" s="103" t="s">
        <v>582</v>
      </c>
      <c r="H2483" s="103" t="s">
        <v>583</v>
      </c>
    </row>
    <row r="2484" spans="1:8">
      <c r="B2484" s="159" t="s">
        <v>2364</v>
      </c>
      <c r="C2484" s="221" t="s">
        <v>766</v>
      </c>
      <c r="D2484" s="159" t="s">
        <v>650</v>
      </c>
      <c r="E2484" s="159" t="s">
        <v>200</v>
      </c>
      <c r="F2484" s="174">
        <v>6.85</v>
      </c>
      <c r="G2484" s="160">
        <v>7.01</v>
      </c>
      <c r="H2484" s="160">
        <f t="shared" ref="H2484:H2537" si="83">ROUND(ROUND(F2484,8)*G2484,2)</f>
        <v>48.02</v>
      </c>
    </row>
    <row r="2485" spans="1:8" ht="12.75" customHeight="1">
      <c r="B2485" s="159" t="s">
        <v>704</v>
      </c>
      <c r="C2485" s="221" t="s">
        <v>705</v>
      </c>
      <c r="D2485" s="159" t="s">
        <v>650</v>
      </c>
      <c r="E2485" s="159" t="s">
        <v>144</v>
      </c>
      <c r="F2485" s="174">
        <v>6.0000000000000001E-3</v>
      </c>
      <c r="G2485" s="160">
        <v>1534.68</v>
      </c>
      <c r="H2485" s="160">
        <f t="shared" si="83"/>
        <v>9.2100000000000009</v>
      </c>
    </row>
    <row r="2486" spans="1:8" ht="12.75" customHeight="1">
      <c r="B2486" s="173" t="s">
        <v>635</v>
      </c>
      <c r="C2486" s="221" t="s">
        <v>636</v>
      </c>
      <c r="D2486" s="159" t="s">
        <v>119</v>
      </c>
      <c r="E2486" s="159" t="s">
        <v>200</v>
      </c>
      <c r="F2486" s="174">
        <v>0.11</v>
      </c>
      <c r="G2486" s="160">
        <v>19.38</v>
      </c>
      <c r="H2486" s="160">
        <f t="shared" si="83"/>
        <v>2.13</v>
      </c>
    </row>
    <row r="2487" spans="1:8">
      <c r="B2487" s="173" t="s">
        <v>3357</v>
      </c>
      <c r="C2487" s="221" t="s">
        <v>3358</v>
      </c>
      <c r="D2487" s="159" t="s">
        <v>158</v>
      </c>
      <c r="E2487" s="159" t="s">
        <v>167</v>
      </c>
      <c r="F2487" s="174">
        <v>0.27990999999999999</v>
      </c>
      <c r="G2487" s="160">
        <v>102.5</v>
      </c>
      <c r="H2487" s="160">
        <f t="shared" si="83"/>
        <v>28.69</v>
      </c>
    </row>
    <row r="2488" spans="1:8" ht="12.75" customHeight="1">
      <c r="B2488" s="159" t="s">
        <v>706</v>
      </c>
      <c r="C2488" s="221" t="s">
        <v>707</v>
      </c>
      <c r="D2488" s="159" t="s">
        <v>650</v>
      </c>
      <c r="E2488" s="159" t="s">
        <v>144</v>
      </c>
      <c r="F2488" s="174">
        <v>1</v>
      </c>
      <c r="G2488" s="160">
        <v>35.69</v>
      </c>
      <c r="H2488" s="160">
        <f t="shared" si="83"/>
        <v>35.69</v>
      </c>
    </row>
    <row r="2489" spans="1:8" ht="12.75" customHeight="1">
      <c r="B2489" s="159" t="s">
        <v>931</v>
      </c>
      <c r="C2489" s="221" t="s">
        <v>932</v>
      </c>
      <c r="D2489" s="159" t="s">
        <v>650</v>
      </c>
      <c r="E2489" s="159" t="s">
        <v>144</v>
      </c>
      <c r="F2489" s="174">
        <v>14</v>
      </c>
      <c r="G2489" s="160">
        <v>2.17</v>
      </c>
      <c r="H2489" s="160">
        <f t="shared" si="83"/>
        <v>30.38</v>
      </c>
    </row>
    <row r="2490" spans="1:8">
      <c r="B2490" s="173" t="s">
        <v>648</v>
      </c>
      <c r="C2490" s="221" t="s">
        <v>649</v>
      </c>
      <c r="D2490" s="159" t="s">
        <v>119</v>
      </c>
      <c r="E2490" s="159" t="s">
        <v>144</v>
      </c>
      <c r="F2490" s="174">
        <v>110</v>
      </c>
      <c r="G2490" s="160">
        <v>3.59</v>
      </c>
      <c r="H2490" s="160">
        <f t="shared" si="83"/>
        <v>394.9</v>
      </c>
    </row>
    <row r="2491" spans="1:8" ht="25.5">
      <c r="B2491" s="173" t="s">
        <v>2343</v>
      </c>
      <c r="C2491" s="221" t="s">
        <v>2344</v>
      </c>
      <c r="D2491" s="159" t="s">
        <v>119</v>
      </c>
      <c r="E2491" s="159" t="s">
        <v>144</v>
      </c>
      <c r="F2491" s="174">
        <v>1</v>
      </c>
      <c r="G2491" s="160">
        <v>60.7</v>
      </c>
      <c r="H2491" s="160">
        <f>ROUND(ROUND(F2491,8)*G2491,2)</f>
        <v>60.7</v>
      </c>
    </row>
    <row r="2492" spans="1:8">
      <c r="B2492" s="173" t="s">
        <v>1023</v>
      </c>
      <c r="C2492" s="221" t="s">
        <v>1024</v>
      </c>
      <c r="D2492" s="159" t="s">
        <v>119</v>
      </c>
      <c r="E2492" s="159" t="s">
        <v>173</v>
      </c>
      <c r="F2492" s="174">
        <v>5</v>
      </c>
      <c r="G2492" s="160">
        <v>22.34</v>
      </c>
      <c r="H2492" s="160">
        <f>ROUND(ROUND(F2492,8)*G2492,2)</f>
        <v>111.7</v>
      </c>
    </row>
    <row r="2493" spans="1:8">
      <c r="B2493" s="173" t="s">
        <v>1021</v>
      </c>
      <c r="C2493" s="221" t="s">
        <v>1022</v>
      </c>
      <c r="D2493" s="159" t="s">
        <v>119</v>
      </c>
      <c r="E2493" s="159" t="s">
        <v>173</v>
      </c>
      <c r="F2493" s="174">
        <v>18</v>
      </c>
      <c r="G2493" s="160">
        <v>66.790000000000006</v>
      </c>
      <c r="H2493" s="160">
        <f>ROUND(ROUND(F2493,8)*G2493,2)</f>
        <v>1202.22</v>
      </c>
    </row>
    <row r="2494" spans="1:8" ht="25.5">
      <c r="B2494" s="173" t="s">
        <v>2337</v>
      </c>
      <c r="C2494" s="221" t="s">
        <v>1025</v>
      </c>
      <c r="D2494" s="159" t="s">
        <v>119</v>
      </c>
      <c r="E2494" s="159" t="s">
        <v>173</v>
      </c>
      <c r="F2494" s="174">
        <v>6</v>
      </c>
      <c r="G2494" s="160">
        <v>18.45</v>
      </c>
      <c r="H2494" s="160">
        <f t="shared" si="83"/>
        <v>110.7</v>
      </c>
    </row>
    <row r="2495" spans="1:8" ht="25.5">
      <c r="B2495" s="173" t="s">
        <v>1026</v>
      </c>
      <c r="C2495" s="221" t="s">
        <v>1027</v>
      </c>
      <c r="D2495" s="159" t="s">
        <v>119</v>
      </c>
      <c r="E2495" s="159" t="s">
        <v>173</v>
      </c>
      <c r="F2495" s="174">
        <v>32</v>
      </c>
      <c r="G2495" s="160">
        <v>209.3</v>
      </c>
      <c r="H2495" s="160">
        <f t="shared" si="83"/>
        <v>6697.6</v>
      </c>
    </row>
    <row r="2496" spans="1:8" ht="25.5">
      <c r="B2496" s="173" t="s">
        <v>1028</v>
      </c>
      <c r="C2496" s="221" t="s">
        <v>2797</v>
      </c>
      <c r="D2496" s="159" t="s">
        <v>119</v>
      </c>
      <c r="E2496" s="159" t="s">
        <v>173</v>
      </c>
      <c r="F2496" s="174">
        <v>19</v>
      </c>
      <c r="G2496" s="160">
        <v>28.89</v>
      </c>
      <c r="H2496" s="160">
        <f t="shared" si="83"/>
        <v>548.91</v>
      </c>
    </row>
    <row r="2497" spans="2:8" ht="25.5">
      <c r="B2497" s="173" t="s">
        <v>698</v>
      </c>
      <c r="C2497" s="221" t="s">
        <v>699</v>
      </c>
      <c r="D2497" s="159" t="s">
        <v>119</v>
      </c>
      <c r="E2497" s="159" t="s">
        <v>173</v>
      </c>
      <c r="F2497" s="174">
        <v>2</v>
      </c>
      <c r="G2497" s="160">
        <v>6.76</v>
      </c>
      <c r="H2497" s="160">
        <f t="shared" si="83"/>
        <v>13.52</v>
      </c>
    </row>
    <row r="2498" spans="2:8" ht="25.5">
      <c r="B2498" s="173" t="s">
        <v>2365</v>
      </c>
      <c r="C2498" s="221" t="s">
        <v>2366</v>
      </c>
      <c r="D2498" s="159" t="s">
        <v>119</v>
      </c>
      <c r="E2498" s="159" t="s">
        <v>173</v>
      </c>
      <c r="F2498" s="174">
        <v>3</v>
      </c>
      <c r="G2498" s="160">
        <v>114.57</v>
      </c>
      <c r="H2498" s="160">
        <f t="shared" si="83"/>
        <v>343.71</v>
      </c>
    </row>
    <row r="2499" spans="2:8">
      <c r="B2499" s="173" t="s">
        <v>2345</v>
      </c>
      <c r="C2499" s="221" t="s">
        <v>2346</v>
      </c>
      <c r="D2499" s="159" t="s">
        <v>119</v>
      </c>
      <c r="E2499" s="159" t="s">
        <v>144</v>
      </c>
      <c r="F2499" s="174">
        <v>4</v>
      </c>
      <c r="G2499" s="160">
        <v>102.64</v>
      </c>
      <c r="H2499" s="160">
        <f>ROUND(ROUND(F2499,8)*G2499,2)</f>
        <v>410.56</v>
      </c>
    </row>
    <row r="2500" spans="2:8">
      <c r="B2500" s="159" t="s">
        <v>708</v>
      </c>
      <c r="C2500" s="221" t="s">
        <v>709</v>
      </c>
      <c r="D2500" s="159" t="s">
        <v>650</v>
      </c>
      <c r="E2500" s="159" t="s">
        <v>144</v>
      </c>
      <c r="F2500" s="174">
        <v>1</v>
      </c>
      <c r="G2500" s="160">
        <v>1736.23</v>
      </c>
      <c r="H2500" s="160">
        <f t="shared" si="83"/>
        <v>1736.23</v>
      </c>
    </row>
    <row r="2501" spans="2:8">
      <c r="B2501" s="159" t="s">
        <v>710</v>
      </c>
      <c r="C2501" s="221" t="s">
        <v>711</v>
      </c>
      <c r="D2501" s="159" t="s">
        <v>650</v>
      </c>
      <c r="E2501" s="159" t="s">
        <v>144</v>
      </c>
      <c r="F2501" s="174">
        <v>1</v>
      </c>
      <c r="G2501" s="160">
        <v>591.25</v>
      </c>
      <c r="H2501" s="160">
        <f t="shared" si="83"/>
        <v>591.25</v>
      </c>
    </row>
    <row r="2502" spans="2:8">
      <c r="B2502" s="173" t="s">
        <v>1010</v>
      </c>
      <c r="C2502" s="221" t="s">
        <v>1009</v>
      </c>
      <c r="D2502" s="159" t="s">
        <v>119</v>
      </c>
      <c r="E2502" s="159" t="s">
        <v>200</v>
      </c>
      <c r="F2502" s="174">
        <v>48.750349999999997</v>
      </c>
      <c r="G2502" s="160">
        <v>1.5</v>
      </c>
      <c r="H2502" s="160">
        <f t="shared" si="83"/>
        <v>73.13</v>
      </c>
    </row>
    <row r="2503" spans="2:8">
      <c r="B2503" s="159" t="s">
        <v>712</v>
      </c>
      <c r="C2503" s="221" t="s">
        <v>713</v>
      </c>
      <c r="D2503" s="159" t="s">
        <v>650</v>
      </c>
      <c r="E2503" s="159" t="s">
        <v>144</v>
      </c>
      <c r="F2503" s="174">
        <v>4</v>
      </c>
      <c r="G2503" s="160">
        <v>24.5</v>
      </c>
      <c r="H2503" s="160">
        <f t="shared" si="83"/>
        <v>98</v>
      </c>
    </row>
    <row r="2504" spans="2:8" ht="25.5">
      <c r="B2504" s="173" t="s">
        <v>1020</v>
      </c>
      <c r="C2504" s="221" t="s">
        <v>1036</v>
      </c>
      <c r="D2504" s="159" t="s">
        <v>119</v>
      </c>
      <c r="E2504" s="159" t="s">
        <v>139</v>
      </c>
      <c r="F2504" s="174">
        <v>0.56842999999999999</v>
      </c>
      <c r="G2504" s="160">
        <v>46.43</v>
      </c>
      <c r="H2504" s="160">
        <f>ROUND(ROUND(F2504,8)*G2504,2)</f>
        <v>26.39</v>
      </c>
    </row>
    <row r="2505" spans="2:8">
      <c r="B2505" s="173" t="s">
        <v>646</v>
      </c>
      <c r="C2505" s="221" t="s">
        <v>647</v>
      </c>
      <c r="D2505" s="159" t="s">
        <v>119</v>
      </c>
      <c r="E2505" s="159" t="s">
        <v>200</v>
      </c>
      <c r="F2505" s="174">
        <v>82.434280000000001</v>
      </c>
      <c r="G2505" s="160">
        <v>0.65</v>
      </c>
      <c r="H2505" s="160">
        <f t="shared" si="83"/>
        <v>53.58</v>
      </c>
    </row>
    <row r="2506" spans="2:8">
      <c r="B2506" s="159" t="s">
        <v>714</v>
      </c>
      <c r="C2506" s="221" t="s">
        <v>715</v>
      </c>
      <c r="D2506" s="159" t="s">
        <v>650</v>
      </c>
      <c r="E2506" s="159" t="s">
        <v>144</v>
      </c>
      <c r="F2506" s="174">
        <v>1</v>
      </c>
      <c r="G2506" s="160">
        <v>61.93</v>
      </c>
      <c r="H2506" s="160">
        <f t="shared" si="83"/>
        <v>61.93</v>
      </c>
    </row>
    <row r="2507" spans="2:8">
      <c r="B2507" s="159" t="s">
        <v>933</v>
      </c>
      <c r="C2507" s="221" t="s">
        <v>934</v>
      </c>
      <c r="D2507" s="159" t="s">
        <v>650</v>
      </c>
      <c r="E2507" s="159" t="s">
        <v>167</v>
      </c>
      <c r="F2507" s="174">
        <v>0.24179999999999999</v>
      </c>
      <c r="G2507" s="160">
        <v>457</v>
      </c>
      <c r="H2507" s="160">
        <f t="shared" si="83"/>
        <v>110.5</v>
      </c>
    </row>
    <row r="2508" spans="2:8">
      <c r="B2508" s="173" t="s">
        <v>1029</v>
      </c>
      <c r="C2508" s="221" t="s">
        <v>1030</v>
      </c>
      <c r="D2508" s="159" t="s">
        <v>119</v>
      </c>
      <c r="E2508" s="159" t="s">
        <v>144</v>
      </c>
      <c r="F2508" s="174">
        <v>12</v>
      </c>
      <c r="G2508" s="160">
        <v>8.06</v>
      </c>
      <c r="H2508" s="160">
        <f t="shared" si="83"/>
        <v>96.72</v>
      </c>
    </row>
    <row r="2509" spans="2:8">
      <c r="B2509" s="173" t="s">
        <v>2347</v>
      </c>
      <c r="C2509" s="221" t="s">
        <v>2348</v>
      </c>
      <c r="D2509" s="159" t="s">
        <v>119</v>
      </c>
      <c r="E2509" s="159" t="s">
        <v>144</v>
      </c>
      <c r="F2509" s="174">
        <v>1</v>
      </c>
      <c r="G2509" s="160">
        <v>152.63999999999999</v>
      </c>
      <c r="H2509" s="160">
        <f>ROUND(ROUND(F2509,8)*G2509,2)</f>
        <v>152.63999999999999</v>
      </c>
    </row>
    <row r="2510" spans="2:8">
      <c r="B2510" s="173" t="s">
        <v>2338</v>
      </c>
      <c r="C2510" s="221" t="s">
        <v>2339</v>
      </c>
      <c r="D2510" s="159" t="s">
        <v>119</v>
      </c>
      <c r="E2510" s="159" t="s">
        <v>144</v>
      </c>
      <c r="F2510" s="174">
        <v>1</v>
      </c>
      <c r="G2510" s="160">
        <v>6145.88</v>
      </c>
      <c r="H2510" s="160">
        <f t="shared" si="83"/>
        <v>6145.88</v>
      </c>
    </row>
    <row r="2511" spans="2:8">
      <c r="B2511" s="173" t="s">
        <v>2340</v>
      </c>
      <c r="C2511" s="221" t="s">
        <v>2341</v>
      </c>
      <c r="D2511" s="159" t="s">
        <v>119</v>
      </c>
      <c r="E2511" s="159" t="s">
        <v>144</v>
      </c>
      <c r="F2511" s="174">
        <v>4</v>
      </c>
      <c r="G2511" s="160">
        <v>228.48</v>
      </c>
      <c r="H2511" s="160">
        <f t="shared" si="83"/>
        <v>913.92</v>
      </c>
    </row>
    <row r="2512" spans="2:8">
      <c r="B2512" s="173" t="s">
        <v>675</v>
      </c>
      <c r="C2512" s="221" t="s">
        <v>1031</v>
      </c>
      <c r="D2512" s="159" t="s">
        <v>119</v>
      </c>
      <c r="E2512" s="159" t="s">
        <v>173</v>
      </c>
      <c r="F2512" s="174">
        <v>4</v>
      </c>
      <c r="G2512" s="160">
        <v>12.64</v>
      </c>
      <c r="H2512" s="160">
        <f t="shared" si="83"/>
        <v>50.56</v>
      </c>
    </row>
    <row r="2513" spans="2:8">
      <c r="B2513" s="173" t="s">
        <v>2349</v>
      </c>
      <c r="C2513" s="221" t="s">
        <v>2350</v>
      </c>
      <c r="D2513" s="159" t="s">
        <v>119</v>
      </c>
      <c r="E2513" s="159" t="s">
        <v>144</v>
      </c>
      <c r="F2513" s="174">
        <v>4.0999999999999996</v>
      </c>
      <c r="G2513" s="160">
        <v>87.52</v>
      </c>
      <c r="H2513" s="160">
        <f>ROUND(ROUND(F2513,8)*G2513,2)</f>
        <v>358.83</v>
      </c>
    </row>
    <row r="2514" spans="2:8">
      <c r="B2514" s="173" t="s">
        <v>1032</v>
      </c>
      <c r="C2514" s="221" t="s">
        <v>1033</v>
      </c>
      <c r="D2514" s="159" t="s">
        <v>119</v>
      </c>
      <c r="E2514" s="159" t="s">
        <v>144</v>
      </c>
      <c r="F2514" s="174">
        <v>3</v>
      </c>
      <c r="G2514" s="160">
        <v>24.54</v>
      </c>
      <c r="H2514" s="160">
        <f t="shared" si="83"/>
        <v>73.62</v>
      </c>
    </row>
    <row r="2515" spans="2:8" ht="25.5">
      <c r="B2515" s="173" t="s">
        <v>1034</v>
      </c>
      <c r="C2515" s="221" t="s">
        <v>1035</v>
      </c>
      <c r="D2515" s="159" t="s">
        <v>119</v>
      </c>
      <c r="E2515" s="159" t="s">
        <v>144</v>
      </c>
      <c r="F2515" s="174">
        <v>3</v>
      </c>
      <c r="G2515" s="160">
        <v>61.39</v>
      </c>
      <c r="H2515" s="160">
        <f t="shared" si="83"/>
        <v>184.17</v>
      </c>
    </row>
    <row r="2516" spans="2:8">
      <c r="B2516" s="173" t="s">
        <v>605</v>
      </c>
      <c r="C2516" s="221" t="s">
        <v>606</v>
      </c>
      <c r="D2516" s="159" t="s">
        <v>119</v>
      </c>
      <c r="E2516" s="159" t="s">
        <v>144</v>
      </c>
      <c r="F2516" s="174">
        <v>1</v>
      </c>
      <c r="G2516" s="160">
        <v>4.79</v>
      </c>
      <c r="H2516" s="160">
        <f t="shared" si="83"/>
        <v>4.79</v>
      </c>
    </row>
    <row r="2517" spans="2:8">
      <c r="B2517" s="173" t="s">
        <v>673</v>
      </c>
      <c r="C2517" s="221" t="s">
        <v>674</v>
      </c>
      <c r="D2517" s="159" t="s">
        <v>119</v>
      </c>
      <c r="E2517" s="159" t="s">
        <v>144</v>
      </c>
      <c r="F2517" s="174">
        <v>2.8620000000000001</v>
      </c>
      <c r="G2517" s="160">
        <v>2.57</v>
      </c>
      <c r="H2517" s="160">
        <f t="shared" si="83"/>
        <v>7.36</v>
      </c>
    </row>
    <row r="2518" spans="2:8">
      <c r="B2518" s="173" t="s">
        <v>2351</v>
      </c>
      <c r="C2518" s="221" t="s">
        <v>2352</v>
      </c>
      <c r="D2518" s="159" t="s">
        <v>119</v>
      </c>
      <c r="E2518" s="159" t="s">
        <v>144</v>
      </c>
      <c r="F2518" s="174">
        <v>2</v>
      </c>
      <c r="G2518" s="160">
        <v>26.87</v>
      </c>
      <c r="H2518" s="160">
        <f>ROUND(ROUND(F2518,8)*G2518,2)</f>
        <v>53.74</v>
      </c>
    </row>
    <row r="2519" spans="2:8">
      <c r="B2519" s="159" t="s">
        <v>716</v>
      </c>
      <c r="C2519" s="221" t="s">
        <v>717</v>
      </c>
      <c r="D2519" s="159" t="s">
        <v>650</v>
      </c>
      <c r="E2519" s="159" t="s">
        <v>144</v>
      </c>
      <c r="F2519" s="174">
        <v>0.06</v>
      </c>
      <c r="G2519" s="160">
        <v>197.69</v>
      </c>
      <c r="H2519" s="160">
        <f t="shared" si="83"/>
        <v>11.86</v>
      </c>
    </row>
    <row r="2520" spans="2:8">
      <c r="B2520" s="159" t="s">
        <v>935</v>
      </c>
      <c r="C2520" s="221" t="s">
        <v>936</v>
      </c>
      <c r="D2520" s="159" t="s">
        <v>650</v>
      </c>
      <c r="E2520" s="159" t="s">
        <v>144</v>
      </c>
      <c r="F2520" s="174">
        <v>3</v>
      </c>
      <c r="G2520" s="160">
        <v>201.79</v>
      </c>
      <c r="H2520" s="160">
        <f t="shared" si="83"/>
        <v>605.37</v>
      </c>
    </row>
    <row r="2521" spans="2:8">
      <c r="B2521" s="173" t="s">
        <v>1037</v>
      </c>
      <c r="C2521" s="221" t="s">
        <v>1038</v>
      </c>
      <c r="D2521" s="159" t="s">
        <v>119</v>
      </c>
      <c r="E2521" s="159" t="s">
        <v>144</v>
      </c>
      <c r="F2521" s="174">
        <v>14</v>
      </c>
      <c r="G2521" s="160">
        <v>12.13</v>
      </c>
      <c r="H2521" s="160">
        <f t="shared" si="83"/>
        <v>169.82</v>
      </c>
    </row>
    <row r="2522" spans="2:8">
      <c r="B2522" s="173" t="s">
        <v>661</v>
      </c>
      <c r="C2522" s="221" t="s">
        <v>662</v>
      </c>
      <c r="D2522" s="159" t="s">
        <v>119</v>
      </c>
      <c r="E2522" s="159" t="s">
        <v>167</v>
      </c>
      <c r="F2522" s="174">
        <v>3.0102500000000001</v>
      </c>
      <c r="G2522" s="160">
        <v>198.43</v>
      </c>
      <c r="H2522" s="160">
        <f t="shared" si="83"/>
        <v>597.32000000000005</v>
      </c>
    </row>
    <row r="2523" spans="2:8">
      <c r="B2523" s="173" t="s">
        <v>404</v>
      </c>
      <c r="C2523" s="221" t="s">
        <v>2342</v>
      </c>
      <c r="D2523" s="159" t="s">
        <v>119</v>
      </c>
      <c r="E2523" s="159" t="s">
        <v>144</v>
      </c>
      <c r="F2523" s="174">
        <v>2</v>
      </c>
      <c r="G2523" s="160">
        <v>49.21</v>
      </c>
      <c r="H2523" s="160">
        <f t="shared" si="83"/>
        <v>98.42</v>
      </c>
    </row>
    <row r="2524" spans="2:8">
      <c r="B2524" s="173" t="s">
        <v>1039</v>
      </c>
      <c r="C2524" s="221" t="s">
        <v>1040</v>
      </c>
      <c r="D2524" s="159" t="s">
        <v>119</v>
      </c>
      <c r="E2524" s="159" t="s">
        <v>144</v>
      </c>
      <c r="F2524" s="174">
        <v>3</v>
      </c>
      <c r="G2524" s="160">
        <v>21.12</v>
      </c>
      <c r="H2524" s="160">
        <f t="shared" si="83"/>
        <v>63.36</v>
      </c>
    </row>
    <row r="2525" spans="2:8">
      <c r="B2525" s="173" t="s">
        <v>1041</v>
      </c>
      <c r="C2525" s="221" t="s">
        <v>1042</v>
      </c>
      <c r="D2525" s="159" t="s">
        <v>119</v>
      </c>
      <c r="E2525" s="159" t="s">
        <v>144</v>
      </c>
      <c r="F2525" s="174">
        <v>14</v>
      </c>
      <c r="G2525" s="160">
        <v>2.95</v>
      </c>
      <c r="H2525" s="160">
        <f t="shared" si="83"/>
        <v>41.3</v>
      </c>
    </row>
    <row r="2526" spans="2:8">
      <c r="B2526" s="159" t="s">
        <v>937</v>
      </c>
      <c r="C2526" s="221" t="s">
        <v>938</v>
      </c>
      <c r="D2526" s="159" t="s">
        <v>650</v>
      </c>
      <c r="E2526" s="159" t="s">
        <v>144</v>
      </c>
      <c r="F2526" s="174">
        <v>1</v>
      </c>
      <c r="G2526" s="160">
        <v>5098.51</v>
      </c>
      <c r="H2526" s="160">
        <f t="shared" si="83"/>
        <v>5098.51</v>
      </c>
    </row>
    <row r="2527" spans="2:8">
      <c r="B2527" s="173" t="s">
        <v>615</v>
      </c>
      <c r="C2527" s="221" t="s">
        <v>616</v>
      </c>
      <c r="D2527" s="159" t="s">
        <v>119</v>
      </c>
      <c r="E2527" s="159" t="s">
        <v>200</v>
      </c>
      <c r="F2527" s="174">
        <v>0.23499999999999999</v>
      </c>
      <c r="G2527" s="160">
        <v>18.399999999999999</v>
      </c>
      <c r="H2527" s="160">
        <f t="shared" si="83"/>
        <v>4.32</v>
      </c>
    </row>
    <row r="2528" spans="2:8">
      <c r="B2528" s="159" t="s">
        <v>939</v>
      </c>
      <c r="C2528" s="221" t="s">
        <v>940</v>
      </c>
      <c r="D2528" s="159" t="s">
        <v>650</v>
      </c>
      <c r="E2528" s="159" t="s">
        <v>173</v>
      </c>
      <c r="F2528" s="174">
        <v>6.4</v>
      </c>
      <c r="G2528" s="160">
        <v>6.74</v>
      </c>
      <c r="H2528" s="160">
        <f t="shared" si="83"/>
        <v>43.14</v>
      </c>
    </row>
    <row r="2529" spans="2:8">
      <c r="B2529" s="159" t="s">
        <v>941</v>
      </c>
      <c r="C2529" s="221" t="s">
        <v>942</v>
      </c>
      <c r="D2529" s="159" t="s">
        <v>650</v>
      </c>
      <c r="E2529" s="159" t="s">
        <v>173</v>
      </c>
      <c r="F2529" s="174">
        <v>2.1312000000000002</v>
      </c>
      <c r="G2529" s="160">
        <v>4.7699999999999996</v>
      </c>
      <c r="H2529" s="160">
        <f t="shared" si="83"/>
        <v>10.17</v>
      </c>
    </row>
    <row r="2530" spans="2:8">
      <c r="B2530" s="159" t="s">
        <v>943</v>
      </c>
      <c r="C2530" s="221" t="s">
        <v>944</v>
      </c>
      <c r="D2530" s="159" t="s">
        <v>650</v>
      </c>
      <c r="E2530" s="159" t="s">
        <v>144</v>
      </c>
      <c r="F2530" s="174">
        <v>4</v>
      </c>
      <c r="G2530" s="160">
        <v>18.95</v>
      </c>
      <c r="H2530" s="160">
        <f t="shared" si="83"/>
        <v>75.8</v>
      </c>
    </row>
    <row r="2531" spans="2:8">
      <c r="B2531" s="173" t="s">
        <v>1464</v>
      </c>
      <c r="C2531" s="221" t="s">
        <v>1465</v>
      </c>
      <c r="D2531" s="159" t="s">
        <v>119</v>
      </c>
      <c r="E2531" s="159" t="s">
        <v>107</v>
      </c>
      <c r="F2531" s="174">
        <v>2.3849999999999998</v>
      </c>
      <c r="G2531" s="160">
        <v>12.45</v>
      </c>
      <c r="H2531" s="160">
        <f t="shared" si="83"/>
        <v>29.69</v>
      </c>
    </row>
    <row r="2532" spans="2:8">
      <c r="B2532" s="159" t="s">
        <v>945</v>
      </c>
      <c r="C2532" s="221" t="s">
        <v>946</v>
      </c>
      <c r="D2532" s="159" t="s">
        <v>650</v>
      </c>
      <c r="E2532" s="159" t="s">
        <v>144</v>
      </c>
      <c r="F2532" s="174">
        <v>1</v>
      </c>
      <c r="G2532" s="160">
        <v>5454.61</v>
      </c>
      <c r="H2532" s="160">
        <f t="shared" si="83"/>
        <v>5454.61</v>
      </c>
    </row>
    <row r="2533" spans="2:8">
      <c r="B2533" s="159" t="s">
        <v>947</v>
      </c>
      <c r="C2533" s="221" t="s">
        <v>948</v>
      </c>
      <c r="D2533" s="159" t="s">
        <v>650</v>
      </c>
      <c r="E2533" s="159" t="s">
        <v>144</v>
      </c>
      <c r="F2533" s="174">
        <v>2</v>
      </c>
      <c r="G2533" s="160">
        <v>283.63</v>
      </c>
      <c r="H2533" s="160">
        <f t="shared" si="83"/>
        <v>567.26</v>
      </c>
    </row>
    <row r="2534" spans="2:8" ht="25.5">
      <c r="B2534" s="173" t="s">
        <v>1728</v>
      </c>
      <c r="C2534" s="221" t="s">
        <v>1729</v>
      </c>
      <c r="D2534" s="159" t="s">
        <v>119</v>
      </c>
      <c r="E2534" s="159" t="s">
        <v>144</v>
      </c>
      <c r="F2534" s="174">
        <v>2</v>
      </c>
      <c r="G2534" s="160">
        <v>2.88</v>
      </c>
      <c r="H2534" s="160">
        <f>ROUND(ROUND(F2534,8)*G2534,2)</f>
        <v>5.76</v>
      </c>
    </row>
    <row r="2535" spans="2:8" ht="25.5">
      <c r="B2535" s="173" t="s">
        <v>2367</v>
      </c>
      <c r="C2535" s="221" t="s">
        <v>2368</v>
      </c>
      <c r="D2535" s="159" t="s">
        <v>119</v>
      </c>
      <c r="E2535" s="159" t="s">
        <v>144</v>
      </c>
      <c r="F2535" s="174">
        <v>1</v>
      </c>
      <c r="G2535" s="160">
        <v>8.64</v>
      </c>
      <c r="H2535" s="160">
        <f>ROUND(ROUND(F2535,8)*G2535,2)</f>
        <v>8.64</v>
      </c>
    </row>
    <row r="2536" spans="2:8">
      <c r="B2536" s="173" t="s">
        <v>1043</v>
      </c>
      <c r="C2536" s="221" t="s">
        <v>1044</v>
      </c>
      <c r="D2536" s="159" t="s">
        <v>119</v>
      </c>
      <c r="E2536" s="159" t="s">
        <v>107</v>
      </c>
      <c r="F2536" s="174">
        <v>2.3849999999999998</v>
      </c>
      <c r="G2536" s="160">
        <v>20.55</v>
      </c>
      <c r="H2536" s="160">
        <f t="shared" si="83"/>
        <v>49.01</v>
      </c>
    </row>
    <row r="2537" spans="2:8" ht="25.5">
      <c r="B2537" s="173" t="s">
        <v>1045</v>
      </c>
      <c r="C2537" s="221" t="s">
        <v>1046</v>
      </c>
      <c r="D2537" s="159" t="s">
        <v>119</v>
      </c>
      <c r="E2537" s="159" t="s">
        <v>144</v>
      </c>
      <c r="F2537" s="174">
        <v>1</v>
      </c>
      <c r="G2537" s="160">
        <v>35055.18</v>
      </c>
      <c r="H2537" s="160">
        <f t="shared" si="83"/>
        <v>35055.18</v>
      </c>
    </row>
    <row r="2538" spans="2:8">
      <c r="B2538" s="222"/>
      <c r="C2538" s="222"/>
      <c r="D2538" s="222"/>
      <c r="E2538" s="222"/>
      <c r="F2538" s="630" t="s">
        <v>604</v>
      </c>
      <c r="G2538" s="630"/>
      <c r="H2538" s="102">
        <f>SUM(H2484:H2537)</f>
        <v>68831.42</v>
      </c>
    </row>
    <row r="2539" spans="2:8">
      <c r="B2539" s="628" t="s">
        <v>584</v>
      </c>
      <c r="C2539" s="628"/>
      <c r="D2539" s="103" t="s">
        <v>579</v>
      </c>
      <c r="E2539" s="103" t="s">
        <v>580</v>
      </c>
      <c r="F2539" s="103" t="s">
        <v>581</v>
      </c>
      <c r="G2539" s="103" t="s">
        <v>582</v>
      </c>
      <c r="H2539" s="103" t="s">
        <v>583</v>
      </c>
    </row>
    <row r="2540" spans="2:8">
      <c r="B2540" s="159">
        <v>88239</v>
      </c>
      <c r="C2540" s="221" t="s">
        <v>617</v>
      </c>
      <c r="D2540" s="159" t="s">
        <v>119</v>
      </c>
      <c r="E2540" s="159" t="s">
        <v>121</v>
      </c>
      <c r="F2540" s="174">
        <v>1.4930000000000001</v>
      </c>
      <c r="G2540" s="160">
        <v>24.4</v>
      </c>
      <c r="H2540" s="160">
        <f t="shared" ref="H2540:H2550" si="84">ROUND(ROUND(F2540,8)*G2540,2)</f>
        <v>36.43</v>
      </c>
    </row>
    <row r="2541" spans="2:8">
      <c r="B2541" s="159">
        <v>88238</v>
      </c>
      <c r="C2541" s="221" t="s">
        <v>637</v>
      </c>
      <c r="D2541" s="159" t="s">
        <v>119</v>
      </c>
      <c r="E2541" s="159" t="s">
        <v>121</v>
      </c>
      <c r="F2541" s="174">
        <v>0.69</v>
      </c>
      <c r="G2541" s="160">
        <v>24.57</v>
      </c>
      <c r="H2541" s="160">
        <f t="shared" si="84"/>
        <v>16.95</v>
      </c>
    </row>
    <row r="2542" spans="2:8">
      <c r="B2542" s="159">
        <v>100301</v>
      </c>
      <c r="C2542" s="221" t="s">
        <v>1000</v>
      </c>
      <c r="D2542" s="159" t="s">
        <v>119</v>
      </c>
      <c r="E2542" s="159" t="s">
        <v>121</v>
      </c>
      <c r="F2542" s="174">
        <v>2.86</v>
      </c>
      <c r="G2542" s="160">
        <v>26.43</v>
      </c>
      <c r="H2542" s="160">
        <f t="shared" si="84"/>
        <v>75.59</v>
      </c>
    </row>
    <row r="2543" spans="2:8">
      <c r="B2543" s="159">
        <v>88247</v>
      </c>
      <c r="C2543" s="221" t="s">
        <v>608</v>
      </c>
      <c r="D2543" s="159" t="s">
        <v>119</v>
      </c>
      <c r="E2543" s="159" t="s">
        <v>121</v>
      </c>
      <c r="F2543" s="174">
        <v>65</v>
      </c>
      <c r="G2543" s="160">
        <v>25</v>
      </c>
      <c r="H2543" s="160">
        <f t="shared" si="84"/>
        <v>1625</v>
      </c>
    </row>
    <row r="2544" spans="2:8">
      <c r="B2544" s="159">
        <v>88262</v>
      </c>
      <c r="C2544" s="221" t="s">
        <v>618</v>
      </c>
      <c r="D2544" s="159" t="s">
        <v>119</v>
      </c>
      <c r="E2544" s="159" t="s">
        <v>121</v>
      </c>
      <c r="F2544" s="174">
        <v>1.4930000000000001</v>
      </c>
      <c r="G2544" s="160">
        <v>30.91</v>
      </c>
      <c r="H2544" s="160">
        <f t="shared" si="84"/>
        <v>46.15</v>
      </c>
    </row>
    <row r="2545" spans="2:8">
      <c r="B2545" s="159" t="s">
        <v>949</v>
      </c>
      <c r="C2545" s="221" t="s">
        <v>950</v>
      </c>
      <c r="D2545" s="159" t="s">
        <v>650</v>
      </c>
      <c r="E2545" s="159" t="s">
        <v>121</v>
      </c>
      <c r="F2545" s="174">
        <v>40</v>
      </c>
      <c r="G2545" s="160">
        <v>34.119999999999997</v>
      </c>
      <c r="H2545" s="160">
        <f t="shared" si="84"/>
        <v>1364.8</v>
      </c>
    </row>
    <row r="2546" spans="2:8">
      <c r="B2546" s="159">
        <v>88264</v>
      </c>
      <c r="C2546" s="221" t="s">
        <v>609</v>
      </c>
      <c r="D2546" s="159" t="s">
        <v>119</v>
      </c>
      <c r="E2546" s="159" t="s">
        <v>121</v>
      </c>
      <c r="F2546" s="174">
        <v>65</v>
      </c>
      <c r="G2546" s="160">
        <v>31.72</v>
      </c>
      <c r="H2546" s="160">
        <f t="shared" si="84"/>
        <v>2061.8000000000002</v>
      </c>
    </row>
    <row r="2547" spans="2:8">
      <c r="B2547" s="159">
        <v>88245</v>
      </c>
      <c r="C2547" s="221" t="s">
        <v>638</v>
      </c>
      <c r="D2547" s="159" t="s">
        <v>119</v>
      </c>
      <c r="E2547" s="159" t="s">
        <v>121</v>
      </c>
      <c r="F2547" s="174">
        <v>0.69</v>
      </c>
      <c r="G2547" s="160">
        <v>31.13</v>
      </c>
      <c r="H2547" s="160">
        <f t="shared" si="84"/>
        <v>21.48</v>
      </c>
    </row>
    <row r="2548" spans="2:8">
      <c r="B2548" s="159">
        <v>88309</v>
      </c>
      <c r="C2548" s="221" t="s">
        <v>640</v>
      </c>
      <c r="D2548" s="159" t="s">
        <v>119</v>
      </c>
      <c r="E2548" s="159" t="s">
        <v>121</v>
      </c>
      <c r="F2548" s="174">
        <v>13.621499999999999</v>
      </c>
      <c r="G2548" s="160">
        <v>31.34</v>
      </c>
      <c r="H2548" s="160">
        <f t="shared" si="84"/>
        <v>426.9</v>
      </c>
    </row>
    <row r="2549" spans="2:8">
      <c r="B2549" s="159">
        <v>88310</v>
      </c>
      <c r="C2549" s="221" t="s">
        <v>663</v>
      </c>
      <c r="D2549" s="159" t="s">
        <v>119</v>
      </c>
      <c r="E2549" s="159" t="s">
        <v>121</v>
      </c>
      <c r="F2549" s="174">
        <v>2.86</v>
      </c>
      <c r="G2549" s="160">
        <v>33.01</v>
      </c>
      <c r="H2549" s="160">
        <f t="shared" si="84"/>
        <v>94.41</v>
      </c>
    </row>
    <row r="2550" spans="2:8">
      <c r="B2550" s="159">
        <v>88316</v>
      </c>
      <c r="C2550" s="221" t="s">
        <v>1006</v>
      </c>
      <c r="D2550" s="159" t="s">
        <v>119</v>
      </c>
      <c r="E2550" s="159" t="s">
        <v>121</v>
      </c>
      <c r="F2550" s="174">
        <v>23.850200000000001</v>
      </c>
      <c r="G2550" s="160">
        <v>23.75</v>
      </c>
      <c r="H2550" s="160">
        <f t="shared" si="84"/>
        <v>566.44000000000005</v>
      </c>
    </row>
    <row r="2551" spans="2:8">
      <c r="B2551" s="222"/>
      <c r="C2551" s="222"/>
      <c r="D2551" s="222"/>
      <c r="E2551" s="222"/>
      <c r="F2551" s="630" t="s">
        <v>585</v>
      </c>
      <c r="G2551" s="630"/>
      <c r="H2551" s="102">
        <f>SUM(H2540:H2550)</f>
        <v>6335.9499999999989</v>
      </c>
    </row>
    <row r="2552" spans="2:8">
      <c r="B2552" s="628" t="s">
        <v>586</v>
      </c>
      <c r="C2552" s="628"/>
      <c r="D2552" s="103" t="s">
        <v>579</v>
      </c>
      <c r="E2552" s="103" t="s">
        <v>580</v>
      </c>
      <c r="F2552" s="103" t="s">
        <v>581</v>
      </c>
      <c r="G2552" s="103" t="s">
        <v>582</v>
      </c>
      <c r="H2552" s="103" t="s">
        <v>583</v>
      </c>
    </row>
    <row r="2553" spans="2:8">
      <c r="B2553" s="159" t="s">
        <v>951</v>
      </c>
      <c r="C2553" s="221" t="s">
        <v>952</v>
      </c>
      <c r="D2553" s="159" t="s">
        <v>650</v>
      </c>
      <c r="E2553" s="159" t="s">
        <v>144</v>
      </c>
      <c r="F2553" s="174">
        <v>2</v>
      </c>
      <c r="G2553" s="160">
        <v>0.96</v>
      </c>
      <c r="H2553" s="160">
        <f t="shared" ref="H2553:H2571" si="85">ROUND(ROUND(F2553,8)*G2553,2)</f>
        <v>1.92</v>
      </c>
    </row>
    <row r="2554" spans="2:8">
      <c r="B2554" s="159" t="s">
        <v>953</v>
      </c>
      <c r="C2554" s="221" t="s">
        <v>954</v>
      </c>
      <c r="D2554" s="159" t="s">
        <v>650</v>
      </c>
      <c r="E2554" s="159" t="s">
        <v>173</v>
      </c>
      <c r="F2554" s="174">
        <v>1.3</v>
      </c>
      <c r="G2554" s="160">
        <v>170.43</v>
      </c>
      <c r="H2554" s="160">
        <f t="shared" si="85"/>
        <v>221.56</v>
      </c>
    </row>
    <row r="2555" spans="2:8">
      <c r="B2555" s="159" t="s">
        <v>955</v>
      </c>
      <c r="C2555" s="221" t="s">
        <v>956</v>
      </c>
      <c r="D2555" s="159" t="s">
        <v>650</v>
      </c>
      <c r="E2555" s="159" t="s">
        <v>144</v>
      </c>
      <c r="F2555" s="174">
        <v>1</v>
      </c>
      <c r="G2555" s="160">
        <v>15.32</v>
      </c>
      <c r="H2555" s="160">
        <f t="shared" si="85"/>
        <v>15.32</v>
      </c>
    </row>
    <row r="2556" spans="2:8">
      <c r="B2556" s="159" t="s">
        <v>2372</v>
      </c>
      <c r="C2556" s="221" t="s">
        <v>2373</v>
      </c>
      <c r="D2556" s="159" t="s">
        <v>650</v>
      </c>
      <c r="E2556" s="159" t="s">
        <v>173</v>
      </c>
      <c r="F2556" s="174">
        <v>5</v>
      </c>
      <c r="G2556" s="160">
        <v>26.81</v>
      </c>
      <c r="H2556" s="160">
        <f t="shared" si="85"/>
        <v>134.05000000000001</v>
      </c>
    </row>
    <row r="2557" spans="2:8">
      <c r="B2557" s="159" t="s">
        <v>957</v>
      </c>
      <c r="C2557" s="221" t="s">
        <v>958</v>
      </c>
      <c r="D2557" s="159" t="s">
        <v>650</v>
      </c>
      <c r="E2557" s="159" t="s">
        <v>144</v>
      </c>
      <c r="F2557" s="174">
        <v>3</v>
      </c>
      <c r="G2557" s="160">
        <v>306.60000000000002</v>
      </c>
      <c r="H2557" s="160">
        <f t="shared" si="85"/>
        <v>919.8</v>
      </c>
    </row>
    <row r="2558" spans="2:8">
      <c r="B2558" s="159" t="s">
        <v>959</v>
      </c>
      <c r="C2558" s="221" t="s">
        <v>960</v>
      </c>
      <c r="D2558" s="159" t="s">
        <v>650</v>
      </c>
      <c r="E2558" s="159" t="s">
        <v>144</v>
      </c>
      <c r="F2558" s="174">
        <v>2</v>
      </c>
      <c r="G2558" s="160">
        <v>9.31</v>
      </c>
      <c r="H2558" s="160">
        <f t="shared" si="85"/>
        <v>18.62</v>
      </c>
    </row>
    <row r="2559" spans="2:8">
      <c r="B2559" s="159" t="s">
        <v>961</v>
      </c>
      <c r="C2559" s="221" t="s">
        <v>962</v>
      </c>
      <c r="D2559" s="159" t="s">
        <v>650</v>
      </c>
      <c r="E2559" s="159" t="s">
        <v>144</v>
      </c>
      <c r="F2559" s="174">
        <v>4</v>
      </c>
      <c r="G2559" s="160">
        <v>315.97000000000003</v>
      </c>
      <c r="H2559" s="160">
        <f t="shared" si="85"/>
        <v>1263.8800000000001</v>
      </c>
    </row>
    <row r="2560" spans="2:8">
      <c r="B2560" s="159" t="s">
        <v>963</v>
      </c>
      <c r="C2560" s="221" t="s">
        <v>964</v>
      </c>
      <c r="D2560" s="159" t="s">
        <v>650</v>
      </c>
      <c r="E2560" s="159" t="s">
        <v>173</v>
      </c>
      <c r="F2560" s="174">
        <v>6.15</v>
      </c>
      <c r="G2560" s="160">
        <v>111.96</v>
      </c>
      <c r="H2560" s="160">
        <f t="shared" si="85"/>
        <v>688.55</v>
      </c>
    </row>
    <row r="2561" spans="2:8">
      <c r="B2561" s="159" t="s">
        <v>965</v>
      </c>
      <c r="C2561" s="221" t="s">
        <v>966</v>
      </c>
      <c r="D2561" s="159" t="s">
        <v>650</v>
      </c>
      <c r="E2561" s="159" t="s">
        <v>144</v>
      </c>
      <c r="F2561" s="174">
        <v>3</v>
      </c>
      <c r="G2561" s="160">
        <v>7.13</v>
      </c>
      <c r="H2561" s="160">
        <f t="shared" si="85"/>
        <v>21.39</v>
      </c>
    </row>
    <row r="2562" spans="2:8">
      <c r="B2562" s="159" t="s">
        <v>967</v>
      </c>
      <c r="C2562" s="221" t="s">
        <v>968</v>
      </c>
      <c r="D2562" s="159" t="s">
        <v>650</v>
      </c>
      <c r="E2562" s="159" t="s">
        <v>144</v>
      </c>
      <c r="F2562" s="174">
        <v>2</v>
      </c>
      <c r="G2562" s="160">
        <v>0.86</v>
      </c>
      <c r="H2562" s="160">
        <f t="shared" si="85"/>
        <v>1.72</v>
      </c>
    </row>
    <row r="2563" spans="2:8">
      <c r="B2563" s="159" t="s">
        <v>969</v>
      </c>
      <c r="C2563" s="221" t="s">
        <v>970</v>
      </c>
      <c r="D2563" s="159" t="s">
        <v>650</v>
      </c>
      <c r="E2563" s="159" t="s">
        <v>144</v>
      </c>
      <c r="F2563" s="174">
        <v>4</v>
      </c>
      <c r="G2563" s="160">
        <v>186.21</v>
      </c>
      <c r="H2563" s="160">
        <f t="shared" si="85"/>
        <v>744.84</v>
      </c>
    </row>
    <row r="2564" spans="2:8">
      <c r="B2564" s="159" t="s">
        <v>971</v>
      </c>
      <c r="C2564" s="221" t="s">
        <v>972</v>
      </c>
      <c r="D2564" s="159" t="s">
        <v>650</v>
      </c>
      <c r="E2564" s="159" t="s">
        <v>144</v>
      </c>
      <c r="F2564" s="174">
        <v>9</v>
      </c>
      <c r="G2564" s="160">
        <v>43.36</v>
      </c>
      <c r="H2564" s="160">
        <f t="shared" si="85"/>
        <v>390.24</v>
      </c>
    </row>
    <row r="2565" spans="2:8">
      <c r="B2565" s="159" t="s">
        <v>973</v>
      </c>
      <c r="C2565" s="221" t="s">
        <v>974</v>
      </c>
      <c r="D2565" s="159" t="s">
        <v>650</v>
      </c>
      <c r="E2565" s="159" t="s">
        <v>144</v>
      </c>
      <c r="F2565" s="174">
        <v>7</v>
      </c>
      <c r="G2565" s="160">
        <v>16.02</v>
      </c>
      <c r="H2565" s="160">
        <f t="shared" si="85"/>
        <v>112.14</v>
      </c>
    </row>
    <row r="2566" spans="2:8">
      <c r="B2566" s="159" t="s">
        <v>975</v>
      </c>
      <c r="C2566" s="221" t="s">
        <v>976</v>
      </c>
      <c r="D2566" s="159" t="s">
        <v>650</v>
      </c>
      <c r="E2566" s="159" t="s">
        <v>144</v>
      </c>
      <c r="F2566" s="174">
        <v>3</v>
      </c>
      <c r="G2566" s="160">
        <v>25.45</v>
      </c>
      <c r="H2566" s="160">
        <f t="shared" si="85"/>
        <v>76.349999999999994</v>
      </c>
    </row>
    <row r="2567" spans="2:8">
      <c r="B2567" s="159" t="s">
        <v>977</v>
      </c>
      <c r="C2567" s="221" t="s">
        <v>978</v>
      </c>
      <c r="D2567" s="159" t="s">
        <v>650</v>
      </c>
      <c r="E2567" s="159" t="s">
        <v>144</v>
      </c>
      <c r="F2567" s="174">
        <v>4</v>
      </c>
      <c r="G2567" s="160">
        <v>40.51</v>
      </c>
      <c r="H2567" s="160">
        <f t="shared" si="85"/>
        <v>162.04</v>
      </c>
    </row>
    <row r="2568" spans="2:8">
      <c r="B2568" s="159" t="s">
        <v>979</v>
      </c>
      <c r="C2568" s="221" t="s">
        <v>980</v>
      </c>
      <c r="D2568" s="159" t="s">
        <v>650</v>
      </c>
      <c r="E2568" s="159" t="s">
        <v>144</v>
      </c>
      <c r="F2568" s="174">
        <v>4</v>
      </c>
      <c r="G2568" s="160">
        <v>21.03</v>
      </c>
      <c r="H2568" s="160">
        <f t="shared" si="85"/>
        <v>84.12</v>
      </c>
    </row>
    <row r="2569" spans="2:8">
      <c r="B2569" s="159" t="s">
        <v>981</v>
      </c>
      <c r="C2569" s="221" t="s">
        <v>982</v>
      </c>
      <c r="D2569" s="159" t="s">
        <v>650</v>
      </c>
      <c r="E2569" s="159" t="s">
        <v>200</v>
      </c>
      <c r="F2569" s="174">
        <v>0.25</v>
      </c>
      <c r="G2569" s="160">
        <v>25.96</v>
      </c>
      <c r="H2569" s="160">
        <f t="shared" si="85"/>
        <v>6.49</v>
      </c>
    </row>
    <row r="2570" spans="2:8">
      <c r="B2570" s="159" t="s">
        <v>983</v>
      </c>
      <c r="C2570" s="221" t="s">
        <v>984</v>
      </c>
      <c r="D2570" s="159" t="s">
        <v>650</v>
      </c>
      <c r="E2570" s="159" t="s">
        <v>144</v>
      </c>
      <c r="F2570" s="174">
        <v>6</v>
      </c>
      <c r="G2570" s="160">
        <v>57.34</v>
      </c>
      <c r="H2570" s="160">
        <f t="shared" si="85"/>
        <v>344.04</v>
      </c>
    </row>
    <row r="2571" spans="2:8">
      <c r="B2571" s="159" t="s">
        <v>985</v>
      </c>
      <c r="C2571" s="221" t="s">
        <v>986</v>
      </c>
      <c r="D2571" s="159" t="s">
        <v>650</v>
      </c>
      <c r="E2571" s="159" t="s">
        <v>144</v>
      </c>
      <c r="F2571" s="174">
        <v>10</v>
      </c>
      <c r="G2571" s="160">
        <v>19.45</v>
      </c>
      <c r="H2571" s="160">
        <f t="shared" si="85"/>
        <v>194.5</v>
      </c>
    </row>
    <row r="2572" spans="2:8">
      <c r="B2572" s="222"/>
      <c r="C2572" s="222"/>
      <c r="D2572" s="222"/>
      <c r="E2572" s="222"/>
      <c r="F2572" s="630" t="s">
        <v>587</v>
      </c>
      <c r="G2572" s="630"/>
      <c r="H2572" s="102">
        <f>SUM(H2553:H2571)</f>
        <v>5401.57</v>
      </c>
    </row>
    <row r="2573" spans="2:8">
      <c r="B2573" s="222"/>
      <c r="C2573" s="222"/>
      <c r="D2573" s="222"/>
      <c r="E2573" s="222"/>
      <c r="F2573" s="630" t="s">
        <v>464</v>
      </c>
      <c r="G2573" s="630"/>
      <c r="H2573" s="102">
        <f>H2538+H2551+H2572</f>
        <v>80568.94</v>
      </c>
    </row>
    <row r="2574" spans="2:8">
      <c r="B2574" s="222"/>
      <c r="C2574" s="222"/>
      <c r="D2574" s="222"/>
      <c r="E2574" s="222"/>
      <c r="F2574" s="320"/>
      <c r="G2574" s="320"/>
      <c r="H2574" s="321"/>
    </row>
    <row r="2575" spans="2:8">
      <c r="B2575" s="245" t="s">
        <v>2544</v>
      </c>
    </row>
    <row r="2576" spans="2:8">
      <c r="B2576" s="222"/>
      <c r="C2576" s="222"/>
      <c r="D2576" s="222"/>
      <c r="E2576" s="222"/>
      <c r="F2576" s="111"/>
      <c r="G2576" s="111"/>
      <c r="H2576" s="228"/>
    </row>
    <row r="2577" spans="1:8" ht="27" customHeight="1">
      <c r="A2577" s="178" t="str">
        <f>'3 - PLAN. ORÇAMENTÁRIA'!A687</f>
        <v>7.1.2.3</v>
      </c>
      <c r="B2577" s="178" t="str">
        <f>'3 - PLAN. ORÇAMENTÁRIA'!B687</f>
        <v>CCU 170</v>
      </c>
      <c r="C2577" s="631" t="str">
        <f>'3 - PLAN. ORÇAMENTÁRIA'!C687</f>
        <v>EXAUSTOR TUBULAR COM FILTRO REF. 3.91.11/SP EDUCAÇÃO</v>
      </c>
      <c r="D2577" s="632"/>
      <c r="E2577" s="632"/>
      <c r="F2577" s="632"/>
      <c r="G2577" s="633"/>
      <c r="H2577" s="131" t="s">
        <v>144</v>
      </c>
    </row>
    <row r="2578" spans="1:8">
      <c r="B2578" s="222"/>
      <c r="C2578" s="222"/>
      <c r="D2578" s="222"/>
      <c r="E2578" s="222"/>
      <c r="F2578" s="630" t="s">
        <v>464</v>
      </c>
      <c r="G2578" s="630"/>
      <c r="H2578" s="102">
        <v>1547.48</v>
      </c>
    </row>
    <row r="2579" spans="1:8">
      <c r="B2579" s="222"/>
      <c r="C2579" s="222"/>
      <c r="D2579" s="222"/>
      <c r="E2579" s="222"/>
      <c r="F2579" s="646"/>
      <c r="G2579" s="646"/>
      <c r="H2579" s="646"/>
    </row>
    <row r="2580" spans="1:8">
      <c r="B2580" s="245" t="s">
        <v>2544</v>
      </c>
    </row>
    <row r="2581" spans="1:8">
      <c r="B2581" s="222"/>
      <c r="C2581" s="222"/>
      <c r="D2581" s="222"/>
      <c r="E2581" s="222"/>
      <c r="F2581" s="111"/>
      <c r="G2581" s="111"/>
      <c r="H2581" s="228"/>
    </row>
    <row r="2582" spans="1:8">
      <c r="A2582" s="178" t="str">
        <f>'3 - PLAN. ORÇAMENTÁRIA'!A369</f>
        <v>4.4.1.4.7</v>
      </c>
      <c r="B2582" s="178" t="str">
        <f>'3 - PLAN. ORÇAMENTÁRIA'!B369</f>
        <v>CCU 057</v>
      </c>
      <c r="C2582" s="631" t="str">
        <f>'3 - PLAN. ORÇAMENTÁRIA'!C369</f>
        <v>GA-01 GUIA LEVE OU SEPARADOR DE PISOS REF. 16.02.027/SP EDUCAÇÃO</v>
      </c>
      <c r="D2582" s="632"/>
      <c r="E2582" s="632"/>
      <c r="F2582" s="632"/>
      <c r="G2582" s="633"/>
      <c r="H2582" s="285" t="str">
        <f>'3 - PLAN. ORÇAMENTÁRIA'!E369</f>
        <v>M</v>
      </c>
    </row>
    <row r="2583" spans="1:8">
      <c r="B2583" s="628" t="s">
        <v>593</v>
      </c>
      <c r="C2583" s="628"/>
      <c r="D2583" s="103" t="s">
        <v>579</v>
      </c>
      <c r="E2583" s="103" t="s">
        <v>580</v>
      </c>
      <c r="F2583" s="103" t="s">
        <v>581</v>
      </c>
      <c r="G2583" s="103" t="s">
        <v>582</v>
      </c>
      <c r="H2583" s="103" t="s">
        <v>583</v>
      </c>
    </row>
    <row r="2584" spans="1:8">
      <c r="B2584" s="159" t="s">
        <v>2860</v>
      </c>
      <c r="C2584" s="221" t="s">
        <v>2861</v>
      </c>
      <c r="D2584" s="159" t="s">
        <v>650</v>
      </c>
      <c r="E2584" s="159" t="s">
        <v>620</v>
      </c>
      <c r="F2584" s="174">
        <v>1</v>
      </c>
      <c r="G2584" s="160">
        <v>46.37</v>
      </c>
      <c r="H2584" s="160">
        <f>ROUND(ROUND(F2584,8)*G2584,2)</f>
        <v>46.37</v>
      </c>
    </row>
    <row r="2585" spans="1:8">
      <c r="B2585" s="173" t="s">
        <v>661</v>
      </c>
      <c r="C2585" s="221" t="s">
        <v>662</v>
      </c>
      <c r="D2585" s="159" t="s">
        <v>119</v>
      </c>
      <c r="E2585" s="159" t="s">
        <v>621</v>
      </c>
      <c r="F2585" s="174">
        <v>8.0000000000000004E-4</v>
      </c>
      <c r="G2585" s="160">
        <v>198.43</v>
      </c>
      <c r="H2585" s="160">
        <f>ROUND(ROUND(F2585,8)*G2585,2)</f>
        <v>0.16</v>
      </c>
    </row>
    <row r="2586" spans="1:8">
      <c r="B2586" s="222"/>
      <c r="C2586" s="222"/>
      <c r="D2586" s="222"/>
      <c r="E2586" s="222"/>
      <c r="F2586" s="630" t="s">
        <v>604</v>
      </c>
      <c r="G2586" s="630"/>
      <c r="H2586" s="102">
        <f>H2584+H2585</f>
        <v>46.529999999999994</v>
      </c>
    </row>
    <row r="2587" spans="1:8">
      <c r="B2587" s="628" t="s">
        <v>584</v>
      </c>
      <c r="C2587" s="628"/>
      <c r="D2587" s="103" t="s">
        <v>579</v>
      </c>
      <c r="E2587" s="103" t="s">
        <v>580</v>
      </c>
      <c r="F2587" s="103" t="s">
        <v>581</v>
      </c>
      <c r="G2587" s="103" t="s">
        <v>582</v>
      </c>
      <c r="H2587" s="103" t="s">
        <v>583</v>
      </c>
    </row>
    <row r="2588" spans="1:8">
      <c r="B2588" s="159">
        <v>88309</v>
      </c>
      <c r="C2588" s="221" t="s">
        <v>640</v>
      </c>
      <c r="D2588" s="159" t="s">
        <v>119</v>
      </c>
      <c r="E2588" s="159" t="s">
        <v>619</v>
      </c>
      <c r="F2588" s="174">
        <v>7.1999999999999995E-2</v>
      </c>
      <c r="G2588" s="160">
        <v>31.34</v>
      </c>
      <c r="H2588" s="160">
        <f>ROUND(ROUND(F2588,8)*G2588,2)</f>
        <v>2.2599999999999998</v>
      </c>
    </row>
    <row r="2589" spans="1:8">
      <c r="B2589" s="159">
        <v>88316</v>
      </c>
      <c r="C2589" s="221" t="s">
        <v>626</v>
      </c>
      <c r="D2589" s="159" t="s">
        <v>119</v>
      </c>
      <c r="E2589" s="159" t="s">
        <v>619</v>
      </c>
      <c r="F2589" s="174">
        <v>0.2298</v>
      </c>
      <c r="G2589" s="160">
        <v>23.75</v>
      </c>
      <c r="H2589" s="160">
        <f>ROUND(ROUND(F2589,8)*G2589,2)</f>
        <v>5.46</v>
      </c>
    </row>
    <row r="2590" spans="1:8">
      <c r="B2590" s="222"/>
      <c r="C2590" s="222"/>
      <c r="D2590" s="222"/>
      <c r="E2590" s="222"/>
      <c r="F2590" s="630" t="s">
        <v>585</v>
      </c>
      <c r="G2590" s="630"/>
      <c r="H2590" s="102">
        <f>H2588+H2589</f>
        <v>7.72</v>
      </c>
    </row>
    <row r="2591" spans="1:8">
      <c r="B2591" s="222"/>
      <c r="C2591" s="222"/>
      <c r="D2591" s="222"/>
      <c r="E2591" s="222"/>
      <c r="F2591" s="630" t="s">
        <v>464</v>
      </c>
      <c r="G2591" s="630"/>
      <c r="H2591" s="102">
        <f>H2586+H2590</f>
        <v>54.249999999999993</v>
      </c>
    </row>
    <row r="2592" spans="1:8">
      <c r="B2592" s="222"/>
      <c r="C2592" s="222"/>
      <c r="D2592" s="222"/>
      <c r="E2592" s="222"/>
      <c r="F2592" s="646"/>
      <c r="G2592" s="646"/>
      <c r="H2592" s="646"/>
    </row>
    <row r="2593" spans="1:8">
      <c r="B2593" s="245" t="s">
        <v>2544</v>
      </c>
    </row>
    <row r="2594" spans="1:8">
      <c r="B2594" s="222"/>
      <c r="C2594" s="222"/>
      <c r="D2594" s="222"/>
      <c r="E2594" s="222"/>
      <c r="F2594" s="284"/>
      <c r="G2594" s="284"/>
      <c r="H2594" s="286"/>
    </row>
    <row r="2595" spans="1:8">
      <c r="A2595" s="178" t="str">
        <f>'3 - PLAN. ORÇAMENTÁRIA'!A380</f>
        <v>4.4.3.4</v>
      </c>
      <c r="B2595" s="178" t="str">
        <f>'3 - PLAN. ORÇAMENTÁRIA'!B380</f>
        <v>CCU 109</v>
      </c>
      <c r="C2595" s="631" t="str">
        <f>'3 - PLAN. ORÇAMENTÁRIA'!C380</f>
        <v>PLATAFORMA COM 3 MASTROS GALVANIZADOS, SENDO 1 DE H= 6,00 M E DOIS DE H= 5,00 M REF. 35.07.030/SP EDUCAÇÃO</v>
      </c>
      <c r="D2595" s="632"/>
      <c r="E2595" s="632"/>
      <c r="F2595" s="632"/>
      <c r="G2595" s="633"/>
      <c r="H2595" s="325" t="str">
        <f>'3 - PLAN. ORÇAMENTÁRIA'!E380</f>
        <v>CJ</v>
      </c>
    </row>
    <row r="2596" spans="1:8">
      <c r="B2596" s="628" t="s">
        <v>588</v>
      </c>
      <c r="C2596" s="628"/>
      <c r="D2596" s="103" t="s">
        <v>579</v>
      </c>
      <c r="E2596" s="103" t="s">
        <v>580</v>
      </c>
      <c r="F2596" s="103" t="s">
        <v>581</v>
      </c>
      <c r="G2596" s="103" t="s">
        <v>582</v>
      </c>
      <c r="H2596" s="103" t="s">
        <v>583</v>
      </c>
    </row>
    <row r="2597" spans="1:8" ht="25.5">
      <c r="B2597" s="159" t="s">
        <v>3240</v>
      </c>
      <c r="C2597" s="221" t="s">
        <v>3241</v>
      </c>
      <c r="D2597" s="159" t="s">
        <v>592</v>
      </c>
      <c r="E2597" s="159" t="s">
        <v>121</v>
      </c>
      <c r="F2597" s="174">
        <v>0.3</v>
      </c>
      <c r="G2597" s="160">
        <v>27.39</v>
      </c>
      <c r="H2597" s="160">
        <f>ROUND(ROUND(F2597,8)*G2597,2)</f>
        <v>8.2200000000000006</v>
      </c>
    </row>
    <row r="2598" spans="1:8">
      <c r="B2598" s="222"/>
      <c r="C2598" s="222"/>
      <c r="D2598" s="222"/>
      <c r="E2598" s="222"/>
      <c r="F2598" s="630" t="s">
        <v>589</v>
      </c>
      <c r="G2598" s="630"/>
      <c r="H2598" s="102">
        <f>H2597</f>
        <v>8.2200000000000006</v>
      </c>
    </row>
    <row r="2599" spans="1:8">
      <c r="B2599" s="628" t="s">
        <v>593</v>
      </c>
      <c r="C2599" s="628"/>
      <c r="D2599" s="103" t="s">
        <v>579</v>
      </c>
      <c r="E2599" s="103" t="s">
        <v>580</v>
      </c>
      <c r="F2599" s="103" t="s">
        <v>581</v>
      </c>
      <c r="G2599" s="103" t="s">
        <v>582</v>
      </c>
      <c r="H2599" s="103" t="s">
        <v>583</v>
      </c>
    </row>
    <row r="2600" spans="1:8">
      <c r="B2600" s="159" t="s">
        <v>3357</v>
      </c>
      <c r="C2600" s="221" t="s">
        <v>3358</v>
      </c>
      <c r="D2600" s="159" t="s">
        <v>158</v>
      </c>
      <c r="E2600" s="159" t="s">
        <v>167</v>
      </c>
      <c r="F2600" s="174">
        <v>0.43</v>
      </c>
      <c r="G2600" s="160">
        <v>102.5</v>
      </c>
      <c r="H2600" s="160">
        <f t="shared" ref="H2600:H2608" si="86">ROUND(ROUND(F2600,8)*G2600,2)</f>
        <v>44.08</v>
      </c>
    </row>
    <row r="2601" spans="1:8">
      <c r="B2601" s="159" t="s">
        <v>1010</v>
      </c>
      <c r="C2601" s="221" t="s">
        <v>1009</v>
      </c>
      <c r="D2601" s="159" t="s">
        <v>119</v>
      </c>
      <c r="E2601" s="159" t="s">
        <v>200</v>
      </c>
      <c r="F2601" s="174">
        <v>236.1</v>
      </c>
      <c r="G2601" s="160">
        <v>1.5</v>
      </c>
      <c r="H2601" s="160">
        <f t="shared" si="86"/>
        <v>354.15</v>
      </c>
    </row>
    <row r="2602" spans="1:8">
      <c r="B2602" s="159" t="s">
        <v>643</v>
      </c>
      <c r="C2602" s="221" t="s">
        <v>644</v>
      </c>
      <c r="D2602" s="159" t="s">
        <v>119</v>
      </c>
      <c r="E2602" s="159" t="s">
        <v>107</v>
      </c>
      <c r="F2602" s="174">
        <v>4.2999999999999997E-2</v>
      </c>
      <c r="G2602" s="160">
        <v>7.16</v>
      </c>
      <c r="H2602" s="160">
        <f t="shared" si="86"/>
        <v>0.31</v>
      </c>
    </row>
    <row r="2603" spans="1:8">
      <c r="B2603" s="159" t="s">
        <v>3242</v>
      </c>
      <c r="C2603" s="221" t="s">
        <v>3243</v>
      </c>
      <c r="D2603" s="159" t="s">
        <v>119</v>
      </c>
      <c r="E2603" s="159" t="s">
        <v>167</v>
      </c>
      <c r="F2603" s="174">
        <v>0.61</v>
      </c>
      <c r="G2603" s="160">
        <v>186.45</v>
      </c>
      <c r="H2603" s="160">
        <f t="shared" si="86"/>
        <v>113.73</v>
      </c>
    </row>
    <row r="2604" spans="1:8">
      <c r="B2604" s="159" t="s">
        <v>615</v>
      </c>
      <c r="C2604" s="221" t="s">
        <v>616</v>
      </c>
      <c r="D2604" s="159" t="s">
        <v>119</v>
      </c>
      <c r="E2604" s="159" t="s">
        <v>200</v>
      </c>
      <c r="F2604" s="174">
        <v>0.17</v>
      </c>
      <c r="G2604" s="160">
        <v>18.399999999999999</v>
      </c>
      <c r="H2604" s="160">
        <f t="shared" si="86"/>
        <v>3.13</v>
      </c>
    </row>
    <row r="2605" spans="1:8" ht="25.5">
      <c r="B2605" s="159" t="s">
        <v>3244</v>
      </c>
      <c r="C2605" s="221" t="s">
        <v>3245</v>
      </c>
      <c r="D2605" s="159" t="s">
        <v>119</v>
      </c>
      <c r="E2605" s="159" t="s">
        <v>173</v>
      </c>
      <c r="F2605" s="174">
        <v>1.08</v>
      </c>
      <c r="G2605" s="160">
        <v>4.91</v>
      </c>
      <c r="H2605" s="160">
        <f t="shared" si="86"/>
        <v>5.3</v>
      </c>
    </row>
    <row r="2606" spans="1:8">
      <c r="B2606" s="159" t="s">
        <v>2312</v>
      </c>
      <c r="C2606" s="221" t="s">
        <v>2313</v>
      </c>
      <c r="D2606" s="159" t="s">
        <v>119</v>
      </c>
      <c r="E2606" s="159" t="s">
        <v>173</v>
      </c>
      <c r="F2606" s="174">
        <v>0.54</v>
      </c>
      <c r="G2606" s="160">
        <v>26.81</v>
      </c>
      <c r="H2606" s="160">
        <f t="shared" si="86"/>
        <v>14.48</v>
      </c>
    </row>
    <row r="2607" spans="1:8">
      <c r="B2607" s="159" t="s">
        <v>3246</v>
      </c>
      <c r="C2607" s="221" t="s">
        <v>3247</v>
      </c>
      <c r="D2607" s="159" t="s">
        <v>158</v>
      </c>
      <c r="E2607" s="159" t="s">
        <v>614</v>
      </c>
      <c r="F2607" s="174">
        <v>6</v>
      </c>
      <c r="G2607" s="160">
        <v>67.989999999999995</v>
      </c>
      <c r="H2607" s="160">
        <f t="shared" si="86"/>
        <v>407.94</v>
      </c>
    </row>
    <row r="2608" spans="1:8">
      <c r="B2608" s="159" t="s">
        <v>3246</v>
      </c>
      <c r="C2608" s="221" t="s">
        <v>3247</v>
      </c>
      <c r="D2608" s="159" t="s">
        <v>158</v>
      </c>
      <c r="E2608" s="159" t="s">
        <v>614</v>
      </c>
      <c r="F2608" s="174">
        <v>10</v>
      </c>
      <c r="G2608" s="160">
        <v>67.989999999999995</v>
      </c>
      <c r="H2608" s="160">
        <f t="shared" si="86"/>
        <v>679.9</v>
      </c>
    </row>
    <row r="2609" spans="1:8">
      <c r="B2609" s="222"/>
      <c r="C2609" s="222"/>
      <c r="D2609" s="222"/>
      <c r="E2609" s="222"/>
      <c r="F2609" s="630" t="s">
        <v>604</v>
      </c>
      <c r="G2609" s="630"/>
      <c r="H2609" s="102">
        <f>SUM(H2600:H2608)</f>
        <v>1623.02</v>
      </c>
    </row>
    <row r="2610" spans="1:8">
      <c r="B2610" s="628" t="s">
        <v>607</v>
      </c>
      <c r="C2610" s="628"/>
      <c r="D2610" s="103" t="s">
        <v>579</v>
      </c>
      <c r="E2610" s="103" t="s">
        <v>580</v>
      </c>
      <c r="F2610" s="103" t="s">
        <v>581</v>
      </c>
      <c r="G2610" s="103" t="s">
        <v>582</v>
      </c>
      <c r="H2610" s="103" t="s">
        <v>583</v>
      </c>
    </row>
    <row r="2611" spans="1:8">
      <c r="B2611" s="159" t="s">
        <v>1315</v>
      </c>
      <c r="C2611" s="221" t="s">
        <v>617</v>
      </c>
      <c r="D2611" s="159" t="s">
        <v>119</v>
      </c>
      <c r="E2611" s="159" t="s">
        <v>121</v>
      </c>
      <c r="F2611" s="174">
        <v>1.19</v>
      </c>
      <c r="G2611" s="160">
        <v>24.4</v>
      </c>
      <c r="H2611" s="160">
        <f t="shared" ref="H2611:H2614" si="87">ROUND(ROUND(F2611,8)*G2611,2)</f>
        <v>29.04</v>
      </c>
    </row>
    <row r="2612" spans="1:8">
      <c r="B2612" s="159" t="s">
        <v>1316</v>
      </c>
      <c r="C2612" s="221" t="s">
        <v>618</v>
      </c>
      <c r="D2612" s="159" t="s">
        <v>119</v>
      </c>
      <c r="E2612" s="159" t="s">
        <v>121</v>
      </c>
      <c r="F2612" s="174">
        <v>1.19</v>
      </c>
      <c r="G2612" s="160">
        <v>30.91</v>
      </c>
      <c r="H2612" s="160">
        <f t="shared" si="87"/>
        <v>36.78</v>
      </c>
    </row>
    <row r="2613" spans="1:8">
      <c r="B2613" s="159" t="s">
        <v>639</v>
      </c>
      <c r="C2613" s="221" t="s">
        <v>640</v>
      </c>
      <c r="D2613" s="159" t="s">
        <v>119</v>
      </c>
      <c r="E2613" s="159" t="s">
        <v>121</v>
      </c>
      <c r="F2613" s="174">
        <v>2.89</v>
      </c>
      <c r="G2613" s="160">
        <v>31.34</v>
      </c>
      <c r="H2613" s="160">
        <f t="shared" si="87"/>
        <v>90.57</v>
      </c>
    </row>
    <row r="2614" spans="1:8">
      <c r="B2614" s="159" t="s">
        <v>625</v>
      </c>
      <c r="C2614" s="221" t="s">
        <v>626</v>
      </c>
      <c r="D2614" s="159" t="s">
        <v>119</v>
      </c>
      <c r="E2614" s="159" t="s">
        <v>121</v>
      </c>
      <c r="F2614" s="174">
        <v>10.76</v>
      </c>
      <c r="G2614" s="160">
        <v>23.75</v>
      </c>
      <c r="H2614" s="160">
        <f t="shared" si="87"/>
        <v>255.55</v>
      </c>
    </row>
    <row r="2615" spans="1:8">
      <c r="B2615" s="222"/>
      <c r="C2615" s="222"/>
      <c r="D2615" s="222"/>
      <c r="E2615" s="222"/>
      <c r="F2615" s="630" t="s">
        <v>610</v>
      </c>
      <c r="G2615" s="630"/>
      <c r="H2615" s="102">
        <f>SUM(H2611:H2614)</f>
        <v>411.94</v>
      </c>
    </row>
    <row r="2616" spans="1:8">
      <c r="B2616" s="105"/>
      <c r="C2616" s="105"/>
      <c r="D2616" s="105"/>
      <c r="E2616" s="105"/>
      <c r="F2616" s="630" t="s">
        <v>464</v>
      </c>
      <c r="G2616" s="630"/>
      <c r="H2616" s="102">
        <f>H2615+H2609+H2598</f>
        <v>2043.18</v>
      </c>
    </row>
    <row r="2617" spans="1:8">
      <c r="B2617" s="222"/>
      <c r="C2617" s="222"/>
      <c r="D2617" s="222"/>
      <c r="E2617" s="222"/>
      <c r="F2617" s="324"/>
      <c r="G2617" s="324"/>
      <c r="H2617" s="326"/>
    </row>
    <row r="2618" spans="1:8">
      <c r="A2618" s="178" t="str">
        <f>'3 - PLAN. ORÇAMENTÁRIA'!A479</f>
        <v>5.3.3.4</v>
      </c>
      <c r="B2618" s="178" t="str">
        <f>'3 - PLAN. ORÇAMENTÁRIA'!B479</f>
        <v>CCU 162</v>
      </c>
      <c r="C2618" s="631" t="str">
        <f>'3 - PLAN. ORÇAMENTÁRIA'!C479</f>
        <v>CA-22 CANALETA DE AGUAS PLUVIAIS EM CONCRETO (30CM) REF. 16.05.032/SP EDUCAÇÃO</v>
      </c>
      <c r="D2618" s="632"/>
      <c r="E2618" s="632"/>
      <c r="F2618" s="632"/>
      <c r="G2618" s="633"/>
      <c r="H2618" s="348" t="str">
        <f>'3 - PLAN. ORÇAMENTÁRIA'!E479</f>
        <v>M</v>
      </c>
    </row>
    <row r="2619" spans="1:8">
      <c r="B2619" s="628" t="s">
        <v>593</v>
      </c>
      <c r="C2619" s="628"/>
      <c r="D2619" s="103" t="s">
        <v>579</v>
      </c>
      <c r="E2619" s="103" t="s">
        <v>580</v>
      </c>
      <c r="F2619" s="103" t="s">
        <v>581</v>
      </c>
      <c r="G2619" s="103" t="s">
        <v>582</v>
      </c>
      <c r="H2619" s="103" t="s">
        <v>583</v>
      </c>
    </row>
    <row r="2620" spans="1:8">
      <c r="B2620" s="159" t="s">
        <v>3334</v>
      </c>
      <c r="C2620" s="221" t="s">
        <v>3335</v>
      </c>
      <c r="D2620" s="159" t="s">
        <v>650</v>
      </c>
      <c r="E2620" s="159" t="s">
        <v>167</v>
      </c>
      <c r="F2620" s="174">
        <v>6.0999999999999999E-2</v>
      </c>
      <c r="G2620" s="160">
        <v>435.43</v>
      </c>
      <c r="H2620" s="160">
        <f t="shared" ref="H2620:H2623" si="88">ROUND(ROUND(F2620,8)*G2620,2)</f>
        <v>26.56</v>
      </c>
    </row>
    <row r="2621" spans="1:8">
      <c r="B2621" s="159" t="s">
        <v>3336</v>
      </c>
      <c r="C2621" s="221" t="s">
        <v>3337</v>
      </c>
      <c r="D2621" s="159" t="s">
        <v>650</v>
      </c>
      <c r="E2621" s="159" t="s">
        <v>139</v>
      </c>
      <c r="F2621" s="174">
        <v>0.66</v>
      </c>
      <c r="G2621" s="160">
        <v>27.9</v>
      </c>
      <c r="H2621" s="160">
        <f t="shared" si="88"/>
        <v>18.41</v>
      </c>
    </row>
    <row r="2622" spans="1:8">
      <c r="B2622" s="173" t="s">
        <v>615</v>
      </c>
      <c r="C2622" s="221" t="s">
        <v>616</v>
      </c>
      <c r="D2622" s="159" t="s">
        <v>119</v>
      </c>
      <c r="E2622" s="159" t="s">
        <v>200</v>
      </c>
      <c r="F2622" s="174">
        <v>0.26400000000000001</v>
      </c>
      <c r="G2622" s="160">
        <v>18.399999999999999</v>
      </c>
      <c r="H2622" s="160">
        <f t="shared" si="88"/>
        <v>4.8600000000000003</v>
      </c>
    </row>
    <row r="2623" spans="1:8">
      <c r="B2623" s="159" t="s">
        <v>3338</v>
      </c>
      <c r="C2623" s="221" t="s">
        <v>3339</v>
      </c>
      <c r="D2623" s="159" t="s">
        <v>650</v>
      </c>
      <c r="E2623" s="159" t="s">
        <v>173</v>
      </c>
      <c r="F2623" s="174">
        <v>2.64</v>
      </c>
      <c r="G2623" s="160">
        <v>4.5</v>
      </c>
      <c r="H2623" s="160">
        <f t="shared" si="88"/>
        <v>11.88</v>
      </c>
    </row>
    <row r="2624" spans="1:8">
      <c r="B2624" s="222"/>
      <c r="C2624" s="222"/>
      <c r="D2624" s="222"/>
      <c r="E2624" s="222"/>
      <c r="F2624" s="630" t="s">
        <v>604</v>
      </c>
      <c r="G2624" s="630"/>
      <c r="H2624" s="102">
        <f>SUM(H2620:H2623)</f>
        <v>61.71</v>
      </c>
    </row>
    <row r="2625" spans="1:8">
      <c r="B2625" s="628" t="s">
        <v>607</v>
      </c>
      <c r="C2625" s="628"/>
      <c r="D2625" s="103" t="s">
        <v>579</v>
      </c>
      <c r="E2625" s="103" t="s">
        <v>580</v>
      </c>
      <c r="F2625" s="103" t="s">
        <v>581</v>
      </c>
      <c r="G2625" s="103" t="s">
        <v>582</v>
      </c>
      <c r="H2625" s="103" t="s">
        <v>583</v>
      </c>
    </row>
    <row r="2626" spans="1:8">
      <c r="B2626" s="159" t="s">
        <v>1315</v>
      </c>
      <c r="C2626" s="221" t="s">
        <v>617</v>
      </c>
      <c r="D2626" s="159" t="s">
        <v>119</v>
      </c>
      <c r="E2626" s="159" t="s">
        <v>121</v>
      </c>
      <c r="F2626" s="174">
        <v>1.452</v>
      </c>
      <c r="G2626" s="160">
        <v>24.4</v>
      </c>
      <c r="H2626" s="160">
        <f>ROUND(ROUND(F2626,8)*G2626,2)</f>
        <v>35.43</v>
      </c>
    </row>
    <row r="2627" spans="1:8">
      <c r="B2627" s="159" t="s">
        <v>1316</v>
      </c>
      <c r="C2627" s="221" t="s">
        <v>618</v>
      </c>
      <c r="D2627" s="159" t="s">
        <v>119</v>
      </c>
      <c r="E2627" s="159" t="s">
        <v>121</v>
      </c>
      <c r="F2627" s="174">
        <v>1.452</v>
      </c>
      <c r="G2627" s="160">
        <v>30.91</v>
      </c>
      <c r="H2627" s="160">
        <f>ROUND(ROUND(F2627,8)*G2627,2)</f>
        <v>44.88</v>
      </c>
    </row>
    <row r="2628" spans="1:8">
      <c r="B2628" s="159" t="s">
        <v>639</v>
      </c>
      <c r="C2628" s="221" t="s">
        <v>640</v>
      </c>
      <c r="D2628" s="159" t="s">
        <v>119</v>
      </c>
      <c r="E2628" s="159" t="s">
        <v>121</v>
      </c>
      <c r="F2628" s="174">
        <v>0.36599999999999999</v>
      </c>
      <c r="G2628" s="160">
        <v>31.34</v>
      </c>
      <c r="H2628" s="160">
        <f>ROUND(ROUND(F2628,8)*G2628,2)</f>
        <v>11.47</v>
      </c>
    </row>
    <row r="2629" spans="1:8">
      <c r="B2629" s="159" t="s">
        <v>625</v>
      </c>
      <c r="C2629" s="221" t="s">
        <v>626</v>
      </c>
      <c r="D2629" s="159" t="s">
        <v>119</v>
      </c>
      <c r="E2629" s="159" t="s">
        <v>121</v>
      </c>
      <c r="F2629" s="174">
        <v>1.8394999999999999</v>
      </c>
      <c r="G2629" s="160">
        <v>23.75</v>
      </c>
      <c r="H2629" s="160">
        <f>ROUND(ROUND(F2629,8)*G2629,2)</f>
        <v>43.69</v>
      </c>
    </row>
    <row r="2630" spans="1:8">
      <c r="B2630" s="222"/>
      <c r="C2630" s="222"/>
      <c r="D2630" s="222"/>
      <c r="E2630" s="222"/>
      <c r="F2630" s="630" t="s">
        <v>610</v>
      </c>
      <c r="G2630" s="630"/>
      <c r="H2630" s="102">
        <f>SUM(H2626:H2629)</f>
        <v>135.47</v>
      </c>
    </row>
    <row r="2631" spans="1:8">
      <c r="B2631" s="222"/>
      <c r="C2631" s="222"/>
      <c r="D2631" s="222"/>
      <c r="E2631" s="222"/>
      <c r="F2631" s="630" t="s">
        <v>464</v>
      </c>
      <c r="G2631" s="630"/>
      <c r="H2631" s="102">
        <f>H2630+H2624</f>
        <v>197.18</v>
      </c>
    </row>
    <row r="2632" spans="1:8">
      <c r="B2632" s="222"/>
      <c r="C2632" s="222"/>
      <c r="D2632" s="222"/>
      <c r="E2632" s="222"/>
      <c r="F2632" s="345"/>
      <c r="G2632" s="345"/>
      <c r="H2632" s="349"/>
    </row>
    <row r="2633" spans="1:8">
      <c r="A2633" s="178" t="str">
        <f>'3 - PLAN. ORÇAMENTÁRIA'!A480</f>
        <v>5.3.3.5</v>
      </c>
      <c r="B2633" s="178" t="str">
        <f>'3 - PLAN. ORÇAMENTÁRIA'!B480</f>
        <v>CCU 163</v>
      </c>
      <c r="C2633" s="631" t="str">
        <f>'3 - PLAN. ORÇAMENTÁRIA'!C480</f>
        <v>CA-20 CANALETA DE AGUAS PLUVIAIS EM OCNCRETO (15CM) REF. 16.05.030/SP EDUCAÇÃO</v>
      </c>
      <c r="D2633" s="632"/>
      <c r="E2633" s="632"/>
      <c r="F2633" s="632"/>
      <c r="G2633" s="633"/>
      <c r="H2633" s="400" t="str">
        <f>'3 - PLAN. ORÇAMENTÁRIA'!E480</f>
        <v>M</v>
      </c>
    </row>
    <row r="2634" spans="1:8">
      <c r="B2634" s="628" t="s">
        <v>593</v>
      </c>
      <c r="C2634" s="628"/>
      <c r="D2634" s="103" t="s">
        <v>579</v>
      </c>
      <c r="E2634" s="103" t="s">
        <v>580</v>
      </c>
      <c r="F2634" s="103" t="s">
        <v>581</v>
      </c>
      <c r="G2634" s="103" t="s">
        <v>582</v>
      </c>
      <c r="H2634" s="103" t="s">
        <v>583</v>
      </c>
    </row>
    <row r="2635" spans="1:8">
      <c r="B2635" s="159" t="s">
        <v>3334</v>
      </c>
      <c r="C2635" s="221" t="s">
        <v>3335</v>
      </c>
      <c r="D2635" s="159" t="s">
        <v>650</v>
      </c>
      <c r="E2635" s="159" t="s">
        <v>167</v>
      </c>
      <c r="F2635" s="174">
        <v>5.1999999999999998E-2</v>
      </c>
      <c r="G2635" s="160">
        <v>435.43</v>
      </c>
      <c r="H2635" s="160">
        <f t="shared" ref="H2635:H2638" si="89">ROUND(ROUND(F2635,8)*G2635,2)</f>
        <v>22.64</v>
      </c>
    </row>
    <row r="2636" spans="1:8">
      <c r="B2636" s="159" t="s">
        <v>3336</v>
      </c>
      <c r="C2636" s="221" t="s">
        <v>3337</v>
      </c>
      <c r="D2636" s="159" t="s">
        <v>650</v>
      </c>
      <c r="E2636" s="159" t="s">
        <v>139</v>
      </c>
      <c r="F2636" s="174">
        <v>0.66</v>
      </c>
      <c r="G2636" s="160">
        <v>27.9</v>
      </c>
      <c r="H2636" s="160">
        <f t="shared" si="89"/>
        <v>18.41</v>
      </c>
    </row>
    <row r="2637" spans="1:8" ht="12.75" customHeight="1">
      <c r="B2637" s="173" t="s">
        <v>615</v>
      </c>
      <c r="C2637" s="221" t="s">
        <v>616</v>
      </c>
      <c r="D2637" s="159" t="s">
        <v>119</v>
      </c>
      <c r="E2637" s="159" t="s">
        <v>200</v>
      </c>
      <c r="F2637" s="174">
        <v>0.26400000000000001</v>
      </c>
      <c r="G2637" s="160">
        <v>18.399999999999999</v>
      </c>
      <c r="H2637" s="160">
        <f t="shared" si="89"/>
        <v>4.8600000000000003</v>
      </c>
    </row>
    <row r="2638" spans="1:8">
      <c r="B2638" s="159" t="s">
        <v>3338</v>
      </c>
      <c r="C2638" s="221" t="s">
        <v>3339</v>
      </c>
      <c r="D2638" s="159" t="s">
        <v>650</v>
      </c>
      <c r="E2638" s="159" t="s">
        <v>173</v>
      </c>
      <c r="F2638" s="174">
        <v>2.64</v>
      </c>
      <c r="G2638" s="160">
        <v>4.5</v>
      </c>
      <c r="H2638" s="160">
        <f t="shared" si="89"/>
        <v>11.88</v>
      </c>
    </row>
    <row r="2639" spans="1:8">
      <c r="B2639" s="222"/>
      <c r="C2639" s="222"/>
      <c r="D2639" s="222"/>
      <c r="E2639" s="222"/>
      <c r="F2639" s="630" t="s">
        <v>604</v>
      </c>
      <c r="G2639" s="630"/>
      <c r="H2639" s="102">
        <f>SUM(H2635:H2638)</f>
        <v>57.79</v>
      </c>
    </row>
    <row r="2640" spans="1:8" ht="12.75" customHeight="1">
      <c r="B2640" s="628" t="s">
        <v>607</v>
      </c>
      <c r="C2640" s="628"/>
      <c r="D2640" s="103" t="s">
        <v>579</v>
      </c>
      <c r="E2640" s="103" t="s">
        <v>580</v>
      </c>
      <c r="F2640" s="103" t="s">
        <v>581</v>
      </c>
      <c r="G2640" s="103" t="s">
        <v>582</v>
      </c>
      <c r="H2640" s="103" t="s">
        <v>583</v>
      </c>
    </row>
    <row r="2641" spans="1:8" ht="12.75" customHeight="1">
      <c r="B2641" s="159" t="s">
        <v>1315</v>
      </c>
      <c r="C2641" s="221" t="s">
        <v>617</v>
      </c>
      <c r="D2641" s="159" t="s">
        <v>119</v>
      </c>
      <c r="E2641" s="159" t="s">
        <v>121</v>
      </c>
      <c r="F2641" s="174">
        <v>1.452</v>
      </c>
      <c r="G2641" s="160">
        <v>24.4</v>
      </c>
      <c r="H2641" s="160">
        <f>ROUND(ROUND(F2641,8)*G2641,2)</f>
        <v>35.43</v>
      </c>
    </row>
    <row r="2642" spans="1:8">
      <c r="B2642" s="159" t="s">
        <v>1316</v>
      </c>
      <c r="C2642" s="221" t="s">
        <v>618</v>
      </c>
      <c r="D2642" s="159" t="s">
        <v>119</v>
      </c>
      <c r="E2642" s="159" t="s">
        <v>121</v>
      </c>
      <c r="F2642" s="174">
        <v>1.452</v>
      </c>
      <c r="G2642" s="160">
        <v>30.91</v>
      </c>
      <c r="H2642" s="160">
        <f>ROUND(ROUND(F2642,8)*G2642,2)</f>
        <v>44.88</v>
      </c>
    </row>
    <row r="2643" spans="1:8">
      <c r="B2643" s="159" t="s">
        <v>639</v>
      </c>
      <c r="C2643" s="221" t="s">
        <v>640</v>
      </c>
      <c r="D2643" s="159" t="s">
        <v>119</v>
      </c>
      <c r="E2643" s="159" t="s">
        <v>121</v>
      </c>
      <c r="F2643" s="174">
        <v>0.312</v>
      </c>
      <c r="G2643" s="160">
        <v>31.34</v>
      </c>
      <c r="H2643" s="160">
        <f>ROUND(ROUND(F2643,8)*G2643,2)</f>
        <v>9.7799999999999994</v>
      </c>
    </row>
    <row r="2644" spans="1:8">
      <c r="B2644" s="159" t="s">
        <v>625</v>
      </c>
      <c r="C2644" s="221" t="s">
        <v>626</v>
      </c>
      <c r="D2644" s="159" t="s">
        <v>119</v>
      </c>
      <c r="E2644" s="159" t="s">
        <v>121</v>
      </c>
      <c r="F2644" s="174">
        <v>1.5954999999999999</v>
      </c>
      <c r="G2644" s="160">
        <v>23.75</v>
      </c>
      <c r="H2644" s="160">
        <f>ROUND(ROUND(F2644,8)*G2644,2)</f>
        <v>37.89</v>
      </c>
    </row>
    <row r="2645" spans="1:8">
      <c r="B2645" s="222"/>
      <c r="C2645" s="222"/>
      <c r="D2645" s="222"/>
      <c r="E2645" s="222"/>
      <c r="F2645" s="630" t="s">
        <v>610</v>
      </c>
      <c r="G2645" s="630"/>
      <c r="H2645" s="102">
        <f>SUM(H2641:H2644)</f>
        <v>127.98</v>
      </c>
    </row>
    <row r="2646" spans="1:8">
      <c r="B2646" s="222"/>
      <c r="C2646" s="222"/>
      <c r="D2646" s="222"/>
      <c r="E2646" s="222"/>
      <c r="F2646" s="630" t="s">
        <v>464</v>
      </c>
      <c r="G2646" s="630"/>
      <c r="H2646" s="102">
        <f>H2645+H2639</f>
        <v>185.77</v>
      </c>
    </row>
    <row r="2647" spans="1:8">
      <c r="B2647" s="222"/>
      <c r="C2647" s="222"/>
      <c r="D2647" s="222"/>
      <c r="E2647" s="222"/>
      <c r="F2647" s="398"/>
      <c r="G2647" s="398"/>
      <c r="H2647" s="401"/>
    </row>
    <row r="2648" spans="1:8">
      <c r="A2648" s="178" t="str">
        <f>'3 - PLAN. ORÇAMENTÁRIA'!A481</f>
        <v>5.3.3.6</v>
      </c>
      <c r="B2648" s="178" t="str">
        <f>'3 - PLAN. ORÇAMENTÁRIA'!B481</f>
        <v>CCU 173</v>
      </c>
      <c r="C2648" s="631" t="str">
        <f>'3 - PLAN. ORÇAMENTÁRIA'!C481</f>
        <v>TC-11 TAMPA DE CONCRETO PRE-MOLDADA PERF. P/ CANALETA L=35CM REF. 16.05.048/SP EDUCAÇÃO</v>
      </c>
      <c r="D2648" s="632"/>
      <c r="E2648" s="632"/>
      <c r="F2648" s="632"/>
      <c r="G2648" s="633"/>
      <c r="H2648" s="400" t="str">
        <f>'3 - PLAN. ORÇAMENTÁRIA'!E481</f>
        <v>M</v>
      </c>
    </row>
    <row r="2649" spans="1:8">
      <c r="B2649" s="628" t="s">
        <v>593</v>
      </c>
      <c r="C2649" s="628"/>
      <c r="D2649" s="103" t="s">
        <v>579</v>
      </c>
      <c r="E2649" s="103" t="s">
        <v>580</v>
      </c>
      <c r="F2649" s="103" t="s">
        <v>581</v>
      </c>
      <c r="G2649" s="103" t="s">
        <v>582</v>
      </c>
      <c r="H2649" s="103" t="s">
        <v>583</v>
      </c>
    </row>
    <row r="2650" spans="1:8">
      <c r="B2650" s="159" t="s">
        <v>3646</v>
      </c>
      <c r="C2650" s="221" t="s">
        <v>3647</v>
      </c>
      <c r="D2650" s="159" t="s">
        <v>650</v>
      </c>
      <c r="E2650" s="159" t="s">
        <v>580</v>
      </c>
      <c r="F2650" s="174">
        <v>1.7</v>
      </c>
      <c r="G2650" s="160">
        <v>96.58</v>
      </c>
      <c r="H2650" s="160">
        <f t="shared" ref="H2650" si="90">ROUND(ROUND(F2650,8)*G2650,2)</f>
        <v>164.19</v>
      </c>
    </row>
    <row r="2651" spans="1:8">
      <c r="B2651" s="222"/>
      <c r="C2651" s="222"/>
      <c r="D2651" s="222"/>
      <c r="E2651" s="222"/>
      <c r="F2651" s="630" t="s">
        <v>604</v>
      </c>
      <c r="G2651" s="630"/>
      <c r="H2651" s="102">
        <f>H2650</f>
        <v>164.19</v>
      </c>
    </row>
    <row r="2652" spans="1:8">
      <c r="B2652" s="628" t="s">
        <v>607</v>
      </c>
      <c r="C2652" s="628"/>
      <c r="D2652" s="103" t="s">
        <v>579</v>
      </c>
      <c r="E2652" s="103" t="s">
        <v>580</v>
      </c>
      <c r="F2652" s="103" t="s">
        <v>581</v>
      </c>
      <c r="G2652" s="103" t="s">
        <v>582</v>
      </c>
      <c r="H2652" s="103" t="s">
        <v>583</v>
      </c>
    </row>
    <row r="2653" spans="1:8">
      <c r="B2653" s="159" t="s">
        <v>639</v>
      </c>
      <c r="C2653" s="221" t="s">
        <v>640</v>
      </c>
      <c r="D2653" s="159" t="s">
        <v>119</v>
      </c>
      <c r="E2653" s="159" t="s">
        <v>121</v>
      </c>
      <c r="F2653" s="174">
        <v>0.25</v>
      </c>
      <c r="G2653" s="160">
        <v>31.34</v>
      </c>
      <c r="H2653" s="160">
        <f>ROUND(ROUND(F2653,8)*G2653,2)</f>
        <v>7.84</v>
      </c>
    </row>
    <row r="2654" spans="1:8">
      <c r="B2654" s="159" t="s">
        <v>625</v>
      </c>
      <c r="C2654" s="221" t="s">
        <v>626</v>
      </c>
      <c r="D2654" s="159" t="s">
        <v>119</v>
      </c>
      <c r="E2654" s="159" t="s">
        <v>121</v>
      </c>
      <c r="F2654" s="174">
        <v>0.5</v>
      </c>
      <c r="G2654" s="160">
        <v>23.75</v>
      </c>
      <c r="H2654" s="160">
        <f>ROUND(ROUND(F2654,8)*G2654,2)</f>
        <v>11.88</v>
      </c>
    </row>
    <row r="2655" spans="1:8">
      <c r="B2655" s="222"/>
      <c r="C2655" s="222"/>
      <c r="D2655" s="222"/>
      <c r="E2655" s="222"/>
      <c r="F2655" s="630" t="s">
        <v>610</v>
      </c>
      <c r="G2655" s="630"/>
      <c r="H2655" s="102">
        <f>H2653+H2654</f>
        <v>19.72</v>
      </c>
    </row>
    <row r="2656" spans="1:8">
      <c r="B2656" s="222"/>
      <c r="C2656" s="222"/>
      <c r="D2656" s="222"/>
      <c r="E2656" s="222"/>
      <c r="F2656" s="630" t="s">
        <v>464</v>
      </c>
      <c r="G2656" s="630"/>
      <c r="H2656" s="102">
        <f>H2655+H2651</f>
        <v>183.91</v>
      </c>
    </row>
    <row r="2657" spans="1:9">
      <c r="B2657" s="222"/>
      <c r="C2657" s="222"/>
      <c r="D2657" s="222"/>
      <c r="E2657" s="222"/>
      <c r="F2657" s="398"/>
      <c r="G2657" s="398"/>
      <c r="H2657" s="401"/>
    </row>
    <row r="2658" spans="1:9">
      <c r="A2658" s="178" t="str">
        <f>'3 - PLAN. ORÇAMENTÁRIA'!A482</f>
        <v>5.3.3.7</v>
      </c>
      <c r="B2658" s="178" t="str">
        <f>'3 - PLAN. ORÇAMENTÁRIA'!B482</f>
        <v>CCU 175</v>
      </c>
      <c r="C2658" s="631" t="str">
        <f>'3 - PLAN. ORÇAMENTÁRIA'!C482</f>
        <v>TC-09 TAMPA DE CONCRETO PRE-MOLDADA PERF. P/ CANALETA L=20CM REF. 16.05.046/SP EDUCAÇÃO</v>
      </c>
      <c r="D2658" s="632"/>
      <c r="E2658" s="632"/>
      <c r="F2658" s="632"/>
      <c r="G2658" s="633"/>
      <c r="H2658" s="400" t="str">
        <f>'3 - PLAN. ORÇAMENTÁRIA'!E482</f>
        <v>M</v>
      </c>
    </row>
    <row r="2659" spans="1:9">
      <c r="B2659" s="628" t="s">
        <v>593</v>
      </c>
      <c r="C2659" s="628"/>
      <c r="D2659" s="103" t="s">
        <v>579</v>
      </c>
      <c r="E2659" s="103" t="s">
        <v>580</v>
      </c>
      <c r="F2659" s="103" t="s">
        <v>581</v>
      </c>
      <c r="G2659" s="103" t="s">
        <v>582</v>
      </c>
      <c r="H2659" s="103" t="s">
        <v>583</v>
      </c>
    </row>
    <row r="2660" spans="1:9">
      <c r="B2660" s="159" t="s">
        <v>3648</v>
      </c>
      <c r="C2660" s="221" t="s">
        <v>3649</v>
      </c>
      <c r="D2660" s="159" t="s">
        <v>650</v>
      </c>
      <c r="E2660" s="159" t="s">
        <v>580</v>
      </c>
      <c r="F2660" s="174">
        <v>1.7</v>
      </c>
      <c r="G2660" s="160">
        <v>43.69</v>
      </c>
      <c r="H2660" s="160">
        <f t="shared" ref="H2660" si="91">ROUND(ROUND(F2660,8)*G2660,2)</f>
        <v>74.27</v>
      </c>
    </row>
    <row r="2661" spans="1:9">
      <c r="B2661" s="222"/>
      <c r="C2661" s="222"/>
      <c r="D2661" s="222"/>
      <c r="E2661" s="222"/>
      <c r="F2661" s="630" t="s">
        <v>604</v>
      </c>
      <c r="G2661" s="630"/>
      <c r="H2661" s="102">
        <f>H2660</f>
        <v>74.27</v>
      </c>
    </row>
    <row r="2662" spans="1:9">
      <c r="B2662" s="628" t="s">
        <v>607</v>
      </c>
      <c r="C2662" s="628"/>
      <c r="D2662" s="103" t="s">
        <v>579</v>
      </c>
      <c r="E2662" s="103" t="s">
        <v>580</v>
      </c>
      <c r="F2662" s="103" t="s">
        <v>581</v>
      </c>
      <c r="G2662" s="103" t="s">
        <v>582</v>
      </c>
      <c r="H2662" s="103" t="s">
        <v>583</v>
      </c>
    </row>
    <row r="2663" spans="1:9">
      <c r="B2663" s="159" t="s">
        <v>639</v>
      </c>
      <c r="C2663" s="221" t="s">
        <v>640</v>
      </c>
      <c r="D2663" s="159" t="s">
        <v>119</v>
      </c>
      <c r="E2663" s="159" t="s">
        <v>121</v>
      </c>
      <c r="F2663" s="174">
        <v>0.25</v>
      </c>
      <c r="G2663" s="160">
        <v>31.34</v>
      </c>
      <c r="H2663" s="160">
        <f>ROUND(ROUND(F2663,8)*G2663,2)</f>
        <v>7.84</v>
      </c>
    </row>
    <row r="2664" spans="1:9">
      <c r="B2664" s="159" t="s">
        <v>625</v>
      </c>
      <c r="C2664" s="221" t="s">
        <v>626</v>
      </c>
      <c r="D2664" s="159" t="s">
        <v>119</v>
      </c>
      <c r="E2664" s="159" t="s">
        <v>121</v>
      </c>
      <c r="F2664" s="174">
        <v>0.5</v>
      </c>
      <c r="G2664" s="160">
        <v>23.75</v>
      </c>
      <c r="H2664" s="160">
        <f>ROUND(ROUND(F2664,8)*G2664,2)</f>
        <v>11.88</v>
      </c>
    </row>
    <row r="2665" spans="1:9">
      <c r="B2665" s="222"/>
      <c r="C2665" s="222"/>
      <c r="D2665" s="222"/>
      <c r="E2665" s="222"/>
      <c r="F2665" s="630" t="s">
        <v>610</v>
      </c>
      <c r="G2665" s="630"/>
      <c r="H2665" s="102">
        <f>H2663+H2664</f>
        <v>19.72</v>
      </c>
    </row>
    <row r="2666" spans="1:9">
      <c r="B2666" s="222"/>
      <c r="C2666" s="222"/>
      <c r="D2666" s="222"/>
      <c r="E2666" s="222"/>
      <c r="F2666" s="630" t="s">
        <v>464</v>
      </c>
      <c r="G2666" s="630"/>
      <c r="H2666" s="102">
        <f>H2665+H2661</f>
        <v>93.99</v>
      </c>
    </row>
    <row r="2667" spans="1:9">
      <c r="B2667" s="222"/>
      <c r="C2667" s="222"/>
      <c r="D2667" s="222"/>
      <c r="E2667" s="222"/>
      <c r="F2667" s="398"/>
      <c r="G2667" s="398"/>
      <c r="H2667" s="401"/>
    </row>
    <row r="2668" spans="1:9">
      <c r="B2668" s="222"/>
      <c r="C2668" s="222"/>
      <c r="D2668" s="222"/>
      <c r="E2668" s="222"/>
      <c r="F2668" s="398"/>
      <c r="G2668" s="398"/>
      <c r="H2668" s="401"/>
    </row>
    <row r="2669" spans="1:9">
      <c r="B2669" s="222"/>
      <c r="C2669" s="222"/>
      <c r="D2669" s="222"/>
      <c r="E2669" s="222"/>
      <c r="F2669" s="398"/>
      <c r="G2669" s="398"/>
      <c r="H2669" s="401"/>
    </row>
    <row r="2670" spans="1:9">
      <c r="A2670" s="650" t="s">
        <v>2782</v>
      </c>
      <c r="B2670" s="650"/>
      <c r="C2670" s="650"/>
      <c r="D2670" s="650"/>
      <c r="E2670" s="650"/>
      <c r="F2670" s="650"/>
      <c r="G2670" s="650"/>
      <c r="H2670" s="650"/>
      <c r="I2670" s="650"/>
    </row>
    <row r="2671" spans="1:9">
      <c r="A2671" s="650"/>
      <c r="B2671" s="650"/>
      <c r="C2671" s="650"/>
      <c r="D2671" s="650"/>
      <c r="E2671" s="650"/>
      <c r="F2671" s="650"/>
      <c r="G2671" s="650"/>
      <c r="H2671" s="650"/>
      <c r="I2671" s="650"/>
    </row>
    <row r="2672" spans="1:9">
      <c r="A2672" s="650"/>
      <c r="B2672" s="650"/>
      <c r="C2672" s="650"/>
      <c r="D2672" s="650"/>
      <c r="E2672" s="650"/>
      <c r="F2672" s="650"/>
      <c r="G2672" s="650"/>
      <c r="H2672" s="650"/>
      <c r="I2672" s="650"/>
    </row>
    <row r="2674" spans="1:8">
      <c r="A2674" s="178" t="str">
        <f>'3 - PLAN. ORÇAMENTÁRIA'!A315</f>
        <v>4.3.8</v>
      </c>
      <c r="B2674" s="178" t="str">
        <f>'3 - PLAN. ORÇAMENTÁRIA'!B315</f>
        <v>CCU 010</v>
      </c>
      <c r="C2674" s="631" t="str">
        <f>'3 - PLAN. ORÇAMENTÁRIA'!C315</f>
        <v>CESTO COLETOR RESÍDUO (LIXEIRA) METÁLICO DUPLO QUADRADO PADRÃO SLU MQD REF. 18.76.04/SUDECAP</v>
      </c>
      <c r="D2674" s="632"/>
      <c r="E2674" s="632"/>
      <c r="F2674" s="632"/>
      <c r="G2674" s="633"/>
      <c r="H2674" s="131" t="s">
        <v>144</v>
      </c>
    </row>
    <row r="2675" spans="1:8">
      <c r="B2675" s="628" t="s">
        <v>593</v>
      </c>
      <c r="C2675" s="628"/>
      <c r="D2675" s="103" t="s">
        <v>579</v>
      </c>
      <c r="E2675" s="103" t="s">
        <v>580</v>
      </c>
      <c r="F2675" s="103" t="s">
        <v>581</v>
      </c>
      <c r="G2675" s="103" t="s">
        <v>582</v>
      </c>
      <c r="H2675" s="103" t="s">
        <v>583</v>
      </c>
    </row>
    <row r="2676" spans="1:8">
      <c r="B2676" s="173" t="s">
        <v>2783</v>
      </c>
      <c r="C2676" s="221" t="s">
        <v>2784</v>
      </c>
      <c r="D2676" s="159" t="s">
        <v>2785</v>
      </c>
      <c r="E2676" s="159" t="s">
        <v>580</v>
      </c>
      <c r="F2676" s="174">
        <v>1</v>
      </c>
      <c r="G2676" s="160">
        <v>950</v>
      </c>
      <c r="H2676" s="160">
        <f>ROUND(ROUND(F2676,8)*G2676,2)</f>
        <v>950</v>
      </c>
    </row>
    <row r="2677" spans="1:8">
      <c r="B2677" s="222"/>
      <c r="C2677" s="222"/>
      <c r="D2677" s="222"/>
      <c r="E2677" s="222"/>
      <c r="F2677" s="630" t="s">
        <v>604</v>
      </c>
      <c r="G2677" s="630"/>
      <c r="H2677" s="102">
        <f>H2676</f>
        <v>950</v>
      </c>
    </row>
    <row r="2678" spans="1:8">
      <c r="B2678" s="628" t="s">
        <v>584</v>
      </c>
      <c r="C2678" s="628"/>
      <c r="D2678" s="103" t="s">
        <v>579</v>
      </c>
      <c r="E2678" s="103" t="s">
        <v>580</v>
      </c>
      <c r="F2678" s="103" t="s">
        <v>581</v>
      </c>
      <c r="G2678" s="103" t="s">
        <v>582</v>
      </c>
      <c r="H2678" s="103" t="s">
        <v>583</v>
      </c>
    </row>
    <row r="2679" spans="1:8">
      <c r="B2679" s="159">
        <v>88309</v>
      </c>
      <c r="C2679" s="221" t="s">
        <v>640</v>
      </c>
      <c r="D2679" s="159" t="s">
        <v>119</v>
      </c>
      <c r="E2679" s="159" t="s">
        <v>121</v>
      </c>
      <c r="F2679" s="174">
        <v>0.3</v>
      </c>
      <c r="G2679" s="160">
        <v>31.34</v>
      </c>
      <c r="H2679" s="160">
        <f>ROUND(ROUND(F2679,8)*G2679,2)</f>
        <v>9.4</v>
      </c>
    </row>
    <row r="2680" spans="1:8">
      <c r="B2680" s="159">
        <v>88316</v>
      </c>
      <c r="C2680" s="221" t="s">
        <v>626</v>
      </c>
      <c r="D2680" s="159" t="s">
        <v>119</v>
      </c>
      <c r="E2680" s="159" t="s">
        <v>121</v>
      </c>
      <c r="F2680" s="174">
        <v>0.3</v>
      </c>
      <c r="G2680" s="160">
        <v>23.75</v>
      </c>
      <c r="H2680" s="160">
        <f>ROUND(ROUND(F2680,8)*G2680,2)</f>
        <v>7.13</v>
      </c>
    </row>
    <row r="2681" spans="1:8">
      <c r="B2681" s="222"/>
      <c r="C2681" s="222"/>
      <c r="D2681" s="222"/>
      <c r="E2681" s="222"/>
      <c r="F2681" s="630" t="s">
        <v>585</v>
      </c>
      <c r="G2681" s="630"/>
      <c r="H2681" s="102">
        <f>SUM(H2679:H2680)</f>
        <v>16.53</v>
      </c>
    </row>
    <row r="2682" spans="1:8">
      <c r="B2682" s="628" t="s">
        <v>586</v>
      </c>
      <c r="C2682" s="628"/>
      <c r="D2682" s="103" t="s">
        <v>579</v>
      </c>
      <c r="E2682" s="103" t="s">
        <v>580</v>
      </c>
      <c r="F2682" s="103" t="s">
        <v>581</v>
      </c>
      <c r="G2682" s="103" t="s">
        <v>582</v>
      </c>
      <c r="H2682" s="103" t="s">
        <v>583</v>
      </c>
    </row>
    <row r="2683" spans="1:8" ht="25.5">
      <c r="B2683" s="159">
        <v>102486</v>
      </c>
      <c r="C2683" s="221" t="s">
        <v>1572</v>
      </c>
      <c r="D2683" s="159" t="s">
        <v>119</v>
      </c>
      <c r="E2683" s="159" t="s">
        <v>167</v>
      </c>
      <c r="F2683" s="174">
        <v>2.7E-2</v>
      </c>
      <c r="G2683" s="160">
        <v>803.7</v>
      </c>
      <c r="H2683" s="160">
        <f>ROUND(ROUND(F2683,8)*G2683,2)</f>
        <v>21.7</v>
      </c>
    </row>
    <row r="2684" spans="1:8">
      <c r="B2684" s="222"/>
      <c r="C2684" s="222"/>
      <c r="D2684" s="222"/>
      <c r="E2684" s="222"/>
      <c r="F2684" s="630" t="s">
        <v>585</v>
      </c>
      <c r="G2684" s="630"/>
      <c r="H2684" s="102">
        <f>H2683</f>
        <v>21.7</v>
      </c>
    </row>
    <row r="2685" spans="1:8">
      <c r="B2685" s="222"/>
      <c r="C2685" s="222"/>
      <c r="D2685" s="222"/>
      <c r="E2685" s="222"/>
      <c r="F2685" s="630" t="s">
        <v>464</v>
      </c>
      <c r="G2685" s="630"/>
      <c r="H2685" s="102">
        <f>H2677+H2681+H2684</f>
        <v>988.23</v>
      </c>
    </row>
    <row r="2687" spans="1:8">
      <c r="A2687" s="178" t="str">
        <f>'3 - PLAN. ORÇAMENTÁRIA'!A320</f>
        <v>4.3.13</v>
      </c>
      <c r="B2687" s="178" t="str">
        <f>'3 - PLAN. ORÇAMENTÁRIA'!B320</f>
        <v>CCU 168</v>
      </c>
      <c r="C2687" s="631" t="str">
        <f>'3 - PLAN. ORÇAMENTÁRIA'!C320</f>
        <v>TUTORAMENTO E AMARRIO PARA ARVORES REF. 21.34.05/SUDECAP</v>
      </c>
      <c r="D2687" s="632"/>
      <c r="E2687" s="632"/>
      <c r="F2687" s="632"/>
      <c r="G2687" s="633"/>
      <c r="H2687" s="377" t="str">
        <f>'3 - PLAN. ORÇAMENTÁRIA'!E320</f>
        <v>UN</v>
      </c>
    </row>
    <row r="2688" spans="1:8">
      <c r="B2688" s="628" t="s">
        <v>593</v>
      </c>
      <c r="C2688" s="628"/>
      <c r="D2688" s="103" t="s">
        <v>579</v>
      </c>
      <c r="E2688" s="103" t="s">
        <v>580</v>
      </c>
      <c r="F2688" s="103" t="s">
        <v>581</v>
      </c>
      <c r="G2688" s="103" t="s">
        <v>582</v>
      </c>
      <c r="H2688" s="103" t="s">
        <v>583</v>
      </c>
    </row>
    <row r="2689" spans="1:9">
      <c r="B2689" s="159" t="s">
        <v>3600</v>
      </c>
      <c r="C2689" s="221" t="s">
        <v>3599</v>
      </c>
      <c r="D2689" s="159" t="s">
        <v>2785</v>
      </c>
      <c r="E2689" s="159" t="s">
        <v>173</v>
      </c>
      <c r="F2689" s="174">
        <v>1</v>
      </c>
      <c r="G2689" s="160">
        <v>1.58</v>
      </c>
      <c r="H2689" s="160">
        <f>ROUND(ROUND(F2689,8)*G2689,2)</f>
        <v>1.58</v>
      </c>
    </row>
    <row r="2690" spans="1:9">
      <c r="B2690" s="173" t="s">
        <v>3681</v>
      </c>
      <c r="C2690" s="221" t="s">
        <v>3682</v>
      </c>
      <c r="D2690" s="159" t="s">
        <v>2785</v>
      </c>
      <c r="E2690" s="159" t="s">
        <v>173</v>
      </c>
      <c r="F2690" s="174">
        <v>2.2999999999999998</v>
      </c>
      <c r="G2690" s="160">
        <v>12.63</v>
      </c>
      <c r="H2690" s="160">
        <f>ROUND(ROUND(F2690,8)*G2690,2)</f>
        <v>29.05</v>
      </c>
    </row>
    <row r="2691" spans="1:9">
      <c r="B2691" s="222"/>
      <c r="C2691" s="222"/>
      <c r="D2691" s="222"/>
      <c r="E2691" s="222"/>
      <c r="F2691" s="630" t="s">
        <v>604</v>
      </c>
      <c r="G2691" s="630"/>
      <c r="H2691" s="102">
        <f>H2689+H2690</f>
        <v>30.630000000000003</v>
      </c>
    </row>
    <row r="2692" spans="1:9">
      <c r="B2692" s="628" t="s">
        <v>584</v>
      </c>
      <c r="C2692" s="628"/>
      <c r="D2692" s="103" t="s">
        <v>579</v>
      </c>
      <c r="E2692" s="103" t="s">
        <v>580</v>
      </c>
      <c r="F2692" s="103" t="s">
        <v>581</v>
      </c>
      <c r="G2692" s="103" t="s">
        <v>582</v>
      </c>
      <c r="H2692" s="103" t="s">
        <v>583</v>
      </c>
    </row>
    <row r="2693" spans="1:9">
      <c r="B2693" s="159">
        <v>88309</v>
      </c>
      <c r="C2693" s="221" t="s">
        <v>634</v>
      </c>
      <c r="D2693" s="159" t="s">
        <v>119</v>
      </c>
      <c r="E2693" s="159" t="s">
        <v>121</v>
      </c>
      <c r="F2693" s="174">
        <v>0.3</v>
      </c>
      <c r="G2693" s="160">
        <v>28</v>
      </c>
      <c r="H2693" s="160">
        <f>ROUND(ROUND(F2693,8)*G2693,2)</f>
        <v>8.4</v>
      </c>
    </row>
    <row r="2694" spans="1:9">
      <c r="B2694" s="159">
        <v>88316</v>
      </c>
      <c r="C2694" s="221" t="s">
        <v>626</v>
      </c>
      <c r="D2694" s="159" t="s">
        <v>119</v>
      </c>
      <c r="E2694" s="159" t="s">
        <v>121</v>
      </c>
      <c r="F2694" s="174">
        <v>0.3</v>
      </c>
      <c r="G2694" s="160">
        <v>23.75</v>
      </c>
      <c r="H2694" s="160">
        <f>ROUND(ROUND(F2694,8)*G2694,2)</f>
        <v>7.13</v>
      </c>
    </row>
    <row r="2695" spans="1:9">
      <c r="B2695" s="222"/>
      <c r="C2695" s="222"/>
      <c r="D2695" s="222"/>
      <c r="E2695" s="222"/>
      <c r="F2695" s="630" t="s">
        <v>585</v>
      </c>
      <c r="G2695" s="630"/>
      <c r="H2695" s="102">
        <f>H2693+H2694</f>
        <v>15.530000000000001</v>
      </c>
    </row>
    <row r="2696" spans="1:9">
      <c r="B2696" s="222"/>
      <c r="C2696" s="222"/>
      <c r="D2696" s="222"/>
      <c r="E2696" s="222"/>
      <c r="F2696" s="630" t="s">
        <v>464</v>
      </c>
      <c r="G2696" s="630"/>
      <c r="H2696" s="102">
        <f>H2691+H2695</f>
        <v>46.160000000000004</v>
      </c>
    </row>
    <row r="2698" spans="1:9">
      <c r="A2698" s="178" t="str">
        <f>'3 - PLAN. ORÇAMENTÁRIA'!A339</f>
        <v>4.3.32</v>
      </c>
      <c r="B2698" s="178" t="str">
        <f>'3 - PLAN. ORÇAMENTÁRIA'!B339</f>
        <v>CCU 138</v>
      </c>
      <c r="C2698" s="631" t="str">
        <f>'3 - PLAN. ORÇAMENTÁRIA'!C339</f>
        <v>CAMADA SEPARADORA DE FILME DE POLIETILENO 20 A 25 MICRA REF 38365 REF. 61.20.01/SUDECAP</v>
      </c>
      <c r="D2698" s="632"/>
      <c r="E2698" s="632"/>
      <c r="F2698" s="632"/>
      <c r="G2698" s="633"/>
      <c r="H2698" s="511" t="str">
        <f>'3 - PLAN. ORÇAMENTÁRIA'!E339</f>
        <v>M2</v>
      </c>
    </row>
    <row r="2699" spans="1:9">
      <c r="F2699" s="630" t="s">
        <v>464</v>
      </c>
      <c r="G2699" s="630"/>
      <c r="H2699" s="102">
        <v>1.91</v>
      </c>
    </row>
    <row r="2703" spans="1:9">
      <c r="A2703" s="650" t="s">
        <v>3341</v>
      </c>
      <c r="B2703" s="650"/>
      <c r="C2703" s="650"/>
      <c r="D2703" s="650"/>
      <c r="E2703" s="650"/>
      <c r="F2703" s="650"/>
      <c r="G2703" s="650"/>
      <c r="H2703" s="650"/>
      <c r="I2703" s="650"/>
    </row>
    <row r="2704" spans="1:9">
      <c r="A2704" s="650"/>
      <c r="B2704" s="650"/>
      <c r="C2704" s="650"/>
      <c r="D2704" s="650"/>
      <c r="E2704" s="650"/>
      <c r="F2704" s="650"/>
      <c r="G2704" s="650"/>
      <c r="H2704" s="650"/>
      <c r="I2704" s="650"/>
    </row>
    <row r="2705" spans="1:9">
      <c r="A2705" s="650"/>
      <c r="B2705" s="650"/>
      <c r="C2705" s="650"/>
      <c r="D2705" s="650"/>
      <c r="E2705" s="650"/>
      <c r="F2705" s="650"/>
      <c r="G2705" s="650"/>
      <c r="H2705" s="650"/>
      <c r="I2705" s="650"/>
    </row>
    <row r="2707" spans="1:9" ht="27.75" customHeight="1">
      <c r="A2707" s="178" t="str">
        <f>'3 - PLAN. ORÇAMENTÁRIA'!A272</f>
        <v>4.1.6.1.19</v>
      </c>
      <c r="B2707" s="178" t="str">
        <f>'3 - PLAN. ORÇAMENTÁRIA'!B272</f>
        <v>CCU 027</v>
      </c>
      <c r="C2707" s="638" t="str">
        <f>'3 - PLAN. ORÇAMENTÁRIA'!C272</f>
        <v>BARRA DE APOIO LATERAL EM "U", EM AÇO INOX 1.1/4 - 30 CM REF. 230178/GOINFRA CIVIL</v>
      </c>
      <c r="D2707" s="632"/>
      <c r="E2707" s="632"/>
      <c r="F2707" s="632"/>
      <c r="G2707" s="633"/>
      <c r="H2707" s="348" t="str">
        <f>'3 - PLAN. ORÇAMENTÁRIA'!E272</f>
        <v>UN</v>
      </c>
    </row>
    <row r="2708" spans="1:9">
      <c r="B2708" s="628" t="s">
        <v>593</v>
      </c>
      <c r="C2708" s="628"/>
      <c r="D2708" s="103" t="s">
        <v>579</v>
      </c>
      <c r="E2708" s="103" t="s">
        <v>580</v>
      </c>
      <c r="F2708" s="103" t="s">
        <v>581</v>
      </c>
      <c r="G2708" s="103" t="s">
        <v>582</v>
      </c>
      <c r="H2708" s="103" t="s">
        <v>583</v>
      </c>
    </row>
    <row r="2709" spans="1:9">
      <c r="B2709" s="159" t="s">
        <v>3342</v>
      </c>
      <c r="C2709" s="221" t="s">
        <v>3343</v>
      </c>
      <c r="D2709" s="159" t="s">
        <v>3344</v>
      </c>
      <c r="E2709" s="159" t="s">
        <v>1053</v>
      </c>
      <c r="F2709" s="174">
        <v>1</v>
      </c>
      <c r="G2709" s="160">
        <v>150</v>
      </c>
      <c r="H2709" s="160">
        <f>ROUND(ROUND(F2709,8)*G2709,2)</f>
        <v>150</v>
      </c>
    </row>
    <row r="2710" spans="1:9">
      <c r="B2710" s="222"/>
      <c r="C2710" s="222"/>
      <c r="D2710" s="222"/>
      <c r="E2710" s="222"/>
      <c r="F2710" s="630" t="s">
        <v>604</v>
      </c>
      <c r="G2710" s="630"/>
      <c r="H2710" s="102">
        <f>H2709</f>
        <v>150</v>
      </c>
    </row>
    <row r="2711" spans="1:9">
      <c r="B2711" s="628" t="s">
        <v>584</v>
      </c>
      <c r="C2711" s="628"/>
      <c r="D2711" s="103" t="s">
        <v>579</v>
      </c>
      <c r="E2711" s="103" t="s">
        <v>580</v>
      </c>
      <c r="F2711" s="103" t="s">
        <v>581</v>
      </c>
      <c r="G2711" s="103" t="s">
        <v>582</v>
      </c>
      <c r="H2711" s="103" t="s">
        <v>583</v>
      </c>
    </row>
    <row r="2712" spans="1:9">
      <c r="B2712" s="159">
        <v>88242</v>
      </c>
      <c r="C2712" s="221" t="s">
        <v>3345</v>
      </c>
      <c r="D2712" s="159" t="s">
        <v>119</v>
      </c>
      <c r="E2712" s="159" t="s">
        <v>121</v>
      </c>
      <c r="F2712" s="174">
        <v>0.35</v>
      </c>
      <c r="G2712" s="160">
        <v>24.62</v>
      </c>
      <c r="H2712" s="160">
        <f>ROUND(ROUND(F2712,8)*G2712,2)</f>
        <v>8.6199999999999992</v>
      </c>
    </row>
    <row r="2713" spans="1:9">
      <c r="B2713" s="159">
        <v>88267</v>
      </c>
      <c r="C2713" s="221" t="s">
        <v>612</v>
      </c>
      <c r="D2713" s="159" t="s">
        <v>119</v>
      </c>
      <c r="E2713" s="159" t="s">
        <v>121</v>
      </c>
      <c r="F2713" s="174">
        <v>0.35</v>
      </c>
      <c r="G2713" s="160">
        <v>30.62</v>
      </c>
      <c r="H2713" s="160">
        <f>ROUND(ROUND(F2713,8)*G2713,2)</f>
        <v>10.72</v>
      </c>
    </row>
    <row r="2714" spans="1:9">
      <c r="B2714" s="344"/>
      <c r="C2714" s="223"/>
      <c r="D2714" s="344"/>
      <c r="E2714" s="344"/>
      <c r="F2714" s="630" t="s">
        <v>2146</v>
      </c>
      <c r="G2714" s="630" t="s">
        <v>2137</v>
      </c>
      <c r="H2714" s="102">
        <f>SUM(H2712:H2713)</f>
        <v>19.34</v>
      </c>
    </row>
    <row r="2715" spans="1:9">
      <c r="B2715" s="222"/>
      <c r="C2715" s="222"/>
      <c r="D2715" s="222"/>
      <c r="E2715" s="222"/>
      <c r="F2715" s="645" t="s">
        <v>464</v>
      </c>
      <c r="G2715" s="645"/>
      <c r="H2715" s="158">
        <f>H2714+H2710</f>
        <v>169.34</v>
      </c>
    </row>
    <row r="2717" spans="1:9">
      <c r="A2717" s="178" t="str">
        <f>'3 - PLAN. ORÇAMENTÁRIA'!A275</f>
        <v>4.1.6.1.22</v>
      </c>
      <c r="B2717" s="178" t="str">
        <f>'3 - PLAN. ORÇAMENTÁRIA'!B275</f>
        <v>CCU 028</v>
      </c>
      <c r="C2717" s="638" t="str">
        <f>'3 - PLAN. ORÇAMENTÁRIA'!C275</f>
        <v>BARRA DE APOIO EM AÇO INOX - 40 CM REF. 230174/GOINFRA CIVIL</v>
      </c>
      <c r="D2717" s="632"/>
      <c r="E2717" s="632"/>
      <c r="F2717" s="632"/>
      <c r="G2717" s="633"/>
      <c r="H2717" s="348" t="str">
        <f>'3 - PLAN. ORÇAMENTÁRIA'!E275</f>
        <v>UN</v>
      </c>
    </row>
    <row r="2718" spans="1:9">
      <c r="B2718" s="628" t="s">
        <v>593</v>
      </c>
      <c r="C2718" s="628"/>
      <c r="D2718" s="103" t="s">
        <v>579</v>
      </c>
      <c r="E2718" s="103" t="s">
        <v>580</v>
      </c>
      <c r="F2718" s="103" t="s">
        <v>581</v>
      </c>
      <c r="G2718" s="103" t="s">
        <v>582</v>
      </c>
      <c r="H2718" s="103" t="s">
        <v>583</v>
      </c>
    </row>
    <row r="2719" spans="1:9">
      <c r="B2719" s="159" t="s">
        <v>3346</v>
      </c>
      <c r="C2719" s="221" t="s">
        <v>3347</v>
      </c>
      <c r="D2719" s="159" t="s">
        <v>3344</v>
      </c>
      <c r="E2719" s="159" t="s">
        <v>1053</v>
      </c>
      <c r="F2719" s="174">
        <v>1</v>
      </c>
      <c r="G2719" s="160">
        <v>71.77</v>
      </c>
      <c r="H2719" s="160">
        <f>ROUND(ROUND(F2719,8)*G2719,2)</f>
        <v>71.77</v>
      </c>
    </row>
    <row r="2720" spans="1:9">
      <c r="B2720" s="222"/>
      <c r="C2720" s="222"/>
      <c r="D2720" s="222"/>
      <c r="E2720" s="222"/>
      <c r="F2720" s="630" t="s">
        <v>604</v>
      </c>
      <c r="G2720" s="630"/>
      <c r="H2720" s="102">
        <f>H2719</f>
        <v>71.77</v>
      </c>
    </row>
    <row r="2721" spans="1:8">
      <c r="B2721" s="628" t="s">
        <v>584</v>
      </c>
      <c r="C2721" s="628"/>
      <c r="D2721" s="103" t="s">
        <v>579</v>
      </c>
      <c r="E2721" s="103" t="s">
        <v>580</v>
      </c>
      <c r="F2721" s="103" t="s">
        <v>581</v>
      </c>
      <c r="G2721" s="103" t="s">
        <v>582</v>
      </c>
      <c r="H2721" s="103" t="s">
        <v>583</v>
      </c>
    </row>
    <row r="2722" spans="1:8">
      <c r="B2722" s="159">
        <v>88242</v>
      </c>
      <c r="C2722" s="221" t="s">
        <v>3345</v>
      </c>
      <c r="D2722" s="159" t="s">
        <v>119</v>
      </c>
      <c r="E2722" s="159" t="s">
        <v>121</v>
      </c>
      <c r="F2722" s="174">
        <v>0.35</v>
      </c>
      <c r="G2722" s="160">
        <v>24.62</v>
      </c>
      <c r="H2722" s="160">
        <f>ROUND(ROUND(F2722,8)*G2722,2)</f>
        <v>8.6199999999999992</v>
      </c>
    </row>
    <row r="2723" spans="1:8">
      <c r="B2723" s="159">
        <v>88267</v>
      </c>
      <c r="C2723" s="221" t="s">
        <v>612</v>
      </c>
      <c r="D2723" s="159" t="s">
        <v>119</v>
      </c>
      <c r="E2723" s="159" t="s">
        <v>121</v>
      </c>
      <c r="F2723" s="174">
        <v>0.35</v>
      </c>
      <c r="G2723" s="160">
        <v>30.62</v>
      </c>
      <c r="H2723" s="160">
        <f>ROUND(ROUND(F2723,8)*G2723,2)</f>
        <v>10.72</v>
      </c>
    </row>
    <row r="2724" spans="1:8">
      <c r="B2724" s="344"/>
      <c r="C2724" s="223"/>
      <c r="D2724" s="344"/>
      <c r="E2724" s="344"/>
      <c r="F2724" s="630" t="s">
        <v>2146</v>
      </c>
      <c r="G2724" s="630" t="s">
        <v>2137</v>
      </c>
      <c r="H2724" s="102">
        <f>SUM(H2722:H2723)</f>
        <v>19.34</v>
      </c>
    </row>
    <row r="2725" spans="1:8">
      <c r="B2725" s="222"/>
      <c r="C2725" s="222"/>
      <c r="D2725" s="222"/>
      <c r="E2725" s="222"/>
      <c r="F2725" s="645" t="s">
        <v>464</v>
      </c>
      <c r="G2725" s="645"/>
      <c r="H2725" s="158">
        <f>H2724+H2720</f>
        <v>91.11</v>
      </c>
    </row>
    <row r="2727" spans="1:8" ht="26.25" customHeight="1">
      <c r="A2727" s="178" t="str">
        <f>'3 - PLAN. ORÇAMENTÁRIA'!A384</f>
        <v>4.4.4.1</v>
      </c>
      <c r="B2727" s="178" t="str">
        <f>'3 - PLAN. ORÇAMENTÁRIA'!B384</f>
        <v>CCU 165</v>
      </c>
      <c r="C2727" s="638" t="str">
        <f>'3 - PLAN. ORÇAMENTÁRIA'!C384</f>
        <v>GRADIL EM AÇO GALVANIZADO, ELETROSOLDADO, COM PINTURA ELETROSTÁTICA EM POLIÉSTER, MALHA 5X20 CM; FIO 5,0 MM, L=2,50 M E H = 2,03 M - NYLOFOR OU EQUIVALENTE REF. 270720/GOINFRA CIVIL</v>
      </c>
      <c r="D2727" s="632"/>
      <c r="E2727" s="632"/>
      <c r="F2727" s="632"/>
      <c r="G2727" s="633"/>
      <c r="H2727" s="424" t="str">
        <f>'3 - PLAN. ORÇAMENTÁRIA'!E384</f>
        <v>M</v>
      </c>
    </row>
    <row r="2728" spans="1:8">
      <c r="B2728" s="651" t="s">
        <v>593</v>
      </c>
      <c r="C2728" s="651"/>
      <c r="D2728" s="231" t="s">
        <v>579</v>
      </c>
      <c r="E2728" s="231" t="s">
        <v>580</v>
      </c>
      <c r="F2728" s="231" t="s">
        <v>581</v>
      </c>
      <c r="G2728" s="231" t="s">
        <v>582</v>
      </c>
      <c r="H2728" s="231" t="s">
        <v>583</v>
      </c>
    </row>
    <row r="2729" spans="1:8">
      <c r="B2729" s="425" t="s">
        <v>3761</v>
      </c>
      <c r="C2729" s="426" t="s">
        <v>3762</v>
      </c>
      <c r="D2729" s="425" t="s">
        <v>3344</v>
      </c>
      <c r="E2729" s="425" t="s">
        <v>624</v>
      </c>
      <c r="F2729" s="427">
        <v>1.06E-2</v>
      </c>
      <c r="G2729" s="428">
        <v>158.57</v>
      </c>
      <c r="H2729" s="160">
        <f t="shared" ref="H2729:H2737" si="92">ROUND(ROUND(F2729,8)*G2729,2)</f>
        <v>1.68</v>
      </c>
    </row>
    <row r="2730" spans="1:8">
      <c r="B2730" s="425" t="s">
        <v>3763</v>
      </c>
      <c r="C2730" s="426" t="s">
        <v>3764</v>
      </c>
      <c r="D2730" s="425" t="s">
        <v>3344</v>
      </c>
      <c r="E2730" s="425" t="s">
        <v>624</v>
      </c>
      <c r="F2730" s="427">
        <v>2.3999999999999998E-3</v>
      </c>
      <c r="G2730" s="428">
        <v>156.6</v>
      </c>
      <c r="H2730" s="160">
        <f t="shared" si="92"/>
        <v>0.38</v>
      </c>
    </row>
    <row r="2731" spans="1:8">
      <c r="B2731" s="425" t="s">
        <v>3765</v>
      </c>
      <c r="C2731" s="426" t="s">
        <v>3766</v>
      </c>
      <c r="D2731" s="425" t="s">
        <v>3344</v>
      </c>
      <c r="E2731" s="425" t="s">
        <v>624</v>
      </c>
      <c r="F2731" s="427">
        <v>7.1999999999999998E-3</v>
      </c>
      <c r="G2731" s="428">
        <v>150.80000000000001</v>
      </c>
      <c r="H2731" s="160">
        <f t="shared" si="92"/>
        <v>1.0900000000000001</v>
      </c>
    </row>
    <row r="2732" spans="1:8">
      <c r="B2732" s="425" t="s">
        <v>3767</v>
      </c>
      <c r="C2732" s="426" t="s">
        <v>3768</v>
      </c>
      <c r="D2732" s="425" t="s">
        <v>3344</v>
      </c>
      <c r="E2732" s="425" t="s">
        <v>3769</v>
      </c>
      <c r="F2732" s="427">
        <v>3.22</v>
      </c>
      <c r="G2732" s="428">
        <v>0.65</v>
      </c>
      <c r="H2732" s="160">
        <f t="shared" si="92"/>
        <v>2.09</v>
      </c>
    </row>
    <row r="2733" spans="1:8" ht="25.5">
      <c r="B2733" s="425" t="s">
        <v>3770</v>
      </c>
      <c r="C2733" s="426" t="s">
        <v>3771</v>
      </c>
      <c r="D2733" s="425" t="s">
        <v>3344</v>
      </c>
      <c r="E2733" s="425" t="s">
        <v>613</v>
      </c>
      <c r="F2733" s="427">
        <v>2.4491999999999998</v>
      </c>
      <c r="G2733" s="428">
        <v>3.86</v>
      </c>
      <c r="H2733" s="160">
        <f t="shared" si="92"/>
        <v>9.4499999999999993</v>
      </c>
    </row>
    <row r="2734" spans="1:8" ht="25.5">
      <c r="B2734" s="425" t="s">
        <v>3772</v>
      </c>
      <c r="C2734" s="426" t="s">
        <v>3773</v>
      </c>
      <c r="D2734" s="425" t="s">
        <v>3344</v>
      </c>
      <c r="E2734" s="425" t="s">
        <v>613</v>
      </c>
      <c r="F2734" s="427">
        <v>0.39679999999999999</v>
      </c>
      <c r="G2734" s="428">
        <v>686.31</v>
      </c>
      <c r="H2734" s="160">
        <f t="shared" si="92"/>
        <v>272.33</v>
      </c>
    </row>
    <row r="2735" spans="1:8">
      <c r="B2735" s="425" t="s">
        <v>3774</v>
      </c>
      <c r="C2735" s="426" t="s">
        <v>3775</v>
      </c>
      <c r="D2735" s="425" t="s">
        <v>3344</v>
      </c>
      <c r="E2735" s="425" t="s">
        <v>614</v>
      </c>
      <c r="F2735" s="427">
        <v>0.55520000000000003</v>
      </c>
      <c r="G2735" s="428">
        <v>8.2799999999999994</v>
      </c>
      <c r="H2735" s="160">
        <f t="shared" si="92"/>
        <v>4.5999999999999996</v>
      </c>
    </row>
    <row r="2736" spans="1:8">
      <c r="B2736" s="425" t="s">
        <v>3776</v>
      </c>
      <c r="C2736" s="426" t="s">
        <v>3777</v>
      </c>
      <c r="D2736" s="425" t="s">
        <v>3344</v>
      </c>
      <c r="E2736" s="425" t="s">
        <v>613</v>
      </c>
      <c r="F2736" s="427">
        <v>0.40820000000000001</v>
      </c>
      <c r="G2736" s="428">
        <v>231.64</v>
      </c>
      <c r="H2736" s="160">
        <f t="shared" si="92"/>
        <v>94.56</v>
      </c>
    </row>
    <row r="2737" spans="1:8">
      <c r="B2737" s="425" t="s">
        <v>3778</v>
      </c>
      <c r="C2737" s="426" t="s">
        <v>3779</v>
      </c>
      <c r="D2737" s="425" t="s">
        <v>3344</v>
      </c>
      <c r="E2737" s="425" t="s">
        <v>613</v>
      </c>
      <c r="F2737" s="427">
        <v>0.40820000000000001</v>
      </c>
      <c r="G2737" s="428">
        <v>3.09</v>
      </c>
      <c r="H2737" s="160">
        <f t="shared" si="92"/>
        <v>1.26</v>
      </c>
    </row>
    <row r="2738" spans="1:8">
      <c r="B2738" s="156"/>
      <c r="C2738" s="156"/>
      <c r="D2738" s="156"/>
      <c r="E2738" s="156"/>
      <c r="F2738" s="653" t="s">
        <v>604</v>
      </c>
      <c r="G2738" s="653"/>
      <c r="H2738" s="429">
        <f>SUM(H2729:H2737)</f>
        <v>387.44</v>
      </c>
    </row>
    <row r="2739" spans="1:8">
      <c r="B2739" s="656" t="s">
        <v>584</v>
      </c>
      <c r="C2739" s="656"/>
      <c r="D2739" s="255" t="s">
        <v>579</v>
      </c>
      <c r="E2739" s="255" t="s">
        <v>580</v>
      </c>
      <c r="F2739" s="255" t="s">
        <v>581</v>
      </c>
      <c r="G2739" s="255" t="s">
        <v>582</v>
      </c>
      <c r="H2739" s="255" t="s">
        <v>583</v>
      </c>
    </row>
    <row r="2740" spans="1:8">
      <c r="B2740" s="425" t="s">
        <v>3780</v>
      </c>
      <c r="C2740" s="426" t="s">
        <v>3781</v>
      </c>
      <c r="D2740" s="425" t="s">
        <v>3344</v>
      </c>
      <c r="E2740" s="425" t="s">
        <v>619</v>
      </c>
      <c r="F2740" s="427">
        <v>7.4000000000000003E-3</v>
      </c>
      <c r="G2740" s="428">
        <v>17.670000000000002</v>
      </c>
      <c r="H2740" s="160">
        <f>ROUND(ROUND(F2740,8)*G2740,2)</f>
        <v>0.13</v>
      </c>
    </row>
    <row r="2741" spans="1:8">
      <c r="B2741" s="156"/>
      <c r="C2741" s="156"/>
      <c r="D2741" s="156"/>
      <c r="E2741" s="156"/>
      <c r="F2741" s="653" t="s">
        <v>585</v>
      </c>
      <c r="G2741" s="653"/>
      <c r="H2741" s="429">
        <f>H2740</f>
        <v>0.13</v>
      </c>
    </row>
    <row r="2742" spans="1:8">
      <c r="B2742" s="656" t="s">
        <v>607</v>
      </c>
      <c r="C2742" s="656"/>
      <c r="D2742" s="255" t="s">
        <v>579</v>
      </c>
      <c r="E2742" s="255" t="s">
        <v>580</v>
      </c>
      <c r="F2742" s="255" t="s">
        <v>581</v>
      </c>
      <c r="G2742" s="255" t="s">
        <v>582</v>
      </c>
      <c r="H2742" s="255" t="s">
        <v>583</v>
      </c>
    </row>
    <row r="2743" spans="1:8">
      <c r="B2743" s="425" t="s">
        <v>639</v>
      </c>
      <c r="C2743" s="426" t="s">
        <v>640</v>
      </c>
      <c r="D2743" s="425" t="s">
        <v>119</v>
      </c>
      <c r="E2743" s="425" t="s">
        <v>121</v>
      </c>
      <c r="F2743" s="427">
        <v>1.2875000000000001</v>
      </c>
      <c r="G2743" s="428">
        <v>31.34</v>
      </c>
      <c r="H2743" s="160">
        <f t="shared" ref="H2743:H2744" si="93">ROUND(ROUND(F2743,8)*G2743,2)</f>
        <v>40.35</v>
      </c>
    </row>
    <row r="2744" spans="1:8">
      <c r="B2744" s="425" t="s">
        <v>625</v>
      </c>
      <c r="C2744" s="426" t="s">
        <v>626</v>
      </c>
      <c r="D2744" s="425" t="s">
        <v>119</v>
      </c>
      <c r="E2744" s="425" t="s">
        <v>121</v>
      </c>
      <c r="F2744" s="427">
        <v>1.4300999999999999</v>
      </c>
      <c r="G2744" s="428">
        <v>23.75</v>
      </c>
      <c r="H2744" s="160">
        <f t="shared" si="93"/>
        <v>33.96</v>
      </c>
    </row>
    <row r="2745" spans="1:8">
      <c r="B2745" s="464"/>
      <c r="C2745" s="464"/>
      <c r="D2745" s="464"/>
      <c r="E2745" s="464"/>
      <c r="F2745" s="653" t="s">
        <v>610</v>
      </c>
      <c r="G2745" s="653"/>
      <c r="H2745" s="429">
        <f>H2743+H2744</f>
        <v>74.31</v>
      </c>
    </row>
    <row r="2746" spans="1:8">
      <c r="B2746" s="156"/>
      <c r="C2746" s="156"/>
      <c r="D2746" s="156"/>
      <c r="E2746" s="156"/>
      <c r="F2746" s="657" t="s">
        <v>3782</v>
      </c>
      <c r="G2746" s="657"/>
      <c r="H2746" s="158">
        <f>H2745+H2741+H2738</f>
        <v>461.88</v>
      </c>
    </row>
    <row r="2748" spans="1:8">
      <c r="A2748" s="178" t="str">
        <f>'3 - PLAN. ORÇAMENTÁRIA'!A379</f>
        <v>4.4.3.3</v>
      </c>
      <c r="B2748" s="178" t="str">
        <f>'3 - PLAN. ORÇAMENTÁRIA'!B379</f>
        <v>CCU 043</v>
      </c>
      <c r="C2748" s="638" t="str">
        <f>'3 - PLAN. ORÇAMENTÁRIA'!C379</f>
        <v>PORTINHOLA DE ABRIR DE 01 FOLHA DE VIDRO C/FERRAGENS REF. 180502/GOINFRA CIVIL</v>
      </c>
      <c r="D2748" s="632"/>
      <c r="E2748" s="632"/>
      <c r="F2748" s="632"/>
      <c r="G2748" s="633"/>
      <c r="H2748" s="460" t="str">
        <f>'3 - PLAN. ORÇAMENTÁRIA'!E379</f>
        <v>M2</v>
      </c>
    </row>
    <row r="2749" spans="1:8">
      <c r="B2749" s="651" t="s">
        <v>593</v>
      </c>
      <c r="C2749" s="651"/>
      <c r="D2749" s="231" t="s">
        <v>579</v>
      </c>
      <c r="E2749" s="231" t="s">
        <v>580</v>
      </c>
      <c r="F2749" s="231" t="s">
        <v>581</v>
      </c>
      <c r="G2749" s="231" t="s">
        <v>582</v>
      </c>
      <c r="H2749" s="231" t="s">
        <v>583</v>
      </c>
    </row>
    <row r="2750" spans="1:8">
      <c r="B2750" s="463" t="s">
        <v>3901</v>
      </c>
      <c r="C2750" s="426" t="s">
        <v>3902</v>
      </c>
      <c r="D2750" s="425" t="s">
        <v>3344</v>
      </c>
      <c r="E2750" s="425" t="s">
        <v>624</v>
      </c>
      <c r="F2750" s="427">
        <v>1.43E-2</v>
      </c>
      <c r="G2750" s="428">
        <v>183.55</v>
      </c>
      <c r="H2750" s="160">
        <f t="shared" ref="H2750:H2760" si="94">ROUND(ROUND(F2750,8)*G2750,2)</f>
        <v>2.62</v>
      </c>
    </row>
    <row r="2751" spans="1:8">
      <c r="B2751" s="425">
        <v>2372</v>
      </c>
      <c r="C2751" s="426" t="s">
        <v>3903</v>
      </c>
      <c r="D2751" s="425" t="s">
        <v>3344</v>
      </c>
      <c r="E2751" s="425" t="s">
        <v>3769</v>
      </c>
      <c r="F2751" s="427">
        <v>16.916699999999999</v>
      </c>
      <c r="G2751" s="428">
        <v>9.18</v>
      </c>
      <c r="H2751" s="160">
        <f t="shared" si="94"/>
        <v>155.30000000000001</v>
      </c>
    </row>
    <row r="2752" spans="1:8">
      <c r="B2752" s="425">
        <v>1215</v>
      </c>
      <c r="C2752" s="426" t="s">
        <v>3768</v>
      </c>
      <c r="D2752" s="425" t="s">
        <v>119</v>
      </c>
      <c r="E2752" s="425" t="s">
        <v>3769</v>
      </c>
      <c r="F2752" s="427">
        <v>5</v>
      </c>
      <c r="G2752" s="428">
        <v>0.65</v>
      </c>
      <c r="H2752" s="160">
        <f t="shared" si="94"/>
        <v>3.25</v>
      </c>
    </row>
    <row r="2753" spans="2:8" ht="38.25">
      <c r="B2753" s="463" t="s">
        <v>3887</v>
      </c>
      <c r="C2753" s="426" t="s">
        <v>3904</v>
      </c>
      <c r="D2753" s="425" t="s">
        <v>3344</v>
      </c>
      <c r="E2753" s="425" t="s">
        <v>315</v>
      </c>
      <c r="F2753" s="427">
        <v>1</v>
      </c>
      <c r="G2753" s="428">
        <v>159.88999999999999</v>
      </c>
      <c r="H2753" s="160">
        <f t="shared" si="94"/>
        <v>159.88999999999999</v>
      </c>
    </row>
    <row r="2754" spans="2:8">
      <c r="B2754" s="425">
        <v>1334</v>
      </c>
      <c r="C2754" s="426" t="s">
        <v>3905</v>
      </c>
      <c r="D2754" s="425" t="s">
        <v>3344</v>
      </c>
      <c r="E2754" s="425" t="s">
        <v>613</v>
      </c>
      <c r="F2754" s="427">
        <v>0.19409999999999999</v>
      </c>
      <c r="G2754" s="428">
        <v>11.03</v>
      </c>
      <c r="H2754" s="160">
        <f t="shared" si="94"/>
        <v>2.14</v>
      </c>
    </row>
    <row r="2755" spans="2:8">
      <c r="B2755" s="425">
        <v>1264</v>
      </c>
      <c r="C2755" s="426" t="s">
        <v>3906</v>
      </c>
      <c r="D2755" s="425" t="s">
        <v>3344</v>
      </c>
      <c r="E2755" s="425" t="s">
        <v>613</v>
      </c>
      <c r="F2755" s="427">
        <v>5.9499999999999997E-2</v>
      </c>
      <c r="G2755" s="428">
        <v>15.02</v>
      </c>
      <c r="H2755" s="160">
        <f t="shared" si="94"/>
        <v>0.89</v>
      </c>
    </row>
    <row r="2756" spans="2:8">
      <c r="B2756" s="425">
        <v>2246</v>
      </c>
      <c r="C2756" s="426" t="s">
        <v>3907</v>
      </c>
      <c r="D2756" s="425" t="s">
        <v>3344</v>
      </c>
      <c r="E2756" s="425" t="s">
        <v>3769</v>
      </c>
      <c r="F2756" s="427">
        <v>0.1376</v>
      </c>
      <c r="G2756" s="428">
        <v>27.4</v>
      </c>
      <c r="H2756" s="160">
        <f t="shared" si="94"/>
        <v>3.77</v>
      </c>
    </row>
    <row r="2757" spans="2:8">
      <c r="B2757" s="425">
        <v>2927</v>
      </c>
      <c r="C2757" s="426" t="s">
        <v>3908</v>
      </c>
      <c r="D2757" s="425" t="s">
        <v>3344</v>
      </c>
      <c r="E2757" s="425" t="s">
        <v>613</v>
      </c>
      <c r="F2757" s="427">
        <v>1</v>
      </c>
      <c r="G2757" s="428">
        <v>115.78</v>
      </c>
      <c r="H2757" s="160">
        <f t="shared" si="94"/>
        <v>115.78</v>
      </c>
    </row>
    <row r="2758" spans="2:8">
      <c r="B2758" s="425">
        <v>1672</v>
      </c>
      <c r="C2758" s="426" t="s">
        <v>3909</v>
      </c>
      <c r="D2758" s="425" t="s">
        <v>3344</v>
      </c>
      <c r="E2758" s="425" t="s">
        <v>613</v>
      </c>
      <c r="F2758" s="427">
        <v>0.29759999999999998</v>
      </c>
      <c r="G2758" s="428">
        <v>2.99</v>
      </c>
      <c r="H2758" s="160">
        <f t="shared" si="94"/>
        <v>0.89</v>
      </c>
    </row>
    <row r="2759" spans="2:8">
      <c r="B2759" s="425">
        <v>2417</v>
      </c>
      <c r="C2759" s="426" t="s">
        <v>3910</v>
      </c>
      <c r="D2759" s="425" t="s">
        <v>3344</v>
      </c>
      <c r="E2759" s="425" t="s">
        <v>3769</v>
      </c>
      <c r="F2759" s="427">
        <v>0.23810000000000001</v>
      </c>
      <c r="G2759" s="428">
        <v>31.59</v>
      </c>
      <c r="H2759" s="160">
        <f t="shared" si="94"/>
        <v>7.52</v>
      </c>
    </row>
    <row r="2760" spans="2:8">
      <c r="B2760" s="463" t="s">
        <v>1560</v>
      </c>
      <c r="C2760" s="426" t="s">
        <v>1561</v>
      </c>
      <c r="D2760" s="425" t="s">
        <v>119</v>
      </c>
      <c r="E2760" s="425" t="s">
        <v>139</v>
      </c>
      <c r="F2760" s="427">
        <v>1</v>
      </c>
      <c r="G2760" s="428">
        <v>706.15</v>
      </c>
      <c r="H2760" s="160">
        <f t="shared" si="94"/>
        <v>706.15</v>
      </c>
    </row>
    <row r="2761" spans="2:8">
      <c r="B2761" s="156"/>
      <c r="C2761" s="156"/>
      <c r="D2761" s="156"/>
      <c r="E2761" s="156"/>
      <c r="F2761" s="653" t="s">
        <v>604</v>
      </c>
      <c r="G2761" s="653"/>
      <c r="H2761" s="429">
        <f>SUM(H2750:H2760)</f>
        <v>1158.1999999999998</v>
      </c>
    </row>
    <row r="2762" spans="2:8">
      <c r="B2762" s="656" t="s">
        <v>607</v>
      </c>
      <c r="C2762" s="656"/>
      <c r="D2762" s="255" t="s">
        <v>579</v>
      </c>
      <c r="E2762" s="255" t="s">
        <v>580</v>
      </c>
      <c r="F2762" s="255" t="s">
        <v>581</v>
      </c>
      <c r="G2762" s="255" t="s">
        <v>582</v>
      </c>
      <c r="H2762" s="255" t="s">
        <v>583</v>
      </c>
    </row>
    <row r="2763" spans="2:8">
      <c r="B2763" s="425" t="s">
        <v>639</v>
      </c>
      <c r="C2763" s="426" t="s">
        <v>640</v>
      </c>
      <c r="D2763" s="425" t="s">
        <v>119</v>
      </c>
      <c r="E2763" s="425" t="s">
        <v>121</v>
      </c>
      <c r="F2763" s="427">
        <v>1.3187</v>
      </c>
      <c r="G2763" s="428">
        <v>31.34</v>
      </c>
      <c r="H2763" s="160">
        <f t="shared" ref="H2763:H2764" si="95">ROUND(ROUND(F2763,8)*G2763,2)</f>
        <v>41.33</v>
      </c>
    </row>
    <row r="2764" spans="2:8">
      <c r="B2764" s="425" t="s">
        <v>625</v>
      </c>
      <c r="C2764" s="426" t="s">
        <v>626</v>
      </c>
      <c r="D2764" s="425" t="s">
        <v>119</v>
      </c>
      <c r="E2764" s="425" t="s">
        <v>121</v>
      </c>
      <c r="F2764" s="427">
        <v>1.2222999999999999</v>
      </c>
      <c r="G2764" s="428">
        <v>23.75</v>
      </c>
      <c r="H2764" s="160">
        <f t="shared" si="95"/>
        <v>29.03</v>
      </c>
    </row>
    <row r="2765" spans="2:8">
      <c r="B2765" s="464"/>
      <c r="C2765" s="464"/>
      <c r="D2765" s="464"/>
      <c r="E2765" s="464"/>
      <c r="F2765" s="653" t="s">
        <v>610</v>
      </c>
      <c r="G2765" s="653"/>
      <c r="H2765" s="429">
        <f>H2763+H2764</f>
        <v>70.36</v>
      </c>
    </row>
    <row r="2766" spans="2:8">
      <c r="B2766" s="156"/>
      <c r="C2766" s="156"/>
      <c r="D2766" s="156"/>
      <c r="E2766" s="156"/>
      <c r="F2766" s="657" t="s">
        <v>3782</v>
      </c>
      <c r="G2766" s="657"/>
      <c r="H2766" s="158">
        <f>H2765+H2761</f>
        <v>1228.5599999999997</v>
      </c>
    </row>
    <row r="2770" spans="1:9" ht="109.5" customHeight="1">
      <c r="A2770" s="654" t="s">
        <v>765</v>
      </c>
      <c r="B2770" s="654"/>
      <c r="C2770" s="654"/>
      <c r="D2770" s="654"/>
      <c r="E2770" s="654"/>
      <c r="F2770" s="654"/>
      <c r="G2770" s="654"/>
      <c r="H2770" s="654"/>
      <c r="I2770" s="654"/>
    </row>
  </sheetData>
  <mergeCells count="1274">
    <mergeCell ref="A7:I9"/>
    <mergeCell ref="C11:G11"/>
    <mergeCell ref="B12:C12"/>
    <mergeCell ref="F20:G20"/>
    <mergeCell ref="F21:G21"/>
    <mergeCell ref="F1052:G1052"/>
    <mergeCell ref="F1053:G1053"/>
    <mergeCell ref="C1057:G1057"/>
    <mergeCell ref="B1058:C1058"/>
    <mergeCell ref="B946:C946"/>
    <mergeCell ref="F950:G950"/>
    <mergeCell ref="B951:C951"/>
    <mergeCell ref="F1021:G1021"/>
    <mergeCell ref="C1402:G1402"/>
    <mergeCell ref="B1383:C1383"/>
    <mergeCell ref="F1196:G1196"/>
    <mergeCell ref="B1197:C1197"/>
    <mergeCell ref="F1201:G1201"/>
    <mergeCell ref="B1202:C1202"/>
    <mergeCell ref="F1206:G1206"/>
    <mergeCell ref="B1207:C1207"/>
    <mergeCell ref="F1210:G1210"/>
    <mergeCell ref="F1072:G1072"/>
    <mergeCell ref="F1073:G1073"/>
    <mergeCell ref="B1334:C1334"/>
    <mergeCell ref="F816:G816"/>
    <mergeCell ref="C770:G770"/>
    <mergeCell ref="C854:G854"/>
    <mergeCell ref="B855:C855"/>
    <mergeCell ref="F857:G857"/>
    <mergeCell ref="F845:G845"/>
    <mergeCell ref="F836:G836"/>
    <mergeCell ref="B2721:C2721"/>
    <mergeCell ref="F2677:G2677"/>
    <mergeCell ref="C2674:G2674"/>
    <mergeCell ref="B2682:C2682"/>
    <mergeCell ref="F2684:G2684"/>
    <mergeCell ref="A2670:I2672"/>
    <mergeCell ref="F2720:G2720"/>
    <mergeCell ref="B1794:C1794"/>
    <mergeCell ref="F2201:G2201"/>
    <mergeCell ref="B2381:C2381"/>
    <mergeCell ref="F1574:G1574"/>
    <mergeCell ref="B1823:C1823"/>
    <mergeCell ref="F1798:G1798"/>
    <mergeCell ref="C2687:G2687"/>
    <mergeCell ref="F2646:G2646"/>
    <mergeCell ref="F1940:G1940"/>
    <mergeCell ref="F1856:G1856"/>
    <mergeCell ref="F1876:G1876"/>
    <mergeCell ref="B1774:C1774"/>
    <mergeCell ref="F1776:G1776"/>
    <mergeCell ref="F2149:G2149"/>
    <mergeCell ref="B2150:C2150"/>
    <mergeCell ref="F2010:G2010"/>
    <mergeCell ref="B2011:C2011"/>
    <mergeCell ref="C2282:G2282"/>
    <mergeCell ref="F2283:G2283"/>
    <mergeCell ref="C2446:G2446"/>
    <mergeCell ref="B2447:C2447"/>
    <mergeCell ref="F2450:G2450"/>
    <mergeCell ref="B2451:C2451"/>
    <mergeCell ref="F2454:G2454"/>
    <mergeCell ref="F2455:G2455"/>
    <mergeCell ref="F2655:G2655"/>
    <mergeCell ref="F2656:G2656"/>
    <mergeCell ref="C2658:G2658"/>
    <mergeCell ref="B2659:C2659"/>
    <mergeCell ref="C2313:G2313"/>
    <mergeCell ref="C2386:G2386"/>
    <mergeCell ref="F2293:G2293"/>
    <mergeCell ref="B2649:C2649"/>
    <mergeCell ref="F2651:G2651"/>
    <mergeCell ref="B2652:C2652"/>
    <mergeCell ref="B2306:C2306"/>
    <mergeCell ref="E1125:F1125"/>
    <mergeCell ref="B1049:C1049"/>
    <mergeCell ref="C1192:G1192"/>
    <mergeCell ref="B1193:C1193"/>
    <mergeCell ref="F1161:G1161"/>
    <mergeCell ref="F1186:G1186"/>
    <mergeCell ref="C1266:G1266"/>
    <mergeCell ref="B1267:C1267"/>
    <mergeCell ref="C1298:G1298"/>
    <mergeCell ref="B1299:C1299"/>
    <mergeCell ref="F1302:G1302"/>
    <mergeCell ref="B1303:C1303"/>
    <mergeCell ref="F1306:G1306"/>
    <mergeCell ref="F1307:G1307"/>
    <mergeCell ref="F2253:G2253"/>
    <mergeCell ref="C2257:G2257"/>
    <mergeCell ref="F2258:G2258"/>
    <mergeCell ref="C2262:G2262"/>
    <mergeCell ref="F2192:G2192"/>
    <mergeCell ref="C2225:G2225"/>
    <mergeCell ref="B2190:C2190"/>
    <mergeCell ref="F2121:G2121"/>
    <mergeCell ref="B2115:C2115"/>
    <mergeCell ref="C2129:G2129"/>
    <mergeCell ref="F2174:G2174"/>
    <mergeCell ref="B2047:C2047"/>
    <mergeCell ref="B2122:C2122"/>
    <mergeCell ref="B2105:C2105"/>
    <mergeCell ref="B2130:C2130"/>
    <mergeCell ref="F2631:G2631"/>
    <mergeCell ref="C2633:G2633"/>
    <mergeCell ref="C1077:G1077"/>
    <mergeCell ref="B2692:C2692"/>
    <mergeCell ref="F2695:G2695"/>
    <mergeCell ref="F2696:G2696"/>
    <mergeCell ref="B2678:C2678"/>
    <mergeCell ref="B2675:C2675"/>
    <mergeCell ref="B1270:C1270"/>
    <mergeCell ref="F1273:G1273"/>
    <mergeCell ref="F1274:G1274"/>
    <mergeCell ref="F1269:G1269"/>
    <mergeCell ref="C1276:G1276"/>
    <mergeCell ref="B1277:C1277"/>
    <mergeCell ref="F1280:G1280"/>
    <mergeCell ref="B1281:C1281"/>
    <mergeCell ref="F1284:G1284"/>
    <mergeCell ref="F1285:G1285"/>
    <mergeCell ref="C1287:G1287"/>
    <mergeCell ref="B1288:C1288"/>
    <mergeCell ref="F1291:G1291"/>
    <mergeCell ref="C2170:G2170"/>
    <mergeCell ref="F2161:G2161"/>
    <mergeCell ref="C2186:G2186"/>
    <mergeCell ref="F2178:G2178"/>
    <mergeCell ref="B2337:C2337"/>
    <mergeCell ref="F2340:G2340"/>
    <mergeCell ref="F2243:G2243"/>
    <mergeCell ref="F2395:G2395"/>
    <mergeCell ref="C2371:G2371"/>
    <mergeCell ref="F2309:G2309"/>
    <mergeCell ref="B2291:C2291"/>
    <mergeCell ref="F2661:G2661"/>
    <mergeCell ref="F2034:G2034"/>
    <mergeCell ref="F2630:G2630"/>
    <mergeCell ref="B2662:C2662"/>
    <mergeCell ref="F1979:G1979"/>
    <mergeCell ref="F1985:G1985"/>
    <mergeCell ref="B1986:C1986"/>
    <mergeCell ref="F1989:G1989"/>
    <mergeCell ref="F1990:G1990"/>
    <mergeCell ref="F2092:G2092"/>
    <mergeCell ref="F2117:G2117"/>
    <mergeCell ref="B2073:C2073"/>
    <mergeCell ref="C2006:G2006"/>
    <mergeCell ref="B2007:C2007"/>
    <mergeCell ref="F2326:G2326"/>
    <mergeCell ref="C2302:G2302"/>
    <mergeCell ref="C2235:G2235"/>
    <mergeCell ref="B2236:C2236"/>
    <mergeCell ref="F2297:G2297"/>
    <mergeCell ref="B2147:C2147"/>
    <mergeCell ref="B2393:C2393"/>
    <mergeCell ref="F2341:G2341"/>
    <mergeCell ref="B2322:C2322"/>
    <mergeCell ref="F2325:G2325"/>
    <mergeCell ref="F2231:G2231"/>
    <mergeCell ref="B2467:C2467"/>
    <mergeCell ref="F2469:G2469"/>
    <mergeCell ref="F2298:G2298"/>
    <mergeCell ref="B2372:C2372"/>
    <mergeCell ref="C2398:G2398"/>
    <mergeCell ref="F2383:G2383"/>
    <mergeCell ref="C2017:G2017"/>
    <mergeCell ref="F2035:G2035"/>
    <mergeCell ref="C2252:G2252"/>
    <mergeCell ref="C2157:G2157"/>
    <mergeCell ref="B1567:C1567"/>
    <mergeCell ref="C1330:G1330"/>
    <mergeCell ref="B1331:C1331"/>
    <mergeCell ref="B1977:C1977"/>
    <mergeCell ref="B1173:C1173"/>
    <mergeCell ref="F1177:G1177"/>
    <mergeCell ref="F1188:H1188"/>
    <mergeCell ref="F2014:G2014"/>
    <mergeCell ref="F2015:G2015"/>
    <mergeCell ref="F1398:G1398"/>
    <mergeCell ref="C1410:G1410"/>
    <mergeCell ref="F1562:G1562"/>
    <mergeCell ref="B2018:C2018"/>
    <mergeCell ref="F2020:G2020"/>
    <mergeCell ref="B2021:C2021"/>
    <mergeCell ref="F2024:G2024"/>
    <mergeCell ref="F2025:G2025"/>
    <mergeCell ref="B1974:C1974"/>
    <mergeCell ref="F1976:G1976"/>
    <mergeCell ref="F2104:G2104"/>
    <mergeCell ref="F2091:G2091"/>
    <mergeCell ref="C2101:G2101"/>
    <mergeCell ref="B2102:C2102"/>
    <mergeCell ref="B1292:C1292"/>
    <mergeCell ref="F1295:G1295"/>
    <mergeCell ref="F1980:G1980"/>
    <mergeCell ref="C1982:G1982"/>
    <mergeCell ref="B1983:C1983"/>
    <mergeCell ref="B1437:C1437"/>
    <mergeCell ref="F1441:G1441"/>
    <mergeCell ref="B1579:C1579"/>
    <mergeCell ref="F1581:G1581"/>
    <mergeCell ref="B1582:C1582"/>
    <mergeCell ref="F1575:H1575"/>
    <mergeCell ref="C1673:G1673"/>
    <mergeCell ref="B1415:C1415"/>
    <mergeCell ref="B1394:C1394"/>
    <mergeCell ref="B1714:C1714"/>
    <mergeCell ref="F1694:G1694"/>
    <mergeCell ref="C1541:G1541"/>
    <mergeCell ref="B1482:C1482"/>
    <mergeCell ref="F1645:G1645"/>
    <mergeCell ref="F1397:G1397"/>
    <mergeCell ref="F1658:H1658"/>
    <mergeCell ref="B1665:C1665"/>
    <mergeCell ref="F1669:G1669"/>
    <mergeCell ref="F1519:G1519"/>
    <mergeCell ref="F1563:H1563"/>
    <mergeCell ref="F1531:G1531"/>
    <mergeCell ref="F1557:G1557"/>
    <mergeCell ref="F1459:G1459"/>
    <mergeCell ref="F1460:G1460"/>
    <mergeCell ref="F1378:G1378"/>
    <mergeCell ref="F2665:G2665"/>
    <mergeCell ref="F2666:G2666"/>
    <mergeCell ref="F2639:G2639"/>
    <mergeCell ref="B2640:C2640"/>
    <mergeCell ref="F2645:G2645"/>
    <mergeCell ref="F2143:H2143"/>
    <mergeCell ref="B2118:C2118"/>
    <mergeCell ref="F2389:G2389"/>
    <mergeCell ref="F2384:G2384"/>
    <mergeCell ref="C2287:G2287"/>
    <mergeCell ref="B2294:C2294"/>
    <mergeCell ref="C2330:G2330"/>
    <mergeCell ref="C2247:G2247"/>
    <mergeCell ref="B2387:C2387"/>
    <mergeCell ref="B2405:C2405"/>
    <mergeCell ref="F2407:G2407"/>
    <mergeCell ref="F2135:G2135"/>
    <mergeCell ref="C2321:G2321"/>
    <mergeCell ref="C2618:G2618"/>
    <mergeCell ref="F2573:G2573"/>
    <mergeCell ref="C2595:G2595"/>
    <mergeCell ref="F2616:G2616"/>
    <mergeCell ref="F2248:G2248"/>
    <mergeCell ref="F2396:G2396"/>
    <mergeCell ref="F2412:G2412"/>
    <mergeCell ref="B2375:C2375"/>
    <mergeCell ref="B2583:C2583"/>
    <mergeCell ref="B2378:C2378"/>
    <mergeCell ref="F2374:G2374"/>
    <mergeCell ref="B2202:C2202"/>
    <mergeCell ref="F2204:G2204"/>
    <mergeCell ref="B2136:C2136"/>
    <mergeCell ref="F2418:G2418"/>
    <mergeCell ref="F1121:G1121"/>
    <mergeCell ref="F1122:H1122"/>
    <mergeCell ref="F1131:G1131"/>
    <mergeCell ref="B1078:C1078"/>
    <mergeCell ref="F1112:G1112"/>
    <mergeCell ref="F1063:G1063"/>
    <mergeCell ref="B1064:C1064"/>
    <mergeCell ref="F1068:G1068"/>
    <mergeCell ref="B1069:C1069"/>
    <mergeCell ref="C1231:G1231"/>
    <mergeCell ref="B2408:C2408"/>
    <mergeCell ref="F2401:G2401"/>
    <mergeCell ref="C1897:G1897"/>
    <mergeCell ref="B1898:C1898"/>
    <mergeCell ref="F1902:G1902"/>
    <mergeCell ref="C1773:G1773"/>
    <mergeCell ref="F1789:G1789"/>
    <mergeCell ref="F1219:G1219"/>
    <mergeCell ref="B1220:C1220"/>
    <mergeCell ref="F1803:G1803"/>
    <mergeCell ref="C1911:G1911"/>
    <mergeCell ref="F1524:G1524"/>
    <mergeCell ref="F1620:G1620"/>
    <mergeCell ref="B1614:C1614"/>
    <mergeCell ref="C1613:G1613"/>
    <mergeCell ref="F1608:G1608"/>
    <mergeCell ref="F1664:G1664"/>
    <mergeCell ref="F1668:G1668"/>
    <mergeCell ref="F1488:G1488"/>
    <mergeCell ref="C1422:G1422"/>
    <mergeCell ref="C1493:G1493"/>
    <mergeCell ref="F2263:G2263"/>
    <mergeCell ref="F730:G730"/>
    <mergeCell ref="F658:G658"/>
    <mergeCell ref="F692:G692"/>
    <mergeCell ref="C710:G710"/>
    <mergeCell ref="B676:C676"/>
    <mergeCell ref="F667:G667"/>
    <mergeCell ref="B672:C672"/>
    <mergeCell ref="C696:G696"/>
    <mergeCell ref="B702:C702"/>
    <mergeCell ref="F717:G717"/>
    <mergeCell ref="F713:G713"/>
    <mergeCell ref="F837:G837"/>
    <mergeCell ref="B909:C909"/>
    <mergeCell ref="B842:C842"/>
    <mergeCell ref="C841:G841"/>
    <mergeCell ref="C1685:G1685"/>
    <mergeCell ref="F1690:G1690"/>
    <mergeCell ref="F1573:G1573"/>
    <mergeCell ref="B1423:C1423"/>
    <mergeCell ref="F1536:G1536"/>
    <mergeCell ref="B799:C799"/>
    <mergeCell ref="B821:C821"/>
    <mergeCell ref="B829:C829"/>
    <mergeCell ref="B833:C833"/>
    <mergeCell ref="C785:G785"/>
    <mergeCell ref="F1031:G1031"/>
    <mergeCell ref="F1048:G1048"/>
    <mergeCell ref="B1044:C1044"/>
    <mergeCell ref="F1035:G1035"/>
    <mergeCell ref="C1037:G1037"/>
    <mergeCell ref="B1391:C1391"/>
    <mergeCell ref="B777:C777"/>
    <mergeCell ref="C905:G905"/>
    <mergeCell ref="C879:G879"/>
    <mergeCell ref="B884:C884"/>
    <mergeCell ref="F875:G875"/>
    <mergeCell ref="F789:G789"/>
    <mergeCell ref="C813:G813"/>
    <mergeCell ref="B790:C790"/>
    <mergeCell ref="F793:G793"/>
    <mergeCell ref="F1453:G1453"/>
    <mergeCell ref="B1403:C1403"/>
    <mergeCell ref="F1367:G1367"/>
    <mergeCell ref="B1216:C1216"/>
    <mergeCell ref="F1406:G1406"/>
    <mergeCell ref="F1241:G1241"/>
    <mergeCell ref="F1242:G1242"/>
    <mergeCell ref="F1211:G1211"/>
    <mergeCell ref="F1212:H1212"/>
    <mergeCell ref="C1168:G1168"/>
    <mergeCell ref="C1127:G1127"/>
    <mergeCell ref="B1128:C1128"/>
    <mergeCell ref="B1132:C1132"/>
    <mergeCell ref="C1140:G1140"/>
    <mergeCell ref="F1146:G1146"/>
    <mergeCell ref="F1223:G1223"/>
    <mergeCell ref="B1224:C1224"/>
    <mergeCell ref="F1226:G1226"/>
    <mergeCell ref="B1451:C1451"/>
    <mergeCell ref="B981:C981"/>
    <mergeCell ref="C989:G989"/>
    <mergeCell ref="F896:G896"/>
    <mergeCell ref="F912:G912"/>
    <mergeCell ref="F913:G913"/>
    <mergeCell ref="B906:C906"/>
    <mergeCell ref="B1005:C1005"/>
    <mergeCell ref="B931:C931"/>
    <mergeCell ref="F933:G933"/>
    <mergeCell ref="E1123:F1123"/>
    <mergeCell ref="F1172:G1172"/>
    <mergeCell ref="C1215:G1215"/>
    <mergeCell ref="B1141:C1141"/>
    <mergeCell ref="B806:C806"/>
    <mergeCell ref="F824:G824"/>
    <mergeCell ref="F838:H838"/>
    <mergeCell ref="F805:G805"/>
    <mergeCell ref="B1820:C1820"/>
    <mergeCell ref="C1819:G1819"/>
    <mergeCell ref="C1868:G1868"/>
    <mergeCell ref="B1869:C1869"/>
    <mergeCell ref="F1764:G1764"/>
    <mergeCell ref="F1109:G1109"/>
    <mergeCell ref="F1333:G1333"/>
    <mergeCell ref="F1117:G1117"/>
    <mergeCell ref="F1405:G1405"/>
    <mergeCell ref="C1390:G1390"/>
    <mergeCell ref="F1758:H1758"/>
    <mergeCell ref="F1757:G1757"/>
    <mergeCell ref="C1738:G1738"/>
    <mergeCell ref="B1638:C1638"/>
    <mergeCell ref="B1629:C1629"/>
    <mergeCell ref="F1709:G1709"/>
    <mergeCell ref="F1640:G1640"/>
    <mergeCell ref="B1691:C1691"/>
    <mergeCell ref="F1634:H1634"/>
    <mergeCell ref="F1657:G1657"/>
    <mergeCell ref="F1804:H1804"/>
    <mergeCell ref="F1729:G1729"/>
    <mergeCell ref="B1742:C1742"/>
    <mergeCell ref="F1525:H1525"/>
    <mergeCell ref="B1532:C1532"/>
    <mergeCell ref="F1584:G1584"/>
    <mergeCell ref="C1516:G1516"/>
    <mergeCell ref="F1227:G1227"/>
    <mergeCell ref="C1153:G1153"/>
    <mergeCell ref="F1355:G1355"/>
    <mergeCell ref="F1484:G1484"/>
    <mergeCell ref="B1754:C1754"/>
    <mergeCell ref="F1753:G1753"/>
    <mergeCell ref="F1745:G1745"/>
    <mergeCell ref="B1730:C1730"/>
    <mergeCell ref="F1632:G1632"/>
    <mergeCell ref="B1762:C1762"/>
    <mergeCell ref="F1670:H1670"/>
    <mergeCell ref="C1661:G1661"/>
    <mergeCell ref="B1662:C1662"/>
    <mergeCell ref="F1646:H1646"/>
    <mergeCell ref="F1716:G1716"/>
    <mergeCell ref="F1393:G1393"/>
    <mergeCell ref="B1411:C1411"/>
    <mergeCell ref="F1377:G1377"/>
    <mergeCell ref="F1366:G1366"/>
    <mergeCell ref="B1650:C1650"/>
    <mergeCell ref="B1653:C1653"/>
    <mergeCell ref="B1314:C1314"/>
    <mergeCell ref="F1322:G1322"/>
    <mergeCell ref="F1316:G1316"/>
    <mergeCell ref="C930:G930"/>
    <mergeCell ref="F1043:G1043"/>
    <mergeCell ref="B1032:C1032"/>
    <mergeCell ref="F1034:G1034"/>
    <mergeCell ref="B1232:C1232"/>
    <mergeCell ref="F1237:G1237"/>
    <mergeCell ref="F1187:G1187"/>
    <mergeCell ref="B1118:C1118"/>
    <mergeCell ref="F1120:G1120"/>
    <mergeCell ref="B1158:C1158"/>
    <mergeCell ref="B1162:C1162"/>
    <mergeCell ref="F1165:G1165"/>
    <mergeCell ref="F1166:G1166"/>
    <mergeCell ref="F1157:G1157"/>
    <mergeCell ref="C1382:G1382"/>
    <mergeCell ref="B1183:C1183"/>
    <mergeCell ref="C1649:G1649"/>
    <mergeCell ref="B1605:C1605"/>
    <mergeCell ref="F1616:G1616"/>
    <mergeCell ref="F1609:G1609"/>
    <mergeCell ref="C1637:G1637"/>
    <mergeCell ref="F1644:G1644"/>
    <mergeCell ref="F1628:G1628"/>
    <mergeCell ref="B1641:C1641"/>
    <mergeCell ref="B1617:C1617"/>
    <mergeCell ref="F1610:H1610"/>
    <mergeCell ref="F1586:H1586"/>
    <mergeCell ref="C1589:G1589"/>
    <mergeCell ref="F1622:H1622"/>
    <mergeCell ref="C1625:G1625"/>
    <mergeCell ref="B1626:C1626"/>
    <mergeCell ref="F1313:G1313"/>
    <mergeCell ref="B1924:C1924"/>
    <mergeCell ref="F1941:G1941"/>
    <mergeCell ref="C1973:G1973"/>
    <mergeCell ref="C1934:G1934"/>
    <mergeCell ref="F1816:H1816"/>
    <mergeCell ref="F1844:G1844"/>
    <mergeCell ref="F1756:G1756"/>
    <mergeCell ref="C1761:G1761"/>
    <mergeCell ref="C1807:G1807"/>
    <mergeCell ref="F1802:G1802"/>
    <mergeCell ref="B1808:C1808"/>
    <mergeCell ref="B1811:C1811"/>
    <mergeCell ref="B1674:C1674"/>
    <mergeCell ref="F1633:G1633"/>
    <mergeCell ref="F2064:G2064"/>
    <mergeCell ref="B1686:C1686"/>
    <mergeCell ref="B1677:C1677"/>
    <mergeCell ref="F1696:H1696"/>
    <mergeCell ref="B1872:C1872"/>
    <mergeCell ref="F1875:G1875"/>
    <mergeCell ref="C1860:G1860"/>
    <mergeCell ref="B1861:C1861"/>
    <mergeCell ref="F1863:G1863"/>
    <mergeCell ref="B1845:C1845"/>
    <mergeCell ref="F1855:G1855"/>
    <mergeCell ref="B1785:C1785"/>
    <mergeCell ref="F1788:G1788"/>
    <mergeCell ref="F1784:G1784"/>
    <mergeCell ref="F1810:G1810"/>
    <mergeCell ref="F1864:G1864"/>
    <mergeCell ref="F1704:G1704"/>
    <mergeCell ref="B1884:C1884"/>
    <mergeCell ref="B1912:C1912"/>
    <mergeCell ref="B1570:C1570"/>
    <mergeCell ref="F1681:G1681"/>
    <mergeCell ref="F940:G940"/>
    <mergeCell ref="F874:G874"/>
    <mergeCell ref="F1431:G1431"/>
    <mergeCell ref="F1476:G1476"/>
    <mergeCell ref="B1229:H1229"/>
    <mergeCell ref="F1585:G1585"/>
    <mergeCell ref="F1597:G1597"/>
    <mergeCell ref="F1598:H1598"/>
    <mergeCell ref="F1592:G1592"/>
    <mergeCell ref="F887:G887"/>
    <mergeCell ref="F888:G888"/>
    <mergeCell ref="F954:G954"/>
    <mergeCell ref="F1569:G1569"/>
    <mergeCell ref="F1652:G1652"/>
    <mergeCell ref="B1739:C1739"/>
    <mergeCell ref="B1700:C1700"/>
    <mergeCell ref="F1889:G1889"/>
    <mergeCell ref="F1734:G1734"/>
    <mergeCell ref="F1741:G1741"/>
    <mergeCell ref="B1751:C1751"/>
    <mergeCell ref="F1427:G1427"/>
    <mergeCell ref="B1147:C1147"/>
    <mergeCell ref="F1150:G1150"/>
    <mergeCell ref="F1151:G1151"/>
    <mergeCell ref="B1356:C1356"/>
    <mergeCell ref="B1178:C1178"/>
    <mergeCell ref="F1182:G1182"/>
    <mergeCell ref="E1124:F1124"/>
    <mergeCell ref="B1717:C1717"/>
    <mergeCell ref="F861:G861"/>
    <mergeCell ref="F862:G862"/>
    <mergeCell ref="F985:G985"/>
    <mergeCell ref="C1750:G1750"/>
    <mergeCell ref="B1765:C1765"/>
    <mergeCell ref="F1768:G1768"/>
    <mergeCell ref="F1769:G1769"/>
    <mergeCell ref="F1088:G1088"/>
    <mergeCell ref="C1013:G1013"/>
    <mergeCell ref="B1014:C1014"/>
    <mergeCell ref="F1656:G1656"/>
    <mergeCell ref="F1550:G1550"/>
    <mergeCell ref="B1542:C1542"/>
    <mergeCell ref="F1544:G1544"/>
    <mergeCell ref="F1135:G1135"/>
    <mergeCell ref="C1246:G1246"/>
    <mergeCell ref="B1247:C1247"/>
    <mergeCell ref="F1257:G1257"/>
    <mergeCell ref="B1258:C1258"/>
    <mergeCell ref="F1261:G1261"/>
    <mergeCell ref="F1262:G1262"/>
    <mergeCell ref="B1238:C1238"/>
    <mergeCell ref="B1154:C1154"/>
    <mergeCell ref="F1746:G1746"/>
    <mergeCell ref="C1504:G1504"/>
    <mergeCell ref="F1604:G1604"/>
    <mergeCell ref="B1602:C1602"/>
    <mergeCell ref="B1590:C1590"/>
    <mergeCell ref="B1593:C1593"/>
    <mergeCell ref="C1601:G1601"/>
    <mergeCell ref="F1596:G1596"/>
    <mergeCell ref="C945:G945"/>
    <mergeCell ref="B814:C814"/>
    <mergeCell ref="F809:G809"/>
    <mergeCell ref="C828:G828"/>
    <mergeCell ref="F820:G820"/>
    <mergeCell ref="B817:C817"/>
    <mergeCell ref="B745:C745"/>
    <mergeCell ref="F808:G808"/>
    <mergeCell ref="F794:G794"/>
    <mergeCell ref="F781:G781"/>
    <mergeCell ref="F823:G823"/>
    <mergeCell ref="F984:G984"/>
    <mergeCell ref="B1038:C1038"/>
    <mergeCell ref="F1089:G1089"/>
    <mergeCell ref="F997:G997"/>
    <mergeCell ref="C1001:G1001"/>
    <mergeCell ref="B1002:C1002"/>
    <mergeCell ref="F1004:G1004"/>
    <mergeCell ref="F908:G908"/>
    <mergeCell ref="F965:G965"/>
    <mergeCell ref="B1086:C1086"/>
    <mergeCell ref="F1016:G1016"/>
    <mergeCell ref="B786:C786"/>
    <mergeCell ref="F761:G761"/>
    <mergeCell ref="C974:G974"/>
    <mergeCell ref="B966:C966"/>
    <mergeCell ref="F970:G970"/>
    <mergeCell ref="B922:C922"/>
    <mergeCell ref="F925:G925"/>
    <mergeCell ref="F926:G926"/>
    <mergeCell ref="F941:G941"/>
    <mergeCell ref="F832:G832"/>
    <mergeCell ref="F849:G849"/>
    <mergeCell ref="F765:G765"/>
    <mergeCell ref="B771:C771"/>
    <mergeCell ref="F776:G776"/>
    <mergeCell ref="F810:H810"/>
    <mergeCell ref="F801:G801"/>
    <mergeCell ref="F740:G740"/>
    <mergeCell ref="B738:C738"/>
    <mergeCell ref="B741:C741"/>
    <mergeCell ref="F766:G766"/>
    <mergeCell ref="B762:C762"/>
    <mergeCell ref="B1113:C1113"/>
    <mergeCell ref="C1093:G1093"/>
    <mergeCell ref="B1094:C1094"/>
    <mergeCell ref="F1100:G1100"/>
    <mergeCell ref="B918:C918"/>
    <mergeCell ref="F921:G921"/>
    <mergeCell ref="B975:C975"/>
    <mergeCell ref="F980:G980"/>
    <mergeCell ref="B960:C960"/>
    <mergeCell ref="C959:G959"/>
    <mergeCell ref="F1008:G1008"/>
    <mergeCell ref="F1009:G1009"/>
    <mergeCell ref="F851:H851"/>
    <mergeCell ref="F850:G850"/>
    <mergeCell ref="B846:C846"/>
    <mergeCell ref="B893:C893"/>
    <mergeCell ref="B858:C858"/>
    <mergeCell ref="B934:C934"/>
    <mergeCell ref="F780:G780"/>
    <mergeCell ref="C798:G798"/>
    <mergeCell ref="B802:C802"/>
    <mergeCell ref="C1105:G1105"/>
    <mergeCell ref="C753:G753"/>
    <mergeCell ref="B758:C758"/>
    <mergeCell ref="F749:G749"/>
    <mergeCell ref="F757:G757"/>
    <mergeCell ref="F748:G748"/>
    <mergeCell ref="B735:C735"/>
    <mergeCell ref="F737:G737"/>
    <mergeCell ref="B726:C726"/>
    <mergeCell ref="C722:G722"/>
    <mergeCell ref="B723:C723"/>
    <mergeCell ref="F725:G725"/>
    <mergeCell ref="C633:G633"/>
    <mergeCell ref="C619:G619"/>
    <mergeCell ref="F641:G641"/>
    <mergeCell ref="C650:G650"/>
    <mergeCell ref="C734:G734"/>
    <mergeCell ref="F701:G701"/>
    <mergeCell ref="F705:G705"/>
    <mergeCell ref="F671:G671"/>
    <mergeCell ref="B688:C688"/>
    <mergeCell ref="F691:G691"/>
    <mergeCell ref="F654:G654"/>
    <mergeCell ref="B655:C655"/>
    <mergeCell ref="F659:G659"/>
    <mergeCell ref="F718:G718"/>
    <mergeCell ref="F729:G729"/>
    <mergeCell ref="B754:C754"/>
    <mergeCell ref="F744:G744"/>
    <mergeCell ref="B714:C714"/>
    <mergeCell ref="B642:C642"/>
    <mergeCell ref="F645:G645"/>
    <mergeCell ref="F679:G679"/>
    <mergeCell ref="B711:C711"/>
    <mergeCell ref="F616:H616"/>
    <mergeCell ref="F615:G615"/>
    <mergeCell ref="B611:C611"/>
    <mergeCell ref="F610:G610"/>
    <mergeCell ref="B607:C607"/>
    <mergeCell ref="F614:G614"/>
    <mergeCell ref="F600:G600"/>
    <mergeCell ref="F601:G601"/>
    <mergeCell ref="C606:G606"/>
    <mergeCell ref="C591:G591"/>
    <mergeCell ref="F646:G646"/>
    <mergeCell ref="F628:G628"/>
    <mergeCell ref="F629:G629"/>
    <mergeCell ref="B651:C651"/>
    <mergeCell ref="B583:C583"/>
    <mergeCell ref="F687:G687"/>
    <mergeCell ref="B664:C664"/>
    <mergeCell ref="F596:G596"/>
    <mergeCell ref="B620:C620"/>
    <mergeCell ref="B597:C597"/>
    <mergeCell ref="C578:G578"/>
    <mergeCell ref="C515:G515"/>
    <mergeCell ref="B483:C483"/>
    <mergeCell ref="F527:G527"/>
    <mergeCell ref="F528:G528"/>
    <mergeCell ref="F569:G569"/>
    <mergeCell ref="B570:C570"/>
    <mergeCell ref="B495:C495"/>
    <mergeCell ref="F498:G498"/>
    <mergeCell ref="F499:G499"/>
    <mergeCell ref="F680:G680"/>
    <mergeCell ref="B592:C592"/>
    <mergeCell ref="F582:G582"/>
    <mergeCell ref="F587:G587"/>
    <mergeCell ref="F624:G624"/>
    <mergeCell ref="B625:C625"/>
    <mergeCell ref="F511:G511"/>
    <mergeCell ref="F473:G473"/>
    <mergeCell ref="B461:C461"/>
    <mergeCell ref="F460:G460"/>
    <mergeCell ref="B448:C448"/>
    <mergeCell ref="F451:G451"/>
    <mergeCell ref="F452:G452"/>
    <mergeCell ref="B565:C565"/>
    <mergeCell ref="B634:C634"/>
    <mergeCell ref="C684:G684"/>
    <mergeCell ref="B685:C685"/>
    <mergeCell ref="C663:G663"/>
    <mergeCell ref="B668:C668"/>
    <mergeCell ref="F404:G404"/>
    <mergeCell ref="F426:G426"/>
    <mergeCell ref="F436:G436"/>
    <mergeCell ref="F429:G429"/>
    <mergeCell ref="F675:G675"/>
    <mergeCell ref="F555:G555"/>
    <mergeCell ref="F523:G523"/>
    <mergeCell ref="F510:G510"/>
    <mergeCell ref="B579:C579"/>
    <mergeCell ref="C564:G564"/>
    <mergeCell ref="F463:G463"/>
    <mergeCell ref="C549:G549"/>
    <mergeCell ref="F559:G559"/>
    <mergeCell ref="B550:C550"/>
    <mergeCell ref="B556:C556"/>
    <mergeCell ref="F573:G573"/>
    <mergeCell ref="F560:G560"/>
    <mergeCell ref="F586:G586"/>
    <mergeCell ref="C503:G503"/>
    <mergeCell ref="F574:G574"/>
    <mergeCell ref="B365:C365"/>
    <mergeCell ref="C393:G393"/>
    <mergeCell ref="F487:G487"/>
    <mergeCell ref="B478:C478"/>
    <mergeCell ref="C532:G532"/>
    <mergeCell ref="B533:C533"/>
    <mergeCell ref="F540:G540"/>
    <mergeCell ref="B541:C541"/>
    <mergeCell ref="F544:G544"/>
    <mergeCell ref="F545:G545"/>
    <mergeCell ref="F506:G506"/>
    <mergeCell ref="B504:C504"/>
    <mergeCell ref="F468:G468"/>
    <mergeCell ref="C477:G477"/>
    <mergeCell ref="B469:C469"/>
    <mergeCell ref="B507:C507"/>
    <mergeCell ref="B516:C516"/>
    <mergeCell ref="F486:G486"/>
    <mergeCell ref="C456:G456"/>
    <mergeCell ref="B457:C457"/>
    <mergeCell ref="F472:G472"/>
    <mergeCell ref="B524:C524"/>
    <mergeCell ref="F482:G482"/>
    <mergeCell ref="B464:C464"/>
    <mergeCell ref="C491:G491"/>
    <mergeCell ref="B492:C492"/>
    <mergeCell ref="F494:G494"/>
    <mergeCell ref="F396:G396"/>
    <mergeCell ref="F405:G405"/>
    <mergeCell ref="C441:G441"/>
    <mergeCell ref="B442:C442"/>
    <mergeCell ref="F447:G447"/>
    <mergeCell ref="B145:C145"/>
    <mergeCell ref="F173:G173"/>
    <mergeCell ref="B134:C134"/>
    <mergeCell ref="B170:C170"/>
    <mergeCell ref="F152:G152"/>
    <mergeCell ref="C156:G156"/>
    <mergeCell ref="F388:G388"/>
    <mergeCell ref="F373:G373"/>
    <mergeCell ref="B378:C378"/>
    <mergeCell ref="F381:G381"/>
    <mergeCell ref="F349:G349"/>
    <mergeCell ref="F437:G437"/>
    <mergeCell ref="C422:G422"/>
    <mergeCell ref="B427:C427"/>
    <mergeCell ref="F400:G400"/>
    <mergeCell ref="B401:C401"/>
    <mergeCell ref="F413:G413"/>
    <mergeCell ref="B414:C414"/>
    <mergeCell ref="B397:C397"/>
    <mergeCell ref="F418:G418"/>
    <mergeCell ref="C409:G409"/>
    <mergeCell ref="B410:C410"/>
    <mergeCell ref="F417:G417"/>
    <mergeCell ref="B362:C362"/>
    <mergeCell ref="F364:G364"/>
    <mergeCell ref="B354:C354"/>
    <mergeCell ref="F356:G356"/>
    <mergeCell ref="B369:C369"/>
    <mergeCell ref="F372:G372"/>
    <mergeCell ref="C361:G361"/>
    <mergeCell ref="F389:G389"/>
    <mergeCell ref="B394:C394"/>
    <mergeCell ref="C377:G377"/>
    <mergeCell ref="F255:G255"/>
    <mergeCell ref="F256:G256"/>
    <mergeCell ref="C272:G272"/>
    <mergeCell ref="B385:C385"/>
    <mergeCell ref="C330:G330"/>
    <mergeCell ref="B331:C331"/>
    <mergeCell ref="F353:G353"/>
    <mergeCell ref="B347:C347"/>
    <mergeCell ref="F309:G309"/>
    <mergeCell ref="C260:G260"/>
    <mergeCell ref="B261:C261"/>
    <mergeCell ref="B307:C307"/>
    <mergeCell ref="F357:G357"/>
    <mergeCell ref="F48:G48"/>
    <mergeCell ref="B157:C157"/>
    <mergeCell ref="F101:G101"/>
    <mergeCell ref="F113:G113"/>
    <mergeCell ref="F114:G114"/>
    <mergeCell ref="B86:C86"/>
    <mergeCell ref="F89:G89"/>
    <mergeCell ref="F90:G90"/>
    <mergeCell ref="C66:G66"/>
    <mergeCell ref="B67:C67"/>
    <mergeCell ref="C80:G80"/>
    <mergeCell ref="B174:C174"/>
    <mergeCell ref="F244:G244"/>
    <mergeCell ref="F231:G231"/>
    <mergeCell ref="C94:G94"/>
    <mergeCell ref="F151:G151"/>
    <mergeCell ref="B237:C237"/>
    <mergeCell ref="C169:G169"/>
    <mergeCell ref="B310:C310"/>
    <mergeCell ref="F313:G313"/>
    <mergeCell ref="F314:G314"/>
    <mergeCell ref="F160:G160"/>
    <mergeCell ref="B161:C161"/>
    <mergeCell ref="F164:G164"/>
    <mergeCell ref="B229:C229"/>
    <mergeCell ref="B298:C298"/>
    <mergeCell ref="F301:G301"/>
    <mergeCell ref="B319:C319"/>
    <mergeCell ref="B338:C338"/>
    <mergeCell ref="F263:G263"/>
    <mergeCell ref="B277:C277"/>
    <mergeCell ref="C285:G285"/>
    <mergeCell ref="F281:G281"/>
    <mergeCell ref="F232:G232"/>
    <mergeCell ref="F276:G276"/>
    <mergeCell ref="C248:G248"/>
    <mergeCell ref="F165:G165"/>
    <mergeCell ref="C318:G318"/>
    <mergeCell ref="C346:G346"/>
    <mergeCell ref="F333:G333"/>
    <mergeCell ref="B273:C273"/>
    <mergeCell ref="B249:C249"/>
    <mergeCell ref="F251:G251"/>
    <mergeCell ref="F321:G321"/>
    <mergeCell ref="B322:C322"/>
    <mergeCell ref="F325:G325"/>
    <mergeCell ref="F326:G326"/>
    <mergeCell ref="F289:G289"/>
    <mergeCell ref="B290:C290"/>
    <mergeCell ref="B286:C286"/>
    <mergeCell ref="F368:G368"/>
    <mergeCell ref="B41:C41"/>
    <mergeCell ref="F44:G44"/>
    <mergeCell ref="B45:C45"/>
    <mergeCell ref="F148:G148"/>
    <mergeCell ref="B149:C149"/>
    <mergeCell ref="C211:G211"/>
    <mergeCell ref="F185:G185"/>
    <mergeCell ref="F85:G85"/>
    <mergeCell ref="B95:C95"/>
    <mergeCell ref="F97:G97"/>
    <mergeCell ref="B98:C98"/>
    <mergeCell ref="F57:G57"/>
    <mergeCell ref="B252:C252"/>
    <mergeCell ref="F268:G268"/>
    <mergeCell ref="F221:G221"/>
    <mergeCell ref="F220:G220"/>
    <mergeCell ref="C236:G236"/>
    <mergeCell ref="F267:G267"/>
    <mergeCell ref="F186:G186"/>
    <mergeCell ref="F133:G133"/>
    <mergeCell ref="B177:C177"/>
    <mergeCell ref="F176:G176"/>
    <mergeCell ref="C225:G225"/>
    <mergeCell ref="B226:C226"/>
    <mergeCell ref="F181:G181"/>
    <mergeCell ref="F228:G228"/>
    <mergeCell ref="B182:C182"/>
    <mergeCell ref="B423:C423"/>
    <mergeCell ref="C306:G306"/>
    <mergeCell ref="C27:G27"/>
    <mergeCell ref="F36:G36"/>
    <mergeCell ref="C40:G40"/>
    <mergeCell ref="C106:G106"/>
    <mergeCell ref="B212:C212"/>
    <mergeCell ref="F216:G216"/>
    <mergeCell ref="B217:C217"/>
    <mergeCell ref="B28:C28"/>
    <mergeCell ref="F31:G31"/>
    <mergeCell ref="B81:C81"/>
    <mergeCell ref="F49:G49"/>
    <mergeCell ref="B54:C54"/>
    <mergeCell ref="F137:G137"/>
    <mergeCell ref="C144:G144"/>
    <mergeCell ref="B122:C122"/>
    <mergeCell ref="B142:H142"/>
    <mergeCell ref="F102:G102"/>
    <mergeCell ref="F138:G138"/>
    <mergeCell ref="F62:G62"/>
    <mergeCell ref="C53:G53"/>
    <mergeCell ref="F61:G61"/>
    <mergeCell ref="B107:C107"/>
    <mergeCell ref="F1020:G1020"/>
    <mergeCell ref="F937:G937"/>
    <mergeCell ref="B897:C897"/>
    <mergeCell ref="F969:G969"/>
    <mergeCell ref="F110:G110"/>
    <mergeCell ref="B111:C111"/>
    <mergeCell ref="B58:C58"/>
    <mergeCell ref="C118:G118"/>
    <mergeCell ref="F71:G71"/>
    <mergeCell ref="B72:C72"/>
    <mergeCell ref="F75:G75"/>
    <mergeCell ref="F76:G76"/>
    <mergeCell ref="B32:C32"/>
    <mergeCell ref="F35:G35"/>
    <mergeCell ref="B697:C697"/>
    <mergeCell ref="F706:G706"/>
    <mergeCell ref="B430:C430"/>
    <mergeCell ref="F433:G433"/>
    <mergeCell ref="B434:C434"/>
    <mergeCell ref="F384:G384"/>
    <mergeCell ref="B334:C334"/>
    <mergeCell ref="F341:G341"/>
    <mergeCell ref="F239:G239"/>
    <mergeCell ref="B240:C240"/>
    <mergeCell ref="F243:G243"/>
    <mergeCell ref="F280:G280"/>
    <mergeCell ref="F337:G337"/>
    <mergeCell ref="F342:G342"/>
    <mergeCell ref="B350:C350"/>
    <mergeCell ref="B264:C264"/>
    <mergeCell ref="B119:C119"/>
    <mergeCell ref="F121:G121"/>
    <mergeCell ref="B382:C382"/>
    <mergeCell ref="C892:G892"/>
    <mergeCell ref="C866:G866"/>
    <mergeCell ref="B867:C867"/>
    <mergeCell ref="F870:G870"/>
    <mergeCell ref="B871:C871"/>
    <mergeCell ref="F1507:G1507"/>
    <mergeCell ref="B1497:C1497"/>
    <mergeCell ref="C1450:G1450"/>
    <mergeCell ref="C1464:G1464"/>
    <mergeCell ref="B1494:C1494"/>
    <mergeCell ref="F1561:G1561"/>
    <mergeCell ref="F1523:G1523"/>
    <mergeCell ref="F1385:G1385"/>
    <mergeCell ref="F1379:H1379"/>
    <mergeCell ref="B1106:C1106"/>
    <mergeCell ref="F1101:G1101"/>
    <mergeCell ref="F1097:G1097"/>
    <mergeCell ref="B1169:C1169"/>
    <mergeCell ref="F1418:G1418"/>
    <mergeCell ref="F1414:G1414"/>
    <mergeCell ref="B1529:C1529"/>
    <mergeCell ref="F1296:G1296"/>
    <mergeCell ref="B1372:C1372"/>
    <mergeCell ref="F1386:G1386"/>
    <mergeCell ref="C1023:G1023"/>
    <mergeCell ref="B1024:C1024"/>
    <mergeCell ref="F1027:G1027"/>
    <mergeCell ref="B1028:C1028"/>
    <mergeCell ref="B880:C880"/>
    <mergeCell ref="F883:G883"/>
    <mergeCell ref="B1017:C1017"/>
    <mergeCell ref="F1538:H1538"/>
    <mergeCell ref="F1549:G1549"/>
    <mergeCell ref="B1465:C1465"/>
    <mergeCell ref="B2708:C2708"/>
    <mergeCell ref="B2728:C2728"/>
    <mergeCell ref="A1:I4"/>
    <mergeCell ref="A23:I25"/>
    <mergeCell ref="A1326:I1328"/>
    <mergeCell ref="F1621:G1621"/>
    <mergeCell ref="F1136:G1136"/>
    <mergeCell ref="B1098:C1098"/>
    <mergeCell ref="F1551:H1551"/>
    <mergeCell ref="C1578:G1578"/>
    <mergeCell ref="B1110:C1110"/>
    <mergeCell ref="C1371:G1371"/>
    <mergeCell ref="F1374:G1374"/>
    <mergeCell ref="B1375:C1375"/>
    <mergeCell ref="F1081:G1081"/>
    <mergeCell ref="B1082:C1082"/>
    <mergeCell ref="F1085:G1085"/>
    <mergeCell ref="B990:C990"/>
    <mergeCell ref="F992:G992"/>
    <mergeCell ref="B993:C993"/>
    <mergeCell ref="F996:G996"/>
    <mergeCell ref="B1545:C1545"/>
    <mergeCell ref="F1472:G1472"/>
    <mergeCell ref="B1485:C1485"/>
    <mergeCell ref="A5:I5"/>
    <mergeCell ref="F293:G293"/>
    <mergeCell ref="B294:C294"/>
    <mergeCell ref="F297:G297"/>
    <mergeCell ref="F302:G302"/>
    <mergeCell ref="F1708:G1708"/>
    <mergeCell ref="F1778:H1778"/>
    <mergeCell ref="C1781:G1781"/>
    <mergeCell ref="F1777:G1777"/>
    <mergeCell ref="F2586:G2586"/>
    <mergeCell ref="F2477:G2477"/>
    <mergeCell ref="C2577:G2577"/>
    <mergeCell ref="F2738:G2738"/>
    <mergeCell ref="B2739:C2739"/>
    <mergeCell ref="F2741:G2741"/>
    <mergeCell ref="B2742:C2742"/>
    <mergeCell ref="B1473:C1473"/>
    <mergeCell ref="F1511:G1511"/>
    <mergeCell ref="F1499:G1499"/>
    <mergeCell ref="F1417:G1417"/>
    <mergeCell ref="F1445:G1445"/>
    <mergeCell ref="C1481:G1481"/>
    <mergeCell ref="B1428:C1428"/>
    <mergeCell ref="B1520:C1520"/>
    <mergeCell ref="B1517:C1517"/>
    <mergeCell ref="F1500:G1500"/>
    <mergeCell ref="F1477:G1477"/>
    <mergeCell ref="B1558:C1558"/>
    <mergeCell ref="C1554:G1554"/>
    <mergeCell ref="B1726:C1726"/>
    <mergeCell ref="F1720:G1720"/>
    <mergeCell ref="F1721:G1721"/>
    <mergeCell ref="F1695:G1695"/>
    <mergeCell ref="F1682:H1682"/>
    <mergeCell ref="F1680:G1680"/>
    <mergeCell ref="F1432:G1432"/>
    <mergeCell ref="C1566:G1566"/>
    <mergeCell ref="C1992:G1992"/>
    <mergeCell ref="F2746:G2746"/>
    <mergeCell ref="B2619:C2619"/>
    <mergeCell ref="A2703:I2705"/>
    <mergeCell ref="C917:G917"/>
    <mergeCell ref="F900:G900"/>
    <mergeCell ref="F901:G901"/>
    <mergeCell ref="F1512:G1512"/>
    <mergeCell ref="F1537:G1537"/>
    <mergeCell ref="C1528:G1528"/>
    <mergeCell ref="F1513:H1513"/>
    <mergeCell ref="B1442:C1442"/>
    <mergeCell ref="F1446:G1446"/>
    <mergeCell ref="B1454:C1454"/>
    <mergeCell ref="B1508:C1508"/>
    <mergeCell ref="B1505:C1505"/>
    <mergeCell ref="F1489:G1489"/>
    <mergeCell ref="F1496:G1496"/>
    <mergeCell ref="B2060:C2060"/>
    <mergeCell ref="F2124:G2124"/>
    <mergeCell ref="B2162:C2162"/>
    <mergeCell ref="B938:C938"/>
    <mergeCell ref="F955:G955"/>
    <mergeCell ref="F2050:G2050"/>
    <mergeCell ref="C1699:G1699"/>
    <mergeCell ref="C1436:G1436"/>
    <mergeCell ref="B1555:C1555"/>
    <mergeCell ref="B1993:C1993"/>
    <mergeCell ref="F1997:G1997"/>
    <mergeCell ref="B1782:C1782"/>
    <mergeCell ref="B1705:C1705"/>
    <mergeCell ref="C1713:G1713"/>
    <mergeCell ref="B2429:C2429"/>
    <mergeCell ref="F2432:G2432"/>
    <mergeCell ref="B2762:C2762"/>
    <mergeCell ref="F2551:G2551"/>
    <mergeCell ref="F2765:G2765"/>
    <mergeCell ref="F2428:G2428"/>
    <mergeCell ref="F2766:G2766"/>
    <mergeCell ref="F1676:G1676"/>
    <mergeCell ref="B2688:C2688"/>
    <mergeCell ref="F2691:G2691"/>
    <mergeCell ref="F2724:G2724"/>
    <mergeCell ref="C2648:G2648"/>
    <mergeCell ref="C2474:G2474"/>
    <mergeCell ref="C2463:G2463"/>
    <mergeCell ref="B2464:C2464"/>
    <mergeCell ref="F2710:G2710"/>
    <mergeCell ref="B2711:C2711"/>
    <mergeCell ref="B2587:C2587"/>
    <mergeCell ref="F2590:G2590"/>
    <mergeCell ref="B2596:C2596"/>
    <mergeCell ref="C2096:G2096"/>
    <mergeCell ref="B2158:C2158"/>
    <mergeCell ref="B2187:C2187"/>
    <mergeCell ref="F2238:G2238"/>
    <mergeCell ref="F2242:G2242"/>
    <mergeCell ref="F2624:G2624"/>
    <mergeCell ref="B2625:C2625"/>
    <mergeCell ref="B2634:C2634"/>
    <mergeCell ref="C2707:G2707"/>
    <mergeCell ref="F2685:G2685"/>
    <mergeCell ref="F1883:G1883"/>
    <mergeCell ref="B1935:C1935"/>
    <mergeCell ref="F2063:G2063"/>
    <mergeCell ref="F2402:G2402"/>
    <mergeCell ref="F2336:G2336"/>
    <mergeCell ref="B2539:C2539"/>
    <mergeCell ref="A2770:I2770"/>
    <mergeCell ref="A2459:I2461"/>
    <mergeCell ref="C2345:G2345"/>
    <mergeCell ref="B2346:C2346"/>
    <mergeCell ref="F2348:G2348"/>
    <mergeCell ref="B2349:C2349"/>
    <mergeCell ref="F2351:G2351"/>
    <mergeCell ref="F2352:G2352"/>
    <mergeCell ref="C2354:G2354"/>
    <mergeCell ref="B2355:C2355"/>
    <mergeCell ref="F2364:G2364"/>
    <mergeCell ref="B2365:C2365"/>
    <mergeCell ref="F2368:G2368"/>
    <mergeCell ref="F2369:G2369"/>
    <mergeCell ref="F2592:H2592"/>
    <mergeCell ref="F2714:G2714"/>
    <mergeCell ref="F2715:G2715"/>
    <mergeCell ref="C2717:G2717"/>
    <mergeCell ref="B2718:C2718"/>
    <mergeCell ref="C2727:G2727"/>
    <mergeCell ref="F2411:G2411"/>
    <mergeCell ref="F2390:G2390"/>
    <mergeCell ref="B2415:C2415"/>
    <mergeCell ref="F2725:G2725"/>
    <mergeCell ref="B2599:C2599"/>
    <mergeCell ref="F2609:G2609"/>
    <mergeCell ref="F2761:G2761"/>
    <mergeCell ref="C2698:G2698"/>
    <mergeCell ref="F2745:G2745"/>
    <mergeCell ref="C2414:G2414"/>
    <mergeCell ref="B2610:C2610"/>
    <mergeCell ref="F2615:G2615"/>
    <mergeCell ref="C2027:G2027"/>
    <mergeCell ref="B1998:C1998"/>
    <mergeCell ref="F2001:G2001"/>
    <mergeCell ref="F2002:G2002"/>
    <mergeCell ref="B2475:C2475"/>
    <mergeCell ref="F2538:G2538"/>
    <mergeCell ref="F2591:G2591"/>
    <mergeCell ref="F2598:G2598"/>
    <mergeCell ref="F2578:G2578"/>
    <mergeCell ref="C2582:G2582"/>
    <mergeCell ref="B2552:C2552"/>
    <mergeCell ref="F2141:G2141"/>
    <mergeCell ref="F2165:G2165"/>
    <mergeCell ref="B2087:C2087"/>
    <mergeCell ref="B2399:C2399"/>
    <mergeCell ref="F2221:G2221"/>
    <mergeCell ref="F2317:G2317"/>
    <mergeCell ref="B2314:C2314"/>
    <mergeCell ref="F2316:G2316"/>
    <mergeCell ref="C2220:G2220"/>
    <mergeCell ref="B2179:C2179"/>
    <mergeCell ref="B2483:C2483"/>
    <mergeCell ref="F2572:G2572"/>
    <mergeCell ref="C2404:G2404"/>
    <mergeCell ref="B2028:C2028"/>
    <mergeCell ref="F2030:G2030"/>
    <mergeCell ref="F2059:G2059"/>
    <mergeCell ref="B2069:C2069"/>
    <mergeCell ref="F2273:G2273"/>
    <mergeCell ref="C2277:G2277"/>
    <mergeCell ref="B2175:C2175"/>
    <mergeCell ref="C2114:G2114"/>
    <mergeCell ref="C2748:G2748"/>
    <mergeCell ref="B2749:C2749"/>
    <mergeCell ref="F2478:G2478"/>
    <mergeCell ref="F2086:G2086"/>
    <mergeCell ref="F2470:G2470"/>
    <mergeCell ref="F2153:G2153"/>
    <mergeCell ref="B2303:C2303"/>
    <mergeCell ref="F2305:G2305"/>
    <mergeCell ref="F2110:G2110"/>
    <mergeCell ref="F2125:G2125"/>
    <mergeCell ref="F2193:G2193"/>
    <mergeCell ref="C2209:G2209"/>
    <mergeCell ref="C2068:G2068"/>
    <mergeCell ref="F2072:G2072"/>
    <mergeCell ref="C2197:G2197"/>
    <mergeCell ref="B2334:C2334"/>
    <mergeCell ref="B2288:C2288"/>
    <mergeCell ref="C2230:G2230"/>
    <mergeCell ref="F2166:G2166"/>
    <mergeCell ref="F2167:H2167"/>
    <mergeCell ref="F2182:G2182"/>
    <mergeCell ref="B2239:C2239"/>
    <mergeCell ref="C2392:G2392"/>
    <mergeCell ref="F2699:G2699"/>
    <mergeCell ref="F2433:G2433"/>
    <mergeCell ref="B2198:C2198"/>
    <mergeCell ref="B2082:C2082"/>
    <mergeCell ref="F2681:G2681"/>
    <mergeCell ref="B2426:C2426"/>
    <mergeCell ref="B1946:C1946"/>
    <mergeCell ref="F2142:G2142"/>
    <mergeCell ref="F2308:G2308"/>
    <mergeCell ref="F1893:G1893"/>
    <mergeCell ref="F2076:G2076"/>
    <mergeCell ref="F2109:G2109"/>
    <mergeCell ref="B1927:C1927"/>
    <mergeCell ref="F1929:G1929"/>
    <mergeCell ref="B1938:C1938"/>
    <mergeCell ref="F2380:G2380"/>
    <mergeCell ref="F2189:G2189"/>
    <mergeCell ref="F1951:G1951"/>
    <mergeCell ref="B1952:C1952"/>
    <mergeCell ref="F1955:G1955"/>
    <mergeCell ref="F1956:G1956"/>
    <mergeCell ref="C2055:G2055"/>
    <mergeCell ref="C1960:G1960"/>
    <mergeCell ref="B1961:C1961"/>
    <mergeCell ref="F1919:G1919"/>
    <mergeCell ref="C1923:G1923"/>
    <mergeCell ref="F1926:G1926"/>
    <mergeCell ref="A2039:I2041"/>
    <mergeCell ref="B2044:C2044"/>
    <mergeCell ref="F2377:G2377"/>
    <mergeCell ref="F2333:G2333"/>
    <mergeCell ref="F2290:G2290"/>
    <mergeCell ref="C2043:G2043"/>
    <mergeCell ref="B2210:C2210"/>
    <mergeCell ref="C2267:G2267"/>
    <mergeCell ref="F2268:G2268"/>
    <mergeCell ref="C2272:G2272"/>
    <mergeCell ref="F1892:G1892"/>
    <mergeCell ref="B1890:C1890"/>
    <mergeCell ref="B2056:C2056"/>
    <mergeCell ref="F1971:G1971"/>
    <mergeCell ref="F2226:G2226"/>
    <mergeCell ref="F2212:G2212"/>
    <mergeCell ref="B2213:C2213"/>
    <mergeCell ref="C2081:G2081"/>
    <mergeCell ref="F2152:G2152"/>
    <mergeCell ref="F2181:G2181"/>
    <mergeCell ref="F2097:G2097"/>
    <mergeCell ref="C2146:G2146"/>
    <mergeCell ref="C1945:G1945"/>
    <mergeCell ref="C2425:G2425"/>
    <mergeCell ref="F2051:G2051"/>
    <mergeCell ref="F2579:H2579"/>
    <mergeCell ref="C2482:G2482"/>
    <mergeCell ref="B2419:C2419"/>
    <mergeCell ref="F2422:G2422"/>
    <mergeCell ref="F2423:G2423"/>
    <mergeCell ref="C2435:G2435"/>
    <mergeCell ref="B2436:C2436"/>
    <mergeCell ref="F2439:G2439"/>
    <mergeCell ref="B2440:C2440"/>
    <mergeCell ref="F2443:G2443"/>
    <mergeCell ref="F2444:G2444"/>
    <mergeCell ref="F2077:G2077"/>
    <mergeCell ref="F2278:G2278"/>
    <mergeCell ref="F1970:G1970"/>
    <mergeCell ref="B1967:C1967"/>
    <mergeCell ref="B2331:C2331"/>
    <mergeCell ref="B2031:C2031"/>
    <mergeCell ref="B1317:C1317"/>
    <mergeCell ref="B1310:C1310"/>
    <mergeCell ref="C1309:G1309"/>
    <mergeCell ref="F1321:G1321"/>
    <mergeCell ref="F1822:G1822"/>
    <mergeCell ref="B1799:C1799"/>
    <mergeCell ref="C1793:G1793"/>
    <mergeCell ref="F1814:G1814"/>
    <mergeCell ref="F1815:G1815"/>
    <mergeCell ref="F2466:G2466"/>
    <mergeCell ref="C1725:G1725"/>
    <mergeCell ref="F1937:G1937"/>
    <mergeCell ref="F1871:G1871"/>
    <mergeCell ref="F1918:G1918"/>
    <mergeCell ref="B1881:C1881"/>
    <mergeCell ref="F1733:G1733"/>
    <mergeCell ref="F1914:G1914"/>
    <mergeCell ref="B1915:C1915"/>
    <mergeCell ref="F1966:G1966"/>
    <mergeCell ref="C1880:G1880"/>
    <mergeCell ref="F1930:G1930"/>
    <mergeCell ref="F2046:G2046"/>
    <mergeCell ref="F1907:G1907"/>
    <mergeCell ref="F1877:H1877"/>
    <mergeCell ref="F1770:H1770"/>
    <mergeCell ref="B2171:C2171"/>
    <mergeCell ref="F2205:G2205"/>
    <mergeCell ref="F2216:G2216"/>
    <mergeCell ref="F2215:G2215"/>
    <mergeCell ref="B1903:C1903"/>
    <mergeCell ref="F1906:G1906"/>
    <mergeCell ref="F1908:H1908"/>
  </mergeCells>
  <phoneticPr fontId="32" type="noConversion"/>
  <conditionalFormatting sqref="A1110:A1120 A1121:H1122 A1123:E1125 G1123:H1125 A1126:H1128">
    <cfRule type="cellIs" dxfId="489" priority="70" operator="equal">
      <formula>"COT 01.0"</formula>
    </cfRule>
    <cfRule type="cellIs" dxfId="488" priority="69" operator="equal">
      <formula>"Composições"</formula>
    </cfRule>
    <cfRule type="cellIs" dxfId="487" priority="66" operator="equal">
      <formula>"SP EDUCAÇÃO"</formula>
    </cfRule>
    <cfRule type="cellIs" dxfId="486" priority="67" operator="equal">
      <formula>"ORSE"</formula>
    </cfRule>
    <cfRule type="cellIs" dxfId="485" priority="68" operator="equal">
      <formula>"SP OBRAS"</formula>
    </cfRule>
  </conditionalFormatting>
  <conditionalFormatting sqref="A1129:G1130 A1131:H1132 A1133:G1134 A1135:H1136">
    <cfRule type="cellIs" dxfId="484" priority="72" operator="equal">
      <formula>"ORSE"</formula>
    </cfRule>
    <cfRule type="cellIs" dxfId="483" priority="71" operator="equal">
      <formula>"SP EDUCAÇÃO"</formula>
    </cfRule>
    <cfRule type="cellIs" dxfId="482" priority="75" operator="equal">
      <formula>"COT 01.0"</formula>
    </cfRule>
    <cfRule type="cellIs" dxfId="481" priority="74" operator="equal">
      <formula>"Composições"</formula>
    </cfRule>
    <cfRule type="cellIs" dxfId="480" priority="73" operator="equal">
      <formula>"SP OBRAS"</formula>
    </cfRule>
  </conditionalFormatting>
  <conditionalFormatting sqref="A1311:G1312 A1313:H1314 A1315:G1315 A1316:H1317 A1318:G1320 A1321:H1322">
    <cfRule type="cellIs" dxfId="479" priority="7" operator="equal">
      <formula>"ORSE"</formula>
    </cfRule>
    <cfRule type="cellIs" dxfId="478" priority="6" operator="equal">
      <formula>"SP EDUCAÇÃO"</formula>
    </cfRule>
    <cfRule type="cellIs" dxfId="477" priority="8" operator="equal">
      <formula>"SP OBRAS"</formula>
    </cfRule>
    <cfRule type="cellIs" dxfId="476" priority="9" operator="equal">
      <formula>"Composições"</formula>
    </cfRule>
    <cfRule type="cellIs" dxfId="475" priority="10" operator="equal">
      <formula>"COT 01.0"</formula>
    </cfRule>
  </conditionalFormatting>
  <conditionalFormatting sqref="A854:H855 A856:C856 E856:G856 A857:H858 A859:G860 A861:H862">
    <cfRule type="cellIs" dxfId="474" priority="100" operator="equal">
      <formula>"SP OBRAS"</formula>
    </cfRule>
    <cfRule type="cellIs" dxfId="473" priority="96" operator="equal">
      <formula>"Composições"</formula>
    </cfRule>
    <cfRule type="cellIs" dxfId="472" priority="97" operator="equal">
      <formula>"COT 01.0"</formula>
    </cfRule>
    <cfRule type="cellIs" dxfId="471" priority="98" operator="equal">
      <formula>"SP EDUCAÇÃO"</formula>
    </cfRule>
    <cfRule type="cellIs" dxfId="470" priority="99" operator="equal">
      <formula>"ORSE"</formula>
    </cfRule>
  </conditionalFormatting>
  <conditionalFormatting sqref="A1105:H1106 A1107:G1108 A1109:H1109">
    <cfRule type="cellIs" dxfId="469" priority="88" operator="equal">
      <formula>"SP OBRAS"</formula>
    </cfRule>
    <cfRule type="cellIs" dxfId="468" priority="89" operator="equal">
      <formula>"Composições"</formula>
    </cfRule>
    <cfRule type="cellIs" dxfId="467" priority="90" operator="equal">
      <formula>"COT 01.0"</formula>
    </cfRule>
    <cfRule type="cellIs" dxfId="466" priority="87" operator="equal">
      <formula>"ORSE"</formula>
    </cfRule>
    <cfRule type="cellIs" dxfId="465" priority="86" operator="equal">
      <formula>"SP EDUCAÇÃO"</formula>
    </cfRule>
  </conditionalFormatting>
  <conditionalFormatting sqref="A1153:H1154 A1155:G1156 A1157:H1157 A1158:A1160 A1161:E1161">
    <cfRule type="cellIs" dxfId="464" priority="63" operator="equal">
      <formula>"SP OBRAS"</formula>
    </cfRule>
    <cfRule type="cellIs" dxfId="463" priority="64" operator="equal">
      <formula>"Composições"</formula>
    </cfRule>
    <cfRule type="cellIs" dxfId="462" priority="62" operator="equal">
      <formula>"ORSE"</formula>
    </cfRule>
    <cfRule type="cellIs" dxfId="461" priority="61" operator="equal">
      <formula>"SP EDUCAÇÃO"</formula>
    </cfRule>
    <cfRule type="cellIs" dxfId="460" priority="65" operator="equal">
      <formula>"COT 01.0"</formula>
    </cfRule>
  </conditionalFormatting>
  <conditionalFormatting sqref="A1246:H1246 A1247:A1262">
    <cfRule type="cellIs" dxfId="459" priority="31" operator="equal">
      <formula>"SP EDUCAÇÃO"</formula>
    </cfRule>
    <cfRule type="cellIs" dxfId="458" priority="33" operator="equal">
      <formula>"SP OBRAS"</formula>
    </cfRule>
    <cfRule type="cellIs" dxfId="457" priority="34" operator="equal">
      <formula>"Composições"</formula>
    </cfRule>
    <cfRule type="cellIs" dxfId="456" priority="35" operator="equal">
      <formula>"COT 01.0"</formula>
    </cfRule>
    <cfRule type="cellIs" dxfId="455" priority="32" operator="equal">
      <formula>"ORSE"</formula>
    </cfRule>
  </conditionalFormatting>
  <conditionalFormatting sqref="A1266:H1266 A1267:A1268">
    <cfRule type="cellIs" dxfId="454" priority="26" operator="equal">
      <formula>"SP EDUCAÇÃO"</formula>
    </cfRule>
    <cfRule type="cellIs" dxfId="453" priority="27" operator="equal">
      <formula>"ORSE"</formula>
    </cfRule>
    <cfRule type="cellIs" dxfId="452" priority="28" operator="equal">
      <formula>"SP OBRAS"</formula>
    </cfRule>
    <cfRule type="cellIs" dxfId="451" priority="29" operator="equal">
      <formula>"Composições"</formula>
    </cfRule>
    <cfRule type="cellIs" dxfId="450" priority="30" operator="equal">
      <formula>"COT 01.0"</formula>
    </cfRule>
  </conditionalFormatting>
  <conditionalFormatting sqref="A1276:H1276 A1277:A1278">
    <cfRule type="cellIs" dxfId="449" priority="25" operator="equal">
      <formula>"COT 01.0"</formula>
    </cfRule>
    <cfRule type="cellIs" dxfId="448" priority="24" operator="equal">
      <formula>"Composições"</formula>
    </cfRule>
    <cfRule type="cellIs" dxfId="447" priority="23" operator="equal">
      <formula>"SP OBRAS"</formula>
    </cfRule>
    <cfRule type="cellIs" dxfId="446" priority="22" operator="equal">
      <formula>"ORSE"</formula>
    </cfRule>
    <cfRule type="cellIs" dxfId="445" priority="21" operator="equal">
      <formula>"SP EDUCAÇÃO"</formula>
    </cfRule>
  </conditionalFormatting>
  <conditionalFormatting sqref="A1287:H1287 A1288:A1289">
    <cfRule type="cellIs" dxfId="444" priority="20" operator="equal">
      <formula>"COT 01.0"</formula>
    </cfRule>
    <cfRule type="cellIs" dxfId="443" priority="19" operator="equal">
      <formula>"Composições"</formula>
    </cfRule>
    <cfRule type="cellIs" dxfId="442" priority="18" operator="equal">
      <formula>"SP OBRAS"</formula>
    </cfRule>
    <cfRule type="cellIs" dxfId="441" priority="17" operator="equal">
      <formula>"ORSE"</formula>
    </cfRule>
    <cfRule type="cellIs" dxfId="440" priority="16" operator="equal">
      <formula>"SP EDUCAÇÃO"</formula>
    </cfRule>
  </conditionalFormatting>
  <conditionalFormatting sqref="A1298:H1298 A1299:A1300">
    <cfRule type="cellIs" dxfId="439" priority="14" operator="equal">
      <formula>"Composições"</formula>
    </cfRule>
    <cfRule type="cellIs" dxfId="438" priority="15" operator="equal">
      <formula>"COT 01.0"</formula>
    </cfRule>
    <cfRule type="cellIs" dxfId="437" priority="11" operator="equal">
      <formula>"SP EDUCAÇÃO"</formula>
    </cfRule>
    <cfRule type="cellIs" dxfId="436" priority="12" operator="equal">
      <formula>"ORSE"</formula>
    </cfRule>
    <cfRule type="cellIs" dxfId="435" priority="13" operator="equal">
      <formula>"SP OBRAS"</formula>
    </cfRule>
  </conditionalFormatting>
  <conditionalFormatting sqref="A1309:H1310">
    <cfRule type="cellIs" dxfId="434" priority="1" operator="equal">
      <formula>"SP EDUCAÇÃO"</formula>
    </cfRule>
    <cfRule type="cellIs" dxfId="433" priority="5" operator="equal">
      <formula>"COT 01.0"</formula>
    </cfRule>
    <cfRule type="cellIs" dxfId="432" priority="4" operator="equal">
      <formula>"Composições"</formula>
    </cfRule>
    <cfRule type="cellIs" dxfId="431" priority="3" operator="equal">
      <formula>"SP OBRAS"</formula>
    </cfRule>
    <cfRule type="cellIs" dxfId="430" priority="2" operator="equal">
      <formula>"ORSE"</formula>
    </cfRule>
  </conditionalFormatting>
  <conditionalFormatting sqref="B131 E131 G131">
    <cfRule type="containsText" dxfId="429" priority="101" operator="containsText" text="Não cadastrado">
      <formula>NOT(ISERROR(SEARCH("Não cadastrado",B131)))</formula>
    </cfRule>
    <cfRule type="containsText" dxfId="428" priority="102" operator="containsText" text="SP Educação">
      <formula>NOT(ISERROR(SEARCH("SP Educação",B131)))</formula>
    </cfRule>
    <cfRule type="containsText" dxfId="427" priority="103" operator="containsText" text="ORSE">
      <formula>NOT(ISERROR(SEARCH("ORSE",B131)))</formula>
    </cfRule>
    <cfRule type="containsText" dxfId="426" priority="104" operator="containsText" text="SP Obras">
      <formula>NOT(ISERROR(SEARCH("SP Obras",B131)))</formula>
    </cfRule>
  </conditionalFormatting>
  <conditionalFormatting sqref="B1112:E1112">
    <cfRule type="cellIs" dxfId="425" priority="58" operator="equal">
      <formula>"SP OBRAS"</formula>
    </cfRule>
    <cfRule type="cellIs" dxfId="424" priority="56" operator="equal">
      <formula>"SP EDUCAÇÃO"</formula>
    </cfRule>
    <cfRule type="cellIs" dxfId="423" priority="57" operator="equal">
      <formula>"ORSE"</formula>
    </cfRule>
    <cfRule type="cellIs" dxfId="422" priority="59" operator="equal">
      <formula>"Composições"</formula>
    </cfRule>
    <cfRule type="cellIs" dxfId="421" priority="60" operator="equal">
      <formula>"COT 01.0"</formula>
    </cfRule>
  </conditionalFormatting>
  <conditionalFormatting sqref="B1117:E1117 H1117">
    <cfRule type="cellIs" dxfId="420" priority="47" operator="equal">
      <formula>"ORSE"</formula>
    </cfRule>
    <cfRule type="cellIs" dxfId="419" priority="46" operator="equal">
      <formula>"SP EDUCAÇÃO"</formula>
    </cfRule>
    <cfRule type="cellIs" dxfId="418" priority="49" operator="equal">
      <formula>"Composições"</formula>
    </cfRule>
    <cfRule type="cellIs" dxfId="417" priority="50" operator="equal">
      <formula>"COT 01.0"</formula>
    </cfRule>
    <cfRule type="cellIs" dxfId="416" priority="48" operator="equal">
      <formula>"SP OBRAS"</formula>
    </cfRule>
  </conditionalFormatting>
  <conditionalFormatting sqref="B1113:H1113 B1114:G1116">
    <cfRule type="cellIs" dxfId="415" priority="51" operator="equal">
      <formula>"SP EDUCAÇÃO"</formula>
    </cfRule>
    <cfRule type="cellIs" dxfId="414" priority="52" operator="equal">
      <formula>"ORSE"</formula>
    </cfRule>
    <cfRule type="cellIs" dxfId="413" priority="53" operator="equal">
      <formula>"SP OBRAS"</formula>
    </cfRule>
    <cfRule type="cellIs" dxfId="412" priority="54" operator="equal">
      <formula>"Composições"</formula>
    </cfRule>
    <cfRule type="cellIs" dxfId="411" priority="55" operator="equal">
      <formula>"COT 01.0"</formula>
    </cfRule>
  </conditionalFormatting>
  <conditionalFormatting sqref="B1120:H1120">
    <cfRule type="cellIs" dxfId="410" priority="45" operator="equal">
      <formula>"COT 01.0"</formula>
    </cfRule>
    <cfRule type="cellIs" dxfId="409" priority="44" operator="equal">
      <formula>"Composições"</formula>
    </cfRule>
    <cfRule type="cellIs" dxfId="408" priority="43" operator="equal">
      <formula>"SP OBRAS"</formula>
    </cfRule>
    <cfRule type="cellIs" dxfId="407" priority="42" operator="equal">
      <formula>"ORSE"</formula>
    </cfRule>
    <cfRule type="cellIs" dxfId="406" priority="41" operator="equal">
      <formula>"SP EDUCAÇÃO"</formula>
    </cfRule>
  </conditionalFormatting>
  <pageMargins left="0.511811024" right="0.511811024" top="0.78740157499999996" bottom="0.78740157499999996" header="0.31496062000000002" footer="0.31496062000000002"/>
  <pageSetup paperSize="9" scale="56" fitToHeight="0" orientation="landscape" r:id="rId1"/>
  <rowBreaks count="1" manualBreakCount="1">
    <brk id="21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D059-6921-4918-B429-EAB8F3700981}">
  <sheetPr>
    <tabColor rgb="FF00B0F0"/>
    <pageSetUpPr fitToPage="1"/>
  </sheetPr>
  <dimension ref="A1:J310"/>
  <sheetViews>
    <sheetView view="pageBreakPreview" zoomScale="55" zoomScaleNormal="55" zoomScaleSheetLayoutView="55" workbookViewId="0">
      <selection activeCell="A276" sqref="A276:XFD276"/>
    </sheetView>
  </sheetViews>
  <sheetFormatPr defaultRowHeight="15"/>
  <cols>
    <col min="2" max="2" width="13.85546875" customWidth="1"/>
    <col min="3" max="3" width="85.28515625" customWidth="1"/>
    <col min="4" max="4" width="17.42578125" customWidth="1"/>
    <col min="6" max="8" width="22.85546875" customWidth="1"/>
    <col min="9" max="9" width="11.42578125" customWidth="1"/>
  </cols>
  <sheetData>
    <row r="1" spans="1:10" s="106" customFormat="1" ht="17.25" customHeight="1">
      <c r="A1" s="613" t="s">
        <v>62</v>
      </c>
      <c r="B1" s="613"/>
      <c r="C1" s="613"/>
      <c r="D1" s="613"/>
      <c r="E1" s="613"/>
      <c r="F1" s="613"/>
      <c r="G1" s="613"/>
      <c r="H1" s="613"/>
      <c r="I1" s="613"/>
      <c r="J1" s="613"/>
    </row>
    <row r="2" spans="1:10" s="106" customFormat="1" ht="17.25" customHeight="1">
      <c r="A2" s="613"/>
      <c r="B2" s="613"/>
      <c r="C2" s="613"/>
      <c r="D2" s="613"/>
      <c r="E2" s="613"/>
      <c r="F2" s="613"/>
      <c r="G2" s="613"/>
      <c r="H2" s="613"/>
      <c r="I2" s="613"/>
      <c r="J2" s="613"/>
    </row>
    <row r="3" spans="1:10" s="106" customFormat="1" ht="17.25" customHeight="1">
      <c r="A3" s="613"/>
      <c r="B3" s="613"/>
      <c r="C3" s="613"/>
      <c r="D3" s="613"/>
      <c r="E3" s="613"/>
      <c r="F3" s="613"/>
      <c r="G3" s="613"/>
      <c r="H3" s="613"/>
      <c r="I3" s="613"/>
      <c r="J3" s="613"/>
    </row>
    <row r="4" spans="1:10" s="106" customFormat="1" ht="17.25" customHeight="1">
      <c r="A4" s="613"/>
      <c r="B4" s="613"/>
      <c r="C4" s="613"/>
      <c r="D4" s="613"/>
      <c r="E4" s="613"/>
      <c r="F4" s="613"/>
      <c r="G4" s="613"/>
      <c r="H4" s="613"/>
      <c r="I4" s="613"/>
      <c r="J4" s="613"/>
    </row>
    <row r="5" spans="1:10" s="106" customFormat="1" ht="17.25" customHeight="1">
      <c r="A5" s="616" t="s">
        <v>2502</v>
      </c>
      <c r="B5" s="616"/>
      <c r="C5" s="616"/>
      <c r="D5" s="616"/>
      <c r="E5" s="616"/>
      <c r="F5" s="616"/>
      <c r="G5" s="616"/>
      <c r="H5" s="616"/>
      <c r="I5" s="616"/>
      <c r="J5" s="616"/>
    </row>
    <row r="7" spans="1:10" ht="25.5">
      <c r="B7" s="103" t="s">
        <v>1844</v>
      </c>
      <c r="C7" s="103" t="s">
        <v>2395</v>
      </c>
      <c r="D7" s="172">
        <f>MIN(F9:H9)</f>
        <v>53498.5</v>
      </c>
      <c r="E7" s="103" t="s">
        <v>315</v>
      </c>
      <c r="F7" s="103" t="s">
        <v>2802</v>
      </c>
      <c r="G7" s="103" t="s">
        <v>2428</v>
      </c>
      <c r="H7" s="103" t="s">
        <v>2488</v>
      </c>
      <c r="I7" s="103"/>
    </row>
    <row r="8" spans="1:10" ht="30">
      <c r="B8" s="159"/>
      <c r="C8" s="159"/>
      <c r="D8" s="159" t="s">
        <v>1845</v>
      </c>
      <c r="E8" s="159"/>
      <c r="F8" s="171" t="s">
        <v>2803</v>
      </c>
      <c r="G8" s="170" t="s">
        <v>2429</v>
      </c>
      <c r="H8" s="170" t="s">
        <v>2489</v>
      </c>
      <c r="I8" s="167"/>
    </row>
    <row r="9" spans="1:10">
      <c r="B9" s="159"/>
      <c r="C9" s="159"/>
      <c r="D9" s="159" t="s">
        <v>1846</v>
      </c>
      <c r="E9" s="159"/>
      <c r="F9" s="168">
        <v>54859.02</v>
      </c>
      <c r="G9" s="168">
        <v>79900</v>
      </c>
      <c r="H9" s="168">
        <v>53498.5</v>
      </c>
      <c r="I9" s="168"/>
    </row>
    <row r="10" spans="1:10">
      <c r="B10" s="159"/>
      <c r="C10" s="159"/>
      <c r="D10" s="159" t="s">
        <v>1847</v>
      </c>
      <c r="E10" s="159"/>
      <c r="F10" s="166" t="s">
        <v>2804</v>
      </c>
      <c r="G10" s="167" t="s">
        <v>2430</v>
      </c>
      <c r="H10" s="167" t="s">
        <v>2490</v>
      </c>
      <c r="I10" s="167"/>
    </row>
    <row r="11" spans="1:10">
      <c r="B11" s="159"/>
      <c r="C11" s="159"/>
      <c r="D11" s="159" t="s">
        <v>1848</v>
      </c>
      <c r="E11" s="159"/>
      <c r="F11" s="166" t="s">
        <v>2805</v>
      </c>
      <c r="G11" s="166" t="s">
        <v>2431</v>
      </c>
      <c r="H11" s="166" t="s">
        <v>2491</v>
      </c>
      <c r="I11" s="166"/>
    </row>
    <row r="12" spans="1:10">
      <c r="B12" s="159"/>
      <c r="C12" s="159"/>
      <c r="D12" s="159" t="s">
        <v>1849</v>
      </c>
      <c r="E12" s="159"/>
      <c r="F12" s="169">
        <v>45590</v>
      </c>
      <c r="G12" s="169">
        <v>45569</v>
      </c>
      <c r="H12" s="169">
        <v>45590</v>
      </c>
      <c r="I12" s="169"/>
    </row>
    <row r="13" spans="1:10">
      <c r="B13" s="159"/>
      <c r="C13" s="159"/>
      <c r="D13" s="159" t="s">
        <v>1850</v>
      </c>
      <c r="E13" s="159"/>
      <c r="F13" s="166" t="s">
        <v>2427</v>
      </c>
      <c r="G13" s="166" t="s">
        <v>1852</v>
      </c>
      <c r="H13" s="167" t="s">
        <v>2492</v>
      </c>
      <c r="I13" s="167"/>
    </row>
    <row r="15" spans="1:10" ht="25.5">
      <c r="B15" s="103" t="s">
        <v>1851</v>
      </c>
      <c r="C15" s="103" t="s">
        <v>1188</v>
      </c>
      <c r="D15" s="172">
        <f>MIN(F17:H17)</f>
        <v>2116.5</v>
      </c>
      <c r="E15" s="103" t="s">
        <v>144</v>
      </c>
      <c r="F15" s="103" t="s">
        <v>1186</v>
      </c>
      <c r="G15" s="103" t="s">
        <v>1187</v>
      </c>
      <c r="H15" s="103" t="s">
        <v>4197</v>
      </c>
      <c r="I15" s="103"/>
    </row>
    <row r="16" spans="1:10" ht="30">
      <c r="B16" s="159"/>
      <c r="C16" s="159"/>
      <c r="D16" s="159" t="s">
        <v>1845</v>
      </c>
      <c r="E16" s="159"/>
      <c r="F16" s="171" t="s">
        <v>1854</v>
      </c>
      <c r="G16" s="170" t="s">
        <v>1858</v>
      </c>
      <c r="H16" s="170" t="s">
        <v>4198</v>
      </c>
      <c r="I16" s="167"/>
    </row>
    <row r="17" spans="2:9">
      <c r="B17" s="159"/>
      <c r="C17" s="159"/>
      <c r="D17" s="159" t="s">
        <v>1846</v>
      </c>
      <c r="E17" s="159"/>
      <c r="F17" s="168">
        <v>2621.99</v>
      </c>
      <c r="G17" s="168">
        <v>2759.99</v>
      </c>
      <c r="H17" s="168">
        <v>2116.5</v>
      </c>
      <c r="I17" s="168"/>
    </row>
    <row r="18" spans="2:9">
      <c r="B18" s="159"/>
      <c r="C18" s="159"/>
      <c r="D18" s="159" t="s">
        <v>1847</v>
      </c>
      <c r="E18" s="159"/>
      <c r="F18" s="166" t="s">
        <v>1855</v>
      </c>
      <c r="G18" s="167" t="s">
        <v>1859</v>
      </c>
      <c r="H18" s="167" t="s">
        <v>4199</v>
      </c>
      <c r="I18" s="167"/>
    </row>
    <row r="19" spans="2:9">
      <c r="B19" s="159"/>
      <c r="C19" s="159"/>
      <c r="D19" s="159" t="s">
        <v>1848</v>
      </c>
      <c r="E19" s="159"/>
      <c r="F19" s="166" t="s">
        <v>1856</v>
      </c>
      <c r="G19" s="166" t="s">
        <v>1860</v>
      </c>
      <c r="H19" s="176" t="s">
        <v>4200</v>
      </c>
      <c r="I19" s="166"/>
    </row>
    <row r="20" spans="2:9">
      <c r="B20" s="159"/>
      <c r="C20" s="159"/>
      <c r="D20" s="159" t="s">
        <v>1849</v>
      </c>
      <c r="E20" s="159"/>
      <c r="F20" s="169">
        <v>45538</v>
      </c>
      <c r="G20" s="169">
        <v>45538</v>
      </c>
      <c r="H20" s="169">
        <v>45601</v>
      </c>
      <c r="I20" s="169"/>
    </row>
    <row r="21" spans="2:9">
      <c r="B21" s="159"/>
      <c r="C21" s="159"/>
      <c r="D21" s="159" t="s">
        <v>1850</v>
      </c>
      <c r="E21" s="159"/>
      <c r="F21" s="166" t="s">
        <v>1857</v>
      </c>
      <c r="G21" s="167" t="s">
        <v>1861</v>
      </c>
      <c r="H21" s="167" t="s">
        <v>1862</v>
      </c>
      <c r="I21" s="167"/>
    </row>
    <row r="23" spans="2:9" ht="25.5">
      <c r="B23" s="103" t="s">
        <v>1853</v>
      </c>
      <c r="C23" s="103" t="s">
        <v>3680</v>
      </c>
      <c r="D23" s="172">
        <f>MIN(F25:H25)</f>
        <v>2898</v>
      </c>
      <c r="E23" s="103" t="s">
        <v>144</v>
      </c>
      <c r="F23" s="103" t="s">
        <v>2160</v>
      </c>
      <c r="G23" s="103" t="s">
        <v>2161</v>
      </c>
      <c r="H23" s="103" t="s">
        <v>2162</v>
      </c>
      <c r="I23" s="103"/>
    </row>
    <row r="24" spans="2:9" ht="30">
      <c r="B24" s="159"/>
      <c r="C24" s="159"/>
      <c r="D24" s="159" t="s">
        <v>1845</v>
      </c>
      <c r="E24" s="159"/>
      <c r="F24" s="170" t="s">
        <v>2163</v>
      </c>
      <c r="G24" s="170" t="s">
        <v>2164</v>
      </c>
      <c r="H24" s="170" t="s">
        <v>2074</v>
      </c>
      <c r="I24" s="167"/>
    </row>
    <row r="25" spans="2:9">
      <c r="B25" s="159"/>
      <c r="C25" s="159"/>
      <c r="D25" s="159" t="s">
        <v>1846</v>
      </c>
      <c r="E25" s="159"/>
      <c r="F25" s="168">
        <v>3150</v>
      </c>
      <c r="G25" s="168">
        <v>2898</v>
      </c>
      <c r="H25" s="168">
        <v>3275</v>
      </c>
      <c r="I25" s="168"/>
    </row>
    <row r="26" spans="2:9">
      <c r="B26" s="159"/>
      <c r="C26" s="159"/>
      <c r="D26" s="159" t="s">
        <v>1847</v>
      </c>
      <c r="E26" s="159"/>
      <c r="F26" s="166" t="s">
        <v>2165</v>
      </c>
      <c r="G26" s="167" t="s">
        <v>2166</v>
      </c>
      <c r="H26" s="167" t="s">
        <v>2167</v>
      </c>
      <c r="I26" s="167"/>
    </row>
    <row r="27" spans="2:9">
      <c r="B27" s="159"/>
      <c r="C27" s="159"/>
      <c r="D27" s="159" t="s">
        <v>1848</v>
      </c>
      <c r="E27" s="159"/>
      <c r="F27" s="166" t="s">
        <v>2168</v>
      </c>
      <c r="G27" s="166" t="s">
        <v>1865</v>
      </c>
      <c r="H27" s="173" t="s">
        <v>2169</v>
      </c>
      <c r="I27" s="166"/>
    </row>
    <row r="28" spans="2:9">
      <c r="B28" s="159"/>
      <c r="C28" s="159"/>
      <c r="D28" s="159" t="s">
        <v>1849</v>
      </c>
      <c r="E28" s="159"/>
      <c r="F28" s="169">
        <v>45539</v>
      </c>
      <c r="G28" s="169">
        <v>45539</v>
      </c>
      <c r="H28" s="169">
        <v>45539</v>
      </c>
      <c r="I28" s="169"/>
    </row>
    <row r="29" spans="2:9">
      <c r="B29" s="159"/>
      <c r="C29" s="159"/>
      <c r="D29" s="159" t="s">
        <v>1850</v>
      </c>
      <c r="E29" s="159"/>
      <c r="F29" s="166" t="s">
        <v>1864</v>
      </c>
      <c r="G29" s="167" t="s">
        <v>1866</v>
      </c>
      <c r="H29" s="167" t="s">
        <v>1867</v>
      </c>
      <c r="I29" s="167"/>
    </row>
    <row r="31" spans="2:9">
      <c r="B31" s="175" t="s">
        <v>2790</v>
      </c>
      <c r="C31" s="105"/>
      <c r="D31" s="105"/>
      <c r="E31" s="105"/>
      <c r="F31" s="110"/>
      <c r="G31" s="110"/>
      <c r="H31" s="110"/>
      <c r="I31" s="110"/>
    </row>
    <row r="32" spans="2:9">
      <c r="B32" s="103" t="s">
        <v>18</v>
      </c>
      <c r="C32" s="103" t="s">
        <v>627</v>
      </c>
      <c r="D32" s="172" t="s">
        <v>579</v>
      </c>
      <c r="E32" s="103" t="s">
        <v>144</v>
      </c>
      <c r="F32" s="103" t="s">
        <v>581</v>
      </c>
      <c r="G32" s="103" t="s">
        <v>1869</v>
      </c>
      <c r="H32" s="103" t="s">
        <v>1870</v>
      </c>
      <c r="I32" s="103"/>
    </row>
    <row r="33" spans="2:9">
      <c r="B33" s="159">
        <v>88264</v>
      </c>
      <c r="C33" s="159" t="s">
        <v>609</v>
      </c>
      <c r="D33" s="159" t="s">
        <v>119</v>
      </c>
      <c r="E33" s="159" t="s">
        <v>121</v>
      </c>
      <c r="F33" s="174">
        <v>0.5</v>
      </c>
      <c r="G33" s="160">
        <v>28.38</v>
      </c>
      <c r="H33" s="160">
        <f>G33*F33</f>
        <v>14.19</v>
      </c>
      <c r="I33" s="160"/>
    </row>
    <row r="35" spans="2:9" ht="25.5">
      <c r="B35" s="103" t="s">
        <v>1863</v>
      </c>
      <c r="C35" s="103" t="s">
        <v>3949</v>
      </c>
      <c r="D35" s="172">
        <f>MIN(F37:H37)</f>
        <v>15.25</v>
      </c>
      <c r="E35" s="103" t="s">
        <v>1882</v>
      </c>
      <c r="F35" s="103" t="s">
        <v>1872</v>
      </c>
      <c r="G35" s="103"/>
      <c r="H35" s="103"/>
      <c r="I35" s="103"/>
    </row>
    <row r="36" spans="2:9">
      <c r="B36" s="159"/>
      <c r="C36" s="159" t="s">
        <v>1880</v>
      </c>
      <c r="D36" s="159" t="s">
        <v>1845</v>
      </c>
      <c r="E36" s="159"/>
      <c r="F36" s="170" t="s">
        <v>1873</v>
      </c>
      <c r="G36" s="170"/>
      <c r="H36" s="170"/>
      <c r="I36" s="167"/>
    </row>
    <row r="37" spans="2:9">
      <c r="B37" s="159"/>
      <c r="C37" s="159"/>
      <c r="D37" s="159" t="s">
        <v>1846</v>
      </c>
      <c r="E37" s="159"/>
      <c r="F37" s="168">
        <v>15.25</v>
      </c>
      <c r="G37" s="168"/>
      <c r="H37" s="168"/>
      <c r="I37" s="168"/>
    </row>
    <row r="38" spans="2:9" ht="25.5">
      <c r="B38" s="159"/>
      <c r="C38" s="159"/>
      <c r="D38" s="159" t="s">
        <v>2179</v>
      </c>
      <c r="E38" s="159"/>
      <c r="F38" s="218">
        <v>1</v>
      </c>
      <c r="G38" s="168"/>
      <c r="H38" s="168"/>
      <c r="I38" s="168"/>
    </row>
    <row r="39" spans="2:9">
      <c r="B39" s="159"/>
      <c r="C39" s="159"/>
      <c r="D39" s="159" t="s">
        <v>1847</v>
      </c>
      <c r="E39" s="159"/>
      <c r="F39" s="166" t="s">
        <v>1874</v>
      </c>
      <c r="G39" s="167"/>
      <c r="H39" s="167"/>
      <c r="I39" s="167"/>
    </row>
    <row r="40" spans="2:9">
      <c r="B40" s="159"/>
      <c r="C40" s="159"/>
      <c r="D40" s="159" t="s">
        <v>1848</v>
      </c>
      <c r="E40" s="159"/>
      <c r="F40" s="166" t="s">
        <v>1875</v>
      </c>
      <c r="G40" s="166"/>
      <c r="H40" s="173"/>
      <c r="I40" s="166"/>
    </row>
    <row r="41" spans="2:9">
      <c r="B41" s="159"/>
      <c r="C41" s="159"/>
      <c r="D41" s="159" t="s">
        <v>1849</v>
      </c>
      <c r="E41" s="159"/>
      <c r="F41" s="169">
        <v>45534</v>
      </c>
      <c r="G41" s="169"/>
      <c r="H41" s="169"/>
      <c r="I41" s="169"/>
    </row>
    <row r="42" spans="2:9">
      <c r="B42" s="159"/>
      <c r="C42" s="159"/>
      <c r="D42" s="159" t="s">
        <v>1850</v>
      </c>
      <c r="E42" s="159"/>
      <c r="F42" s="166" t="s">
        <v>1876</v>
      </c>
      <c r="G42" s="167"/>
      <c r="H42" s="167"/>
      <c r="I42" s="167"/>
    </row>
    <row r="44" spans="2:9" s="106" customFormat="1" ht="38.25">
      <c r="B44" s="103" t="s">
        <v>1871</v>
      </c>
      <c r="C44" s="103" t="s">
        <v>1840</v>
      </c>
      <c r="D44" s="172">
        <f>MIN(F46:H46)</f>
        <v>262.55</v>
      </c>
      <c r="E44" s="103" t="s">
        <v>144</v>
      </c>
      <c r="F44" s="103" t="s">
        <v>1879</v>
      </c>
      <c r="G44" s="103"/>
      <c r="H44" s="103"/>
      <c r="I44" s="103"/>
    </row>
    <row r="45" spans="2:9" s="106" customFormat="1">
      <c r="B45" s="159"/>
      <c r="C45" s="159"/>
      <c r="D45" s="159" t="s">
        <v>1845</v>
      </c>
      <c r="E45" s="159"/>
      <c r="F45" s="170"/>
      <c r="G45" s="170"/>
      <c r="H45" s="170"/>
      <c r="I45" s="167"/>
    </row>
    <row r="46" spans="2:9" s="106" customFormat="1" ht="12.75">
      <c r="B46" s="159"/>
      <c r="C46" s="159"/>
      <c r="D46" s="159" t="s">
        <v>1846</v>
      </c>
      <c r="E46" s="159"/>
      <c r="F46" s="168">
        <v>262.55</v>
      </c>
      <c r="G46" s="168"/>
      <c r="H46" s="168"/>
      <c r="I46" s="168"/>
    </row>
    <row r="47" spans="2:9" s="106" customFormat="1" ht="12.75">
      <c r="B47" s="159"/>
      <c r="C47" s="159"/>
      <c r="D47" s="159" t="s">
        <v>1847</v>
      </c>
      <c r="E47" s="159"/>
      <c r="F47" s="166"/>
      <c r="G47" s="167"/>
      <c r="H47" s="167"/>
      <c r="I47" s="167"/>
    </row>
    <row r="48" spans="2:9" s="106" customFormat="1" ht="12.75">
      <c r="B48" s="159"/>
      <c r="C48" s="159"/>
      <c r="D48" s="159" t="s">
        <v>1848</v>
      </c>
      <c r="E48" s="159"/>
      <c r="F48" s="166"/>
      <c r="G48" s="166"/>
      <c r="H48" s="173"/>
      <c r="I48" s="166"/>
    </row>
    <row r="49" spans="2:9" s="106" customFormat="1" ht="12.75">
      <c r="B49" s="159"/>
      <c r="C49" s="159"/>
      <c r="D49" s="159" t="s">
        <v>1849</v>
      </c>
      <c r="E49" s="159"/>
      <c r="F49" s="169">
        <v>45565</v>
      </c>
      <c r="G49" s="169"/>
      <c r="H49" s="169"/>
      <c r="I49" s="169"/>
    </row>
    <row r="50" spans="2:9" s="106" customFormat="1" ht="12.75">
      <c r="B50" s="159"/>
      <c r="C50" s="159"/>
      <c r="D50" s="159" t="s">
        <v>1850</v>
      </c>
      <c r="E50" s="159"/>
      <c r="F50" s="166" t="s">
        <v>1878</v>
      </c>
      <c r="G50" s="167"/>
      <c r="H50" s="167"/>
      <c r="I50" s="167"/>
    </row>
    <row r="51" spans="2:9" s="106" customFormat="1" ht="12.75" customHeight="1">
      <c r="B51" s="105"/>
      <c r="C51" s="105"/>
      <c r="D51" s="105"/>
      <c r="E51" s="105"/>
      <c r="F51" s="110"/>
      <c r="G51" s="110"/>
      <c r="H51" s="110"/>
      <c r="I51" s="110"/>
    </row>
    <row r="52" spans="2:9" s="106" customFormat="1" ht="38.25">
      <c r="B52" s="103" t="s">
        <v>1868</v>
      </c>
      <c r="C52" s="103" t="s">
        <v>2696</v>
      </c>
      <c r="D52" s="172">
        <f>MIN(F54:H54)</f>
        <v>1400</v>
      </c>
      <c r="E52" s="103" t="s">
        <v>144</v>
      </c>
      <c r="F52" s="103" t="s">
        <v>2078</v>
      </c>
      <c r="G52" s="103" t="s">
        <v>2079</v>
      </c>
      <c r="H52" s="103" t="s">
        <v>2080</v>
      </c>
      <c r="I52" s="103"/>
    </row>
    <row r="53" spans="2:9" s="106" customFormat="1" ht="30">
      <c r="B53" s="159"/>
      <c r="C53" s="159"/>
      <c r="D53" s="159" t="s">
        <v>1845</v>
      </c>
      <c r="E53" s="159"/>
      <c r="F53" s="170" t="s">
        <v>2081</v>
      </c>
      <c r="G53" s="170" t="s">
        <v>2082</v>
      </c>
      <c r="H53" s="170" t="s">
        <v>4229</v>
      </c>
      <c r="I53" s="167"/>
    </row>
    <row r="54" spans="2:9" s="106" customFormat="1" ht="12.75" customHeight="1">
      <c r="B54" s="159"/>
      <c r="C54" s="159"/>
      <c r="D54" s="159" t="s">
        <v>1846</v>
      </c>
      <c r="E54" s="159"/>
      <c r="F54" s="168">
        <v>1400</v>
      </c>
      <c r="G54" s="168">
        <v>1710.5</v>
      </c>
      <c r="H54" s="168">
        <v>1411.82</v>
      </c>
      <c r="I54" s="168"/>
    </row>
    <row r="55" spans="2:9" s="106" customFormat="1" ht="12.75">
      <c r="B55" s="159"/>
      <c r="C55" s="159"/>
      <c r="D55" s="159" t="s">
        <v>1847</v>
      </c>
      <c r="E55" s="159"/>
      <c r="F55" s="166" t="s">
        <v>2083</v>
      </c>
      <c r="G55" s="167" t="s">
        <v>2084</v>
      </c>
      <c r="H55" s="167" t="s">
        <v>2085</v>
      </c>
      <c r="I55" s="167"/>
    </row>
    <row r="56" spans="2:9" s="106" customFormat="1" ht="12.75" customHeight="1">
      <c r="B56" s="159"/>
      <c r="C56" s="159"/>
      <c r="D56" s="159" t="s">
        <v>1848</v>
      </c>
      <c r="E56" s="159"/>
      <c r="F56" s="166" t="s">
        <v>2086</v>
      </c>
      <c r="G56" s="166" t="s">
        <v>2087</v>
      </c>
      <c r="H56" s="173" t="s">
        <v>4230</v>
      </c>
      <c r="I56" s="166"/>
    </row>
    <row r="57" spans="2:9" s="106" customFormat="1" ht="12.75" customHeight="1">
      <c r="B57" s="159"/>
      <c r="C57" s="159"/>
      <c r="D57" s="159" t="s">
        <v>1849</v>
      </c>
      <c r="E57" s="159"/>
      <c r="F57" s="169">
        <v>45546</v>
      </c>
      <c r="G57" s="169">
        <v>45546</v>
      </c>
      <c r="H57" s="169">
        <v>45758</v>
      </c>
      <c r="I57" s="169"/>
    </row>
    <row r="58" spans="2:9" s="106" customFormat="1" ht="12.75" customHeight="1">
      <c r="B58" s="159"/>
      <c r="C58" s="159"/>
      <c r="D58" s="159" t="s">
        <v>1850</v>
      </c>
      <c r="E58" s="159"/>
      <c r="F58" s="166" t="s">
        <v>2088</v>
      </c>
      <c r="G58" s="166" t="s">
        <v>2089</v>
      </c>
      <c r="H58" s="166" t="s">
        <v>2090</v>
      </c>
      <c r="I58" s="167"/>
    </row>
    <row r="59" spans="2:9" s="106" customFormat="1" ht="12.75" customHeight="1">
      <c r="B59" s="105"/>
      <c r="C59" s="105"/>
      <c r="D59" s="105"/>
      <c r="E59" s="105"/>
      <c r="F59" s="110"/>
      <c r="G59" s="110"/>
      <c r="H59" s="110"/>
      <c r="I59" s="110"/>
    </row>
    <row r="60" spans="2:9" s="534" customFormat="1" ht="25.5">
      <c r="B60" s="103" t="s">
        <v>1877</v>
      </c>
      <c r="C60" s="103" t="s">
        <v>2127</v>
      </c>
      <c r="D60" s="172">
        <f>MIN(F62:H62)</f>
        <v>218</v>
      </c>
      <c r="E60" s="103" t="s">
        <v>144</v>
      </c>
      <c r="F60" s="103" t="s">
        <v>2128</v>
      </c>
      <c r="G60" s="103" t="s">
        <v>4217</v>
      </c>
      <c r="H60" s="103" t="s">
        <v>2135</v>
      </c>
      <c r="I60" s="103"/>
    </row>
    <row r="61" spans="2:9" s="106" customFormat="1" ht="30">
      <c r="B61" s="159"/>
      <c r="C61" s="159"/>
      <c r="D61" s="159" t="s">
        <v>1845</v>
      </c>
      <c r="E61" s="159"/>
      <c r="F61" s="170" t="s">
        <v>2129</v>
      </c>
      <c r="G61" s="170" t="s">
        <v>4218</v>
      </c>
      <c r="H61" s="170" t="s">
        <v>2132</v>
      </c>
      <c r="I61" s="167"/>
    </row>
    <row r="62" spans="2:9" s="106" customFormat="1" ht="25.5" customHeight="1">
      <c r="B62" s="159"/>
      <c r="C62" s="159"/>
      <c r="D62" s="159" t="s">
        <v>1846</v>
      </c>
      <c r="E62" s="159"/>
      <c r="F62" s="168">
        <v>233.64</v>
      </c>
      <c r="G62" s="168">
        <v>290</v>
      </c>
      <c r="H62" s="168">
        <v>218</v>
      </c>
      <c r="I62" s="168"/>
    </row>
    <row r="63" spans="2:9" s="106" customFormat="1" ht="12.75">
      <c r="B63" s="159"/>
      <c r="C63" s="159"/>
      <c r="D63" s="159" t="s">
        <v>1847</v>
      </c>
      <c r="E63" s="159"/>
      <c r="F63" s="166" t="s">
        <v>2130</v>
      </c>
      <c r="G63" s="166" t="s">
        <v>4219</v>
      </c>
      <c r="H63" s="167" t="s">
        <v>2133</v>
      </c>
      <c r="I63" s="167"/>
    </row>
    <row r="64" spans="2:9" s="106" customFormat="1" ht="12.75" customHeight="1">
      <c r="B64" s="159"/>
      <c r="C64" s="159"/>
      <c r="D64" s="159" t="s">
        <v>1848</v>
      </c>
      <c r="E64" s="159"/>
      <c r="F64" s="166" t="s">
        <v>2131</v>
      </c>
      <c r="G64" s="166" t="s">
        <v>4220</v>
      </c>
      <c r="H64" s="173" t="s">
        <v>2134</v>
      </c>
      <c r="I64" s="166"/>
    </row>
    <row r="65" spans="2:9" s="106" customFormat="1" ht="12.75" customHeight="1">
      <c r="B65" s="159"/>
      <c r="C65" s="159"/>
      <c r="D65" s="159" t="s">
        <v>1849</v>
      </c>
      <c r="E65" s="159"/>
      <c r="F65" s="169">
        <v>45548</v>
      </c>
      <c r="G65" s="169">
        <v>45601</v>
      </c>
      <c r="H65" s="169">
        <v>45548</v>
      </c>
      <c r="I65" s="169"/>
    </row>
    <row r="66" spans="2:9" s="106" customFormat="1" ht="12.75" customHeight="1">
      <c r="B66" s="159"/>
      <c r="C66" s="159"/>
      <c r="D66" s="159" t="s">
        <v>1850</v>
      </c>
      <c r="E66" s="159"/>
      <c r="F66" s="166" t="s">
        <v>2107</v>
      </c>
      <c r="G66" s="166" t="s">
        <v>2108</v>
      </c>
      <c r="H66" s="166" t="s">
        <v>2109</v>
      </c>
      <c r="I66" s="167"/>
    </row>
    <row r="67" spans="2:9" s="106" customFormat="1" ht="12.75" customHeight="1">
      <c r="B67" s="105"/>
      <c r="C67" s="105"/>
      <c r="D67" s="105"/>
      <c r="E67" s="105"/>
      <c r="F67" s="110"/>
      <c r="G67" s="110"/>
      <c r="H67" s="110"/>
      <c r="I67" s="110"/>
    </row>
    <row r="68" spans="2:9" s="106" customFormat="1" ht="25.5">
      <c r="B68" s="103" t="s">
        <v>2073</v>
      </c>
      <c r="C68" s="103" t="s">
        <v>2506</v>
      </c>
      <c r="D68" s="172">
        <f>MIN(F70:H70)</f>
        <v>7957.37</v>
      </c>
      <c r="E68" s="103" t="s">
        <v>315</v>
      </c>
      <c r="F68" s="103" t="s">
        <v>2112</v>
      </c>
      <c r="G68" s="103" t="s">
        <v>2113</v>
      </c>
      <c r="H68" s="103" t="s">
        <v>2114</v>
      </c>
      <c r="I68" s="103"/>
    </row>
    <row r="69" spans="2:9" s="106" customFormat="1" ht="12.75" customHeight="1">
      <c r="B69" s="159"/>
      <c r="C69" s="159"/>
      <c r="D69" s="159" t="s">
        <v>1845</v>
      </c>
      <c r="E69" s="159"/>
      <c r="F69" s="170" t="s">
        <v>2115</v>
      </c>
      <c r="G69" s="170" t="s">
        <v>2119</v>
      </c>
      <c r="H69" s="170" t="s">
        <v>2123</v>
      </c>
      <c r="I69" s="167"/>
    </row>
    <row r="70" spans="2:9" s="106" customFormat="1" ht="12.75" customHeight="1">
      <c r="B70" s="159"/>
      <c r="C70" s="159"/>
      <c r="D70" s="159" t="s">
        <v>1846</v>
      </c>
      <c r="E70" s="159"/>
      <c r="F70" s="168">
        <v>9735.11</v>
      </c>
      <c r="G70" s="168">
        <v>7957.37</v>
      </c>
      <c r="H70" s="168">
        <v>11200</v>
      </c>
      <c r="I70" s="168"/>
    </row>
    <row r="71" spans="2:9" s="106" customFormat="1" ht="12.75">
      <c r="B71" s="159"/>
      <c r="C71" s="159"/>
      <c r="D71" s="159" t="s">
        <v>1847</v>
      </c>
      <c r="E71" s="159"/>
      <c r="F71" s="166" t="s">
        <v>2116</v>
      </c>
      <c r="G71" s="166" t="s">
        <v>2120</v>
      </c>
      <c r="H71" s="167" t="s">
        <v>2124</v>
      </c>
      <c r="I71" s="167"/>
    </row>
    <row r="72" spans="2:9" s="106" customFormat="1" ht="12.75" customHeight="1">
      <c r="B72" s="159"/>
      <c r="C72" s="159"/>
      <c r="D72" s="159" t="s">
        <v>1848</v>
      </c>
      <c r="E72" s="159"/>
      <c r="F72" s="166" t="s">
        <v>2117</v>
      </c>
      <c r="G72" s="166" t="s">
        <v>2121</v>
      </c>
      <c r="H72" s="173" t="s">
        <v>2125</v>
      </c>
      <c r="I72" s="166"/>
    </row>
    <row r="73" spans="2:9" s="106" customFormat="1" ht="12.75" customHeight="1">
      <c r="B73" s="159"/>
      <c r="C73" s="159"/>
      <c r="D73" s="159" t="s">
        <v>1849</v>
      </c>
      <c r="E73" s="159"/>
      <c r="F73" s="169">
        <v>45546</v>
      </c>
      <c r="G73" s="169">
        <v>45545</v>
      </c>
      <c r="H73" s="169">
        <v>45546</v>
      </c>
      <c r="I73" s="169"/>
    </row>
    <row r="74" spans="2:9" s="106" customFormat="1" ht="12.75" customHeight="1">
      <c r="B74" s="159"/>
      <c r="C74" s="159"/>
      <c r="D74" s="159" t="s">
        <v>1850</v>
      </c>
      <c r="E74" s="159"/>
      <c r="F74" s="166" t="s">
        <v>2118</v>
      </c>
      <c r="G74" s="166" t="s">
        <v>2122</v>
      </c>
      <c r="H74" s="166" t="s">
        <v>2126</v>
      </c>
      <c r="I74" s="167"/>
    </row>
    <row r="75" spans="2:9" s="106" customFormat="1" ht="12.75" customHeight="1">
      <c r="B75" s="105"/>
      <c r="C75" s="105"/>
      <c r="D75" s="105"/>
      <c r="E75" s="105"/>
      <c r="F75" s="110"/>
      <c r="G75" s="110"/>
      <c r="H75" s="110"/>
      <c r="I75" s="110"/>
    </row>
    <row r="76" spans="2:9" s="534" customFormat="1" ht="25.5">
      <c r="B76" s="103" t="s">
        <v>2077</v>
      </c>
      <c r="C76" s="103" t="s">
        <v>2374</v>
      </c>
      <c r="D76" s="172">
        <f>MIN(F78:H78)</f>
        <v>299</v>
      </c>
      <c r="E76" s="103" t="s">
        <v>139</v>
      </c>
      <c r="F76" s="103" t="s">
        <v>2375</v>
      </c>
      <c r="G76" s="103" t="s">
        <v>2925</v>
      </c>
      <c r="H76" s="103" t="s">
        <v>2926</v>
      </c>
      <c r="I76" s="103"/>
    </row>
    <row r="77" spans="2:9" s="106" customFormat="1" ht="12.75" customHeight="1">
      <c r="B77" s="159"/>
      <c r="C77" s="159"/>
      <c r="D77" s="159" t="s">
        <v>1845</v>
      </c>
      <c r="E77" s="159"/>
      <c r="F77" s="170" t="s">
        <v>2927</v>
      </c>
      <c r="G77" s="170" t="s">
        <v>2928</v>
      </c>
      <c r="H77" s="170" t="s">
        <v>2929</v>
      </c>
      <c r="I77" s="167"/>
    </row>
    <row r="78" spans="2:9" s="106" customFormat="1" ht="12.75" customHeight="1">
      <c r="B78" s="159"/>
      <c r="C78" s="159"/>
      <c r="D78" s="159" t="s">
        <v>1846</v>
      </c>
      <c r="E78" s="159"/>
      <c r="F78" s="168">
        <v>299</v>
      </c>
      <c r="G78" s="168">
        <v>441.33</v>
      </c>
      <c r="H78" s="168">
        <v>1045</v>
      </c>
      <c r="I78" s="168"/>
    </row>
    <row r="79" spans="2:9" s="106" customFormat="1" ht="12.75">
      <c r="B79" s="159"/>
      <c r="C79" s="159"/>
      <c r="D79" s="159" t="s">
        <v>1847</v>
      </c>
      <c r="E79" s="159"/>
      <c r="F79" s="166" t="s">
        <v>2377</v>
      </c>
      <c r="G79" s="166" t="s">
        <v>2930</v>
      </c>
      <c r="H79" s="167" t="s">
        <v>2931</v>
      </c>
      <c r="I79" s="167"/>
    </row>
    <row r="80" spans="2:9" s="106" customFormat="1" ht="12.75" customHeight="1">
      <c r="B80" s="159"/>
      <c r="C80" s="159"/>
      <c r="D80" s="159" t="s">
        <v>1848</v>
      </c>
      <c r="E80" s="159"/>
      <c r="F80" s="166" t="s">
        <v>2376</v>
      </c>
      <c r="G80" s="166" t="s">
        <v>2932</v>
      </c>
      <c r="H80" s="173" t="s">
        <v>2933</v>
      </c>
      <c r="I80" s="166"/>
    </row>
    <row r="81" spans="2:9" s="106" customFormat="1" ht="12.75" customHeight="1">
      <c r="B81" s="159"/>
      <c r="C81" s="159"/>
      <c r="D81" s="159" t="s">
        <v>1849</v>
      </c>
      <c r="E81" s="159"/>
      <c r="F81" s="169">
        <v>45555</v>
      </c>
      <c r="G81" s="169">
        <v>45595</v>
      </c>
      <c r="H81" s="169">
        <v>45596</v>
      </c>
      <c r="I81" s="169"/>
    </row>
    <row r="82" spans="2:9" s="106" customFormat="1" ht="12.75" customHeight="1">
      <c r="B82" s="159"/>
      <c r="C82" s="159"/>
      <c r="D82" s="159" t="s">
        <v>1850</v>
      </c>
      <c r="E82" s="159"/>
      <c r="F82" s="166" t="s">
        <v>2180</v>
      </c>
      <c r="G82" s="166" t="s">
        <v>2181</v>
      </c>
      <c r="H82" s="166" t="s">
        <v>2182</v>
      </c>
      <c r="I82" s="167"/>
    </row>
    <row r="83" spans="2:9" s="106" customFormat="1" ht="12.75" customHeight="1">
      <c r="B83" s="105"/>
      <c r="C83" s="105"/>
      <c r="D83" s="105"/>
      <c r="E83" s="105"/>
      <c r="F83" s="110"/>
      <c r="G83" s="110"/>
      <c r="H83" s="110"/>
      <c r="I83" s="110"/>
    </row>
    <row r="84" spans="2:9" s="534" customFormat="1" ht="25.5">
      <c r="B84" s="103" t="s">
        <v>2110</v>
      </c>
      <c r="C84" s="103" t="s">
        <v>2801</v>
      </c>
      <c r="D84" s="172">
        <f>MIN(F86:H86)</f>
        <v>1073.43</v>
      </c>
      <c r="E84" s="103" t="s">
        <v>144</v>
      </c>
      <c r="F84" s="103" t="s">
        <v>4231</v>
      </c>
      <c r="G84" s="103" t="s">
        <v>3698</v>
      </c>
      <c r="H84" s="103" t="s">
        <v>4232</v>
      </c>
      <c r="I84" s="103"/>
    </row>
    <row r="85" spans="2:9" s="106" customFormat="1" ht="12.75" customHeight="1">
      <c r="B85" s="159"/>
      <c r="C85" s="159"/>
      <c r="D85" s="159" t="s">
        <v>1845</v>
      </c>
      <c r="E85" s="159"/>
      <c r="F85" s="170" t="s">
        <v>4233</v>
      </c>
      <c r="G85" s="170" t="s">
        <v>3699</v>
      </c>
      <c r="H85" s="170" t="s">
        <v>4234</v>
      </c>
      <c r="I85" s="167"/>
    </row>
    <row r="86" spans="2:9" s="106" customFormat="1" ht="12.75" customHeight="1">
      <c r="B86" s="159"/>
      <c r="C86" s="159"/>
      <c r="D86" s="159" t="s">
        <v>1846</v>
      </c>
      <c r="E86" s="159"/>
      <c r="F86" s="168">
        <v>1073.43</v>
      </c>
      <c r="G86" s="168">
        <v>1293.9000000000001</v>
      </c>
      <c r="H86" s="168">
        <v>1318.8</v>
      </c>
      <c r="I86" s="168"/>
    </row>
    <row r="87" spans="2:9" s="106" customFormat="1" ht="12.75">
      <c r="B87" s="159"/>
      <c r="C87" s="159"/>
      <c r="D87" s="159" t="s">
        <v>1847</v>
      </c>
      <c r="E87" s="159"/>
      <c r="F87" s="166" t="s">
        <v>4235</v>
      </c>
      <c r="G87" s="166" t="s">
        <v>3700</v>
      </c>
      <c r="H87" s="167" t="s">
        <v>2155</v>
      </c>
      <c r="I87" s="167"/>
    </row>
    <row r="88" spans="2:9" s="106" customFormat="1" ht="12.75" customHeight="1">
      <c r="B88" s="159"/>
      <c r="C88" s="159"/>
      <c r="D88" s="159" t="s">
        <v>1848</v>
      </c>
      <c r="E88" s="159"/>
      <c r="F88" s="166" t="s">
        <v>4236</v>
      </c>
      <c r="G88" s="166" t="s">
        <v>3701</v>
      </c>
      <c r="H88" s="173" t="s">
        <v>2156</v>
      </c>
      <c r="I88" s="166"/>
    </row>
    <row r="89" spans="2:9" s="106" customFormat="1" ht="12.75" customHeight="1">
      <c r="B89" s="159"/>
      <c r="C89" s="159"/>
      <c r="D89" s="159" t="s">
        <v>1849</v>
      </c>
      <c r="E89" s="159"/>
      <c r="F89" s="169">
        <v>45601</v>
      </c>
      <c r="G89" s="169">
        <v>45601</v>
      </c>
      <c r="H89" s="169">
        <v>45601</v>
      </c>
      <c r="I89" s="169"/>
    </row>
    <row r="90" spans="2:9" s="106" customFormat="1" ht="12.75" customHeight="1">
      <c r="B90" s="159"/>
      <c r="C90" s="159"/>
      <c r="D90" s="159" t="s">
        <v>1850</v>
      </c>
      <c r="E90" s="159"/>
      <c r="F90" s="166" t="s">
        <v>2151</v>
      </c>
      <c r="G90" s="166" t="s">
        <v>4237</v>
      </c>
      <c r="H90" s="166" t="s">
        <v>2157</v>
      </c>
      <c r="I90" s="167"/>
    </row>
    <row r="91" spans="2:9" s="106" customFormat="1" ht="12.75" customHeight="1">
      <c r="B91" s="105"/>
      <c r="C91" s="105"/>
      <c r="D91" s="105"/>
      <c r="E91" s="105"/>
      <c r="F91" s="110"/>
      <c r="G91" s="110"/>
      <c r="H91" s="110"/>
      <c r="I91" s="110"/>
    </row>
    <row r="92" spans="2:9" s="106" customFormat="1" ht="25.5">
      <c r="B92" s="103" t="s">
        <v>2111</v>
      </c>
      <c r="C92" s="103" t="s">
        <v>2378</v>
      </c>
      <c r="D92" s="172">
        <f>MIN(F94:H94)</f>
        <v>1299</v>
      </c>
      <c r="E92" s="103" t="s">
        <v>144</v>
      </c>
      <c r="F92" s="103" t="s">
        <v>2379</v>
      </c>
      <c r="G92" s="103" t="s">
        <v>2384</v>
      </c>
      <c r="H92" s="103" t="s">
        <v>2389</v>
      </c>
      <c r="I92" s="103"/>
    </row>
    <row r="93" spans="2:9" s="106" customFormat="1" ht="12.75" customHeight="1">
      <c r="B93" s="159"/>
      <c r="C93" s="159"/>
      <c r="D93" s="159" t="s">
        <v>1845</v>
      </c>
      <c r="E93" s="159"/>
      <c r="F93" s="170" t="s">
        <v>2380</v>
      </c>
      <c r="G93" s="170" t="s">
        <v>2385</v>
      </c>
      <c r="H93" s="170" t="s">
        <v>2390</v>
      </c>
      <c r="I93" s="167"/>
    </row>
    <row r="94" spans="2:9" s="106" customFormat="1" ht="12.75" customHeight="1">
      <c r="B94" s="159"/>
      <c r="C94" s="159"/>
      <c r="D94" s="159" t="s">
        <v>1846</v>
      </c>
      <c r="E94" s="159"/>
      <c r="F94" s="168">
        <v>1299</v>
      </c>
      <c r="G94" s="168">
        <v>1390</v>
      </c>
      <c r="H94" s="168">
        <v>1624.66</v>
      </c>
      <c r="I94" s="168"/>
    </row>
    <row r="95" spans="2:9" s="106" customFormat="1" ht="12.75">
      <c r="B95" s="159"/>
      <c r="C95" s="159"/>
      <c r="D95" s="159" t="s">
        <v>1847</v>
      </c>
      <c r="E95" s="159"/>
      <c r="F95" s="166" t="s">
        <v>2381</v>
      </c>
      <c r="G95" s="167" t="s">
        <v>2386</v>
      </c>
      <c r="H95" s="167" t="s">
        <v>2391</v>
      </c>
      <c r="I95" s="167"/>
    </row>
    <row r="96" spans="2:9" s="106" customFormat="1" ht="12.75" customHeight="1">
      <c r="B96" s="159"/>
      <c r="C96" s="159"/>
      <c r="D96" s="159" t="s">
        <v>1848</v>
      </c>
      <c r="E96" s="159"/>
      <c r="F96" s="166" t="s">
        <v>2382</v>
      </c>
      <c r="G96" s="166" t="s">
        <v>2387</v>
      </c>
      <c r="H96" s="173" t="s">
        <v>2392</v>
      </c>
      <c r="I96" s="166"/>
    </row>
    <row r="97" spans="2:9" s="106" customFormat="1" ht="12.75" customHeight="1">
      <c r="B97" s="159"/>
      <c r="C97" s="159"/>
      <c r="D97" s="159" t="s">
        <v>1849</v>
      </c>
      <c r="E97" s="159"/>
      <c r="F97" s="169">
        <v>45568</v>
      </c>
      <c r="G97" s="169">
        <v>45568</v>
      </c>
      <c r="H97" s="169">
        <v>45568</v>
      </c>
      <c r="I97" s="169"/>
    </row>
    <row r="98" spans="2:9" s="106" customFormat="1" ht="12.75" customHeight="1">
      <c r="B98" s="159"/>
      <c r="C98" s="159"/>
      <c r="D98" s="159" t="s">
        <v>1850</v>
      </c>
      <c r="E98" s="159"/>
      <c r="F98" s="166" t="s">
        <v>2383</v>
      </c>
      <c r="G98" s="167" t="s">
        <v>2388</v>
      </c>
      <c r="H98" s="167" t="s">
        <v>2393</v>
      </c>
      <c r="I98" s="167"/>
    </row>
    <row r="99" spans="2:9" s="106" customFormat="1" ht="12.75" customHeight="1">
      <c r="B99" s="105"/>
      <c r="C99" s="105"/>
      <c r="D99" s="105"/>
      <c r="E99" s="105"/>
      <c r="F99" s="110"/>
      <c r="G99" s="110"/>
      <c r="H99" s="110"/>
      <c r="I99" s="110"/>
    </row>
    <row r="100" spans="2:9" s="106" customFormat="1" ht="12.75" customHeight="1">
      <c r="B100" s="175" t="s">
        <v>2791</v>
      </c>
      <c r="C100" s="105"/>
      <c r="D100" s="105"/>
      <c r="E100" s="105"/>
      <c r="F100" s="110"/>
      <c r="G100" s="110"/>
      <c r="H100" s="110"/>
      <c r="I100" s="110"/>
    </row>
    <row r="101" spans="2:9" s="106" customFormat="1" ht="12.75" customHeight="1">
      <c r="B101" s="103" t="s">
        <v>18</v>
      </c>
      <c r="C101" s="103" t="s">
        <v>797</v>
      </c>
      <c r="D101" s="172" t="s">
        <v>579</v>
      </c>
      <c r="E101" s="103" t="s">
        <v>144</v>
      </c>
      <c r="F101" s="103" t="s">
        <v>581</v>
      </c>
      <c r="G101" s="103" t="s">
        <v>1869</v>
      </c>
      <c r="H101" s="103" t="s">
        <v>1870</v>
      </c>
      <c r="I101" s="103"/>
    </row>
    <row r="102" spans="2:9" s="106" customFormat="1" ht="12.75" customHeight="1">
      <c r="B102" s="159">
        <v>88316</v>
      </c>
      <c r="C102" s="159" t="s">
        <v>626</v>
      </c>
      <c r="D102" s="159" t="s">
        <v>119</v>
      </c>
      <c r="E102" s="159" t="s">
        <v>121</v>
      </c>
      <c r="F102" s="174">
        <v>0.5</v>
      </c>
      <c r="G102" s="160">
        <v>21.38</v>
      </c>
      <c r="H102" s="160">
        <f>G102*F102</f>
        <v>10.69</v>
      </c>
      <c r="I102" s="160"/>
    </row>
    <row r="103" spans="2:9" s="106" customFormat="1" ht="12.75" customHeight="1">
      <c r="B103" s="105"/>
      <c r="C103" s="105"/>
      <c r="D103" s="105"/>
      <c r="E103" s="105"/>
      <c r="F103" s="110"/>
      <c r="G103" s="110"/>
      <c r="H103" s="110"/>
      <c r="I103" s="110"/>
    </row>
    <row r="104" spans="2:9" s="106" customFormat="1" ht="25.5">
      <c r="B104" s="103" t="s">
        <v>2140</v>
      </c>
      <c r="C104" s="103" t="s">
        <v>2505</v>
      </c>
      <c r="D104" s="172">
        <f>MIN(F106:H106)</f>
        <v>719.96</v>
      </c>
      <c r="E104" s="103" t="s">
        <v>144</v>
      </c>
      <c r="F104" s="103" t="s">
        <v>2397</v>
      </c>
      <c r="G104" s="103" t="s">
        <v>2399</v>
      </c>
      <c r="H104" s="103" t="s">
        <v>2405</v>
      </c>
      <c r="I104" s="103"/>
    </row>
    <row r="105" spans="2:9" s="106" customFormat="1" ht="12.75" customHeight="1">
      <c r="B105" s="159"/>
      <c r="C105" s="159" t="s">
        <v>2396</v>
      </c>
      <c r="D105" s="159" t="s">
        <v>1845</v>
      </c>
      <c r="E105" s="159"/>
      <c r="F105" s="170" t="s">
        <v>2390</v>
      </c>
      <c r="G105" s="170" t="s">
        <v>2400</v>
      </c>
      <c r="H105" s="170" t="s">
        <v>2152</v>
      </c>
      <c r="I105" s="167"/>
    </row>
    <row r="106" spans="2:9" s="106" customFormat="1" ht="12.75" customHeight="1">
      <c r="B106" s="159"/>
      <c r="C106" s="159"/>
      <c r="D106" s="159" t="s">
        <v>1846</v>
      </c>
      <c r="E106" s="159"/>
      <c r="F106" s="168">
        <v>749</v>
      </c>
      <c r="G106" s="168">
        <v>719.96</v>
      </c>
      <c r="H106" s="168">
        <v>819.25</v>
      </c>
      <c r="I106" s="168"/>
    </row>
    <row r="107" spans="2:9" s="106" customFormat="1" ht="12.75">
      <c r="B107" s="159"/>
      <c r="C107" s="159"/>
      <c r="D107" s="159" t="s">
        <v>1847</v>
      </c>
      <c r="E107" s="159"/>
      <c r="F107" s="167" t="s">
        <v>2391</v>
      </c>
      <c r="G107" s="167" t="s">
        <v>2401</v>
      </c>
      <c r="H107" s="167" t="s">
        <v>2153</v>
      </c>
      <c r="I107" s="167"/>
    </row>
    <row r="108" spans="2:9" s="106" customFormat="1" ht="12.75" customHeight="1">
      <c r="B108" s="159"/>
      <c r="C108" s="159"/>
      <c r="D108" s="159" t="s">
        <v>1848</v>
      </c>
      <c r="E108" s="159"/>
      <c r="F108" s="173" t="s">
        <v>2392</v>
      </c>
      <c r="G108" s="166" t="s">
        <v>2402</v>
      </c>
      <c r="H108" s="173" t="s">
        <v>2154</v>
      </c>
      <c r="I108" s="166"/>
    </row>
    <row r="109" spans="2:9" s="106" customFormat="1" ht="12.75" customHeight="1">
      <c r="B109" s="159"/>
      <c r="C109" s="159"/>
      <c r="D109" s="159" t="s">
        <v>1849</v>
      </c>
      <c r="E109" s="159"/>
      <c r="F109" s="169">
        <v>45568</v>
      </c>
      <c r="G109" s="169">
        <v>45568</v>
      </c>
      <c r="H109" s="169">
        <v>45568</v>
      </c>
      <c r="I109" s="169"/>
    </row>
    <row r="110" spans="2:9" s="106" customFormat="1" ht="12.75" customHeight="1">
      <c r="B110" s="159"/>
      <c r="C110" s="159"/>
      <c r="D110" s="159" t="s">
        <v>1850</v>
      </c>
      <c r="E110" s="159"/>
      <c r="F110" s="166" t="s">
        <v>2398</v>
      </c>
      <c r="G110" s="166" t="s">
        <v>2403</v>
      </c>
      <c r="H110" s="166" t="s">
        <v>2404</v>
      </c>
      <c r="I110" s="167"/>
    </row>
    <row r="111" spans="2:9" s="106" customFormat="1" ht="12.75" customHeight="1">
      <c r="B111" s="105"/>
      <c r="C111" s="105"/>
      <c r="D111" s="105"/>
      <c r="E111" s="105"/>
      <c r="F111" s="110"/>
      <c r="G111" s="110"/>
      <c r="H111" s="110"/>
      <c r="I111" s="110"/>
    </row>
    <row r="112" spans="2:9" s="106" customFormat="1" ht="12.75" customHeight="1">
      <c r="B112" s="175" t="s">
        <v>2789</v>
      </c>
      <c r="C112" s="105"/>
      <c r="D112" s="105"/>
      <c r="E112" s="105"/>
      <c r="F112" s="110"/>
      <c r="G112" s="110"/>
      <c r="H112" s="110"/>
      <c r="I112" s="110"/>
    </row>
    <row r="113" spans="2:9" s="106" customFormat="1" ht="12.75" customHeight="1">
      <c r="B113" s="103" t="s">
        <v>18</v>
      </c>
      <c r="C113" s="103" t="s">
        <v>627</v>
      </c>
      <c r="D113" s="172" t="s">
        <v>579</v>
      </c>
      <c r="E113" s="103" t="s">
        <v>144</v>
      </c>
      <c r="F113" s="103" t="s">
        <v>581</v>
      </c>
      <c r="G113" s="103" t="s">
        <v>1869</v>
      </c>
      <c r="H113" s="103" t="s">
        <v>1870</v>
      </c>
      <c r="I113" s="103"/>
    </row>
    <row r="114" spans="2:9" s="106" customFormat="1" ht="12.75" customHeight="1">
      <c r="B114" s="159">
        <v>88316</v>
      </c>
      <c r="C114" s="159" t="s">
        <v>626</v>
      </c>
      <c r="D114" s="159" t="s">
        <v>119</v>
      </c>
      <c r="E114" s="159" t="s">
        <v>121</v>
      </c>
      <c r="F114" s="174">
        <v>1</v>
      </c>
      <c r="G114" s="160">
        <v>21.38</v>
      </c>
      <c r="H114" s="160">
        <f>G114*F114</f>
        <v>21.38</v>
      </c>
      <c r="I114" s="160"/>
    </row>
    <row r="115" spans="2:9" s="106" customFormat="1" ht="12.75" customHeight="1">
      <c r="B115" s="105"/>
      <c r="C115" s="105"/>
      <c r="D115" s="105"/>
      <c r="E115" s="105"/>
      <c r="F115" s="110"/>
      <c r="G115" s="110"/>
      <c r="H115" s="110"/>
      <c r="I115" s="110"/>
    </row>
    <row r="116" spans="2:9" s="534" customFormat="1" ht="25.5">
      <c r="B116" s="103" t="s">
        <v>2150</v>
      </c>
      <c r="C116" s="103" t="s">
        <v>2409</v>
      </c>
      <c r="D116" s="172">
        <f>MIN(F118:H118)</f>
        <v>125.42</v>
      </c>
      <c r="E116" s="103" t="s">
        <v>144</v>
      </c>
      <c r="F116" s="103" t="s">
        <v>2410</v>
      </c>
      <c r="G116" s="103" t="s">
        <v>4201</v>
      </c>
      <c r="H116" s="103" t="s">
        <v>4202</v>
      </c>
      <c r="I116" s="103"/>
    </row>
    <row r="117" spans="2:9" s="106" customFormat="1" ht="12.75" customHeight="1">
      <c r="B117" s="159"/>
      <c r="C117" s="159"/>
      <c r="D117" s="159" t="s">
        <v>1845</v>
      </c>
      <c r="E117" s="159"/>
      <c r="F117" s="170" t="s">
        <v>2411</v>
      </c>
      <c r="G117" s="170" t="s">
        <v>4203</v>
      </c>
      <c r="H117" s="170" t="s">
        <v>4204</v>
      </c>
      <c r="I117" s="167"/>
    </row>
    <row r="118" spans="2:9" s="106" customFormat="1" ht="12.75" customHeight="1">
      <c r="B118" s="159"/>
      <c r="C118" s="159"/>
      <c r="D118" s="159" t="s">
        <v>1846</v>
      </c>
      <c r="E118" s="159"/>
      <c r="F118" s="168">
        <v>125.42</v>
      </c>
      <c r="G118" s="168">
        <v>175</v>
      </c>
      <c r="H118" s="168">
        <v>141.99</v>
      </c>
      <c r="I118" s="168"/>
    </row>
    <row r="119" spans="2:9" s="106" customFormat="1" ht="12.75">
      <c r="B119" s="159"/>
      <c r="C119" s="159"/>
      <c r="D119" s="159" t="s">
        <v>1847</v>
      </c>
      <c r="E119" s="159"/>
      <c r="F119" s="167" t="s">
        <v>2412</v>
      </c>
      <c r="G119" s="167" t="s">
        <v>4205</v>
      </c>
      <c r="H119" s="167" t="s">
        <v>4206</v>
      </c>
      <c r="I119" s="167"/>
    </row>
    <row r="120" spans="2:9" s="106" customFormat="1" ht="12.75" customHeight="1">
      <c r="B120" s="159"/>
      <c r="C120" s="159"/>
      <c r="D120" s="159" t="s">
        <v>1848</v>
      </c>
      <c r="E120" s="159"/>
      <c r="F120" s="173" t="s">
        <v>2413</v>
      </c>
      <c r="G120" s="166" t="s">
        <v>4207</v>
      </c>
      <c r="H120" s="173" t="s">
        <v>4208</v>
      </c>
      <c r="I120" s="166"/>
    </row>
    <row r="121" spans="2:9" s="106" customFormat="1" ht="12.75" customHeight="1">
      <c r="B121" s="159"/>
      <c r="C121" s="159"/>
      <c r="D121" s="159" t="s">
        <v>1849</v>
      </c>
      <c r="E121" s="159"/>
      <c r="F121" s="169">
        <v>45568</v>
      </c>
      <c r="G121" s="169">
        <v>45601</v>
      </c>
      <c r="H121" s="169">
        <v>45601</v>
      </c>
      <c r="I121" s="169"/>
    </row>
    <row r="122" spans="2:9" s="106" customFormat="1" ht="12.75" customHeight="1">
      <c r="B122" s="159"/>
      <c r="C122" s="159"/>
      <c r="D122" s="159" t="s">
        <v>1850</v>
      </c>
      <c r="E122" s="159"/>
      <c r="F122" s="166" t="s">
        <v>2414</v>
      </c>
      <c r="G122" s="166" t="s">
        <v>2415</v>
      </c>
      <c r="H122" s="166" t="s">
        <v>2416</v>
      </c>
      <c r="I122" s="167"/>
    </row>
    <row r="123" spans="2:9" s="106" customFormat="1" ht="12.75" customHeight="1">
      <c r="B123" s="105"/>
      <c r="C123" s="105"/>
      <c r="D123" s="105"/>
      <c r="E123" s="105"/>
      <c r="F123" s="110"/>
      <c r="G123" s="110"/>
      <c r="H123" s="110"/>
      <c r="I123" s="110"/>
    </row>
    <row r="124" spans="2:9" s="534" customFormat="1" ht="25.5">
      <c r="B124" s="103" t="s">
        <v>2178</v>
      </c>
      <c r="C124" s="103" t="s">
        <v>2473</v>
      </c>
      <c r="D124" s="172">
        <f>MIN(F126:H126)</f>
        <v>926.91</v>
      </c>
      <c r="E124" s="103" t="s">
        <v>144</v>
      </c>
      <c r="F124" s="103" t="s">
        <v>2474</v>
      </c>
      <c r="G124" s="103" t="s">
        <v>2475</v>
      </c>
      <c r="H124" s="103" t="s">
        <v>3698</v>
      </c>
      <c r="I124" s="103"/>
    </row>
    <row r="125" spans="2:9" s="106" customFormat="1" ht="12.75" customHeight="1">
      <c r="B125" s="159"/>
      <c r="C125" s="159"/>
      <c r="D125" s="159" t="s">
        <v>1845</v>
      </c>
      <c r="E125" s="159"/>
      <c r="F125" s="170" t="s">
        <v>2476</v>
      </c>
      <c r="G125" s="170" t="s">
        <v>2477</v>
      </c>
      <c r="H125" s="170" t="s">
        <v>3699</v>
      </c>
      <c r="I125" s="167"/>
    </row>
    <row r="126" spans="2:9" s="106" customFormat="1" ht="12.75" customHeight="1">
      <c r="B126" s="159"/>
      <c r="C126" s="159"/>
      <c r="D126" s="159" t="s">
        <v>1846</v>
      </c>
      <c r="E126" s="159"/>
      <c r="F126" s="168">
        <v>926.91</v>
      </c>
      <c r="G126" s="168">
        <v>1052.31</v>
      </c>
      <c r="H126" s="168">
        <v>1109.9000000000001</v>
      </c>
      <c r="I126" s="168"/>
    </row>
    <row r="127" spans="2:9" s="106" customFormat="1" ht="12.75" customHeight="1">
      <c r="B127" s="159"/>
      <c r="C127" s="159"/>
      <c r="D127" s="159" t="s">
        <v>1847</v>
      </c>
      <c r="E127" s="159"/>
      <c r="F127" s="166" t="s">
        <v>2478</v>
      </c>
      <c r="G127" s="166" t="s">
        <v>2479</v>
      </c>
      <c r="H127" s="166" t="s">
        <v>3700</v>
      </c>
      <c r="I127" s="167"/>
    </row>
    <row r="128" spans="2:9" s="106" customFormat="1" ht="12.75" customHeight="1">
      <c r="B128" s="159"/>
      <c r="C128" s="159"/>
      <c r="D128" s="159" t="s">
        <v>1848</v>
      </c>
      <c r="E128" s="159"/>
      <c r="F128" s="166" t="s">
        <v>2480</v>
      </c>
      <c r="G128" s="166" t="s">
        <v>2481</v>
      </c>
      <c r="H128" s="166" t="s">
        <v>3701</v>
      </c>
      <c r="I128" s="166"/>
    </row>
    <row r="129" spans="2:9" s="106" customFormat="1" ht="12.75" customHeight="1">
      <c r="B129" s="159"/>
      <c r="C129" s="159"/>
      <c r="D129" s="159" t="s">
        <v>1849</v>
      </c>
      <c r="E129" s="159"/>
      <c r="F129" s="169">
        <v>45552</v>
      </c>
      <c r="G129" s="169">
        <v>45552</v>
      </c>
      <c r="H129" s="169">
        <v>45601</v>
      </c>
      <c r="I129" s="169"/>
    </row>
    <row r="130" spans="2:9" s="106" customFormat="1" ht="12.75" customHeight="1">
      <c r="B130" s="159"/>
      <c r="C130" s="159"/>
      <c r="D130" s="159" t="s">
        <v>1850</v>
      </c>
      <c r="E130" s="159"/>
      <c r="F130" s="166" t="s">
        <v>2482</v>
      </c>
      <c r="G130" s="166" t="s">
        <v>2483</v>
      </c>
      <c r="H130" s="166" t="s">
        <v>2484</v>
      </c>
      <c r="I130" s="167"/>
    </row>
    <row r="131" spans="2:9" s="106" customFormat="1" ht="12.75" customHeight="1">
      <c r="B131" s="105"/>
      <c r="C131" s="105"/>
      <c r="D131" s="105"/>
      <c r="E131" s="105"/>
      <c r="F131" s="110"/>
      <c r="G131" s="110"/>
      <c r="H131" s="110"/>
      <c r="I131" s="110"/>
    </row>
    <row r="132" spans="2:9" s="534" customFormat="1" ht="25.5">
      <c r="B132" s="103" t="s">
        <v>2408</v>
      </c>
      <c r="C132" s="103" t="s">
        <v>2676</v>
      </c>
      <c r="D132" s="172">
        <f>MIN(F134:H134)</f>
        <v>575.13</v>
      </c>
      <c r="E132" s="103" t="s">
        <v>144</v>
      </c>
      <c r="F132" s="103" t="s">
        <v>4209</v>
      </c>
      <c r="G132" s="103" t="s">
        <v>2673</v>
      </c>
      <c r="H132" s="103" t="s">
        <v>4210</v>
      </c>
      <c r="I132" s="103"/>
    </row>
    <row r="133" spans="2:9" s="106" customFormat="1" ht="12.75" customHeight="1">
      <c r="B133" s="159"/>
      <c r="C133" s="159"/>
      <c r="D133" s="159" t="s">
        <v>1845</v>
      </c>
      <c r="E133" s="159"/>
      <c r="F133" s="170" t="s">
        <v>4211</v>
      </c>
      <c r="G133" s="170" t="s">
        <v>2675</v>
      </c>
      <c r="H133" s="170" t="s">
        <v>4212</v>
      </c>
      <c r="I133" s="167"/>
    </row>
    <row r="134" spans="2:9" s="106" customFormat="1" ht="12.75" customHeight="1">
      <c r="B134" s="159"/>
      <c r="C134" s="159"/>
      <c r="D134" s="159" t="s">
        <v>1846</v>
      </c>
      <c r="E134" s="159"/>
      <c r="F134" s="168">
        <v>575.13</v>
      </c>
      <c r="G134" s="168">
        <v>833.7</v>
      </c>
      <c r="H134" s="168">
        <v>939.99</v>
      </c>
      <c r="I134" s="168"/>
    </row>
    <row r="135" spans="2:9" s="106" customFormat="1" ht="12.75" customHeight="1">
      <c r="B135" s="159"/>
      <c r="C135" s="159"/>
      <c r="D135" s="159" t="s">
        <v>1847</v>
      </c>
      <c r="E135" s="159"/>
      <c r="F135" s="166" t="s">
        <v>4213</v>
      </c>
      <c r="G135" s="166" t="s">
        <v>2672</v>
      </c>
      <c r="H135" s="167" t="s">
        <v>4214</v>
      </c>
      <c r="I135" s="167"/>
    </row>
    <row r="136" spans="2:9" s="106" customFormat="1" ht="12.75" customHeight="1">
      <c r="B136" s="159"/>
      <c r="C136" s="159"/>
      <c r="D136" s="159" t="s">
        <v>1848</v>
      </c>
      <c r="E136" s="159"/>
      <c r="F136" s="166" t="s">
        <v>4215</v>
      </c>
      <c r="G136" s="166" t="s">
        <v>2671</v>
      </c>
      <c r="H136" s="173" t="s">
        <v>4216</v>
      </c>
      <c r="I136" s="166"/>
    </row>
    <row r="137" spans="2:9" s="106" customFormat="1" ht="12.75" customHeight="1">
      <c r="B137" s="159"/>
      <c r="C137" s="159"/>
      <c r="D137" s="159" t="s">
        <v>1849</v>
      </c>
      <c r="E137" s="159"/>
      <c r="F137" s="169">
        <v>45601</v>
      </c>
      <c r="G137" s="169">
        <v>45581</v>
      </c>
      <c r="H137" s="169">
        <v>45601</v>
      </c>
      <c r="I137" s="169"/>
    </row>
    <row r="138" spans="2:9" s="106" customFormat="1" ht="12.75" customHeight="1">
      <c r="B138" s="159"/>
      <c r="C138" s="159"/>
      <c r="D138" s="159" t="s">
        <v>1850</v>
      </c>
      <c r="E138" s="159"/>
      <c r="F138" s="166" t="s">
        <v>2668</v>
      </c>
      <c r="G138" s="166" t="s">
        <v>2669</v>
      </c>
      <c r="H138" s="166" t="s">
        <v>2670</v>
      </c>
      <c r="I138" s="167"/>
    </row>
    <row r="139" spans="2:9" s="106" customFormat="1" ht="12.75" customHeight="1">
      <c r="B139" s="105"/>
      <c r="C139" s="105"/>
      <c r="D139" s="105"/>
      <c r="E139" s="105"/>
      <c r="F139" s="110"/>
      <c r="G139" s="110"/>
      <c r="H139" s="110"/>
      <c r="I139" s="110"/>
    </row>
    <row r="140" spans="2:9" ht="25.5">
      <c r="B140" s="103" t="s">
        <v>2823</v>
      </c>
      <c r="C140" s="103" t="s">
        <v>2824</v>
      </c>
      <c r="D140" s="172">
        <f>MIN(F142:H142)</f>
        <v>239.9</v>
      </c>
      <c r="E140" s="103" t="s">
        <v>144</v>
      </c>
      <c r="F140" s="103" t="s">
        <v>2825</v>
      </c>
      <c r="G140" s="103" t="s">
        <v>4221</v>
      </c>
      <c r="H140" s="103" t="s">
        <v>2826</v>
      </c>
      <c r="I140" s="103"/>
    </row>
    <row r="141" spans="2:9" ht="30">
      <c r="B141" s="159"/>
      <c r="C141" s="159"/>
      <c r="D141" s="159" t="s">
        <v>1845</v>
      </c>
      <c r="E141" s="159"/>
      <c r="F141" s="170" t="s">
        <v>2827</v>
      </c>
      <c r="G141" s="170" t="s">
        <v>4222</v>
      </c>
      <c r="H141" s="170" t="s">
        <v>2828</v>
      </c>
      <c r="I141" s="167"/>
    </row>
    <row r="142" spans="2:9" s="278" customFormat="1">
      <c r="B142" s="159"/>
      <c r="C142" s="159"/>
      <c r="D142" s="159" t="s">
        <v>1846</v>
      </c>
      <c r="E142" s="159"/>
      <c r="F142" s="168">
        <v>239.9</v>
      </c>
      <c r="G142" s="168">
        <v>261.32</v>
      </c>
      <c r="H142" s="168">
        <v>270.97000000000003</v>
      </c>
      <c r="I142" s="168"/>
    </row>
    <row r="143" spans="2:9" s="278" customFormat="1">
      <c r="B143" s="159"/>
      <c r="C143" s="159"/>
      <c r="D143" s="159" t="s">
        <v>1847</v>
      </c>
      <c r="E143" s="159"/>
      <c r="F143" s="166" t="s">
        <v>2829</v>
      </c>
      <c r="G143" s="166" t="s">
        <v>4223</v>
      </c>
      <c r="H143" s="167" t="s">
        <v>2830</v>
      </c>
      <c r="I143" s="167"/>
    </row>
    <row r="144" spans="2:9" s="278" customFormat="1">
      <c r="B144" s="159"/>
      <c r="C144" s="159"/>
      <c r="D144" s="159" t="s">
        <v>1848</v>
      </c>
      <c r="E144" s="159"/>
      <c r="F144" s="166" t="s">
        <v>2831</v>
      </c>
      <c r="G144" s="166" t="s">
        <v>4224</v>
      </c>
      <c r="H144" s="173" t="s">
        <v>2832</v>
      </c>
      <c r="I144" s="166"/>
    </row>
    <row r="145" spans="2:9" s="278" customFormat="1">
      <c r="B145" s="159"/>
      <c r="C145" s="159"/>
      <c r="D145" s="159" t="s">
        <v>1849</v>
      </c>
      <c r="E145" s="159"/>
      <c r="F145" s="169">
        <v>45590</v>
      </c>
      <c r="G145" s="169">
        <v>45601</v>
      </c>
      <c r="H145" s="169">
        <v>45590</v>
      </c>
      <c r="I145" s="169"/>
    </row>
    <row r="146" spans="2:9" s="278" customFormat="1">
      <c r="B146" s="159"/>
      <c r="C146" s="159"/>
      <c r="D146" s="159" t="s">
        <v>1850</v>
      </c>
      <c r="E146" s="159"/>
      <c r="F146" s="166" t="s">
        <v>2833</v>
      </c>
      <c r="G146" s="166" t="s">
        <v>2834</v>
      </c>
      <c r="H146" s="166" t="s">
        <v>2835</v>
      </c>
      <c r="I146" s="167"/>
    </row>
    <row r="147" spans="2:9" s="278" customFormat="1"/>
    <row r="148" spans="2:9" s="278" customFormat="1" ht="25.5">
      <c r="B148" s="103" t="s">
        <v>2836</v>
      </c>
      <c r="C148" s="103" t="s">
        <v>2837</v>
      </c>
      <c r="D148" s="172">
        <f>MIN(F150:H150)</f>
        <v>261.32</v>
      </c>
      <c r="E148" s="103" t="s">
        <v>144</v>
      </c>
      <c r="F148" s="103" t="s">
        <v>4225</v>
      </c>
      <c r="G148" s="103" t="s">
        <v>4221</v>
      </c>
      <c r="H148" s="103" t="s">
        <v>2826</v>
      </c>
      <c r="I148" s="103"/>
    </row>
    <row r="149" spans="2:9" s="278" customFormat="1" ht="30">
      <c r="B149" s="159"/>
      <c r="C149" s="159"/>
      <c r="D149" s="159" t="s">
        <v>1845</v>
      </c>
      <c r="E149" s="159"/>
      <c r="F149" s="170" t="s">
        <v>4226</v>
      </c>
      <c r="G149" s="170" t="s">
        <v>4222</v>
      </c>
      <c r="H149" s="170" t="s">
        <v>2828</v>
      </c>
      <c r="I149" s="167"/>
    </row>
    <row r="150" spans="2:9" s="278" customFormat="1">
      <c r="B150" s="159"/>
      <c r="C150" s="159"/>
      <c r="D150" s="159" t="s">
        <v>1846</v>
      </c>
      <c r="E150" s="159"/>
      <c r="F150" s="168">
        <v>323.10000000000002</v>
      </c>
      <c r="G150" s="168">
        <v>261.32</v>
      </c>
      <c r="H150" s="168">
        <v>271.01</v>
      </c>
      <c r="I150" s="168"/>
    </row>
    <row r="151" spans="2:9" s="278" customFormat="1">
      <c r="B151" s="159"/>
      <c r="C151" s="159"/>
      <c r="D151" s="159" t="s">
        <v>1847</v>
      </c>
      <c r="E151" s="159"/>
      <c r="F151" s="166" t="s">
        <v>4227</v>
      </c>
      <c r="G151" s="166" t="s">
        <v>4223</v>
      </c>
      <c r="H151" s="167" t="s">
        <v>2830</v>
      </c>
      <c r="I151" s="167"/>
    </row>
    <row r="152" spans="2:9" s="278" customFormat="1">
      <c r="B152" s="159"/>
      <c r="C152" s="159"/>
      <c r="D152" s="159" t="s">
        <v>1848</v>
      </c>
      <c r="E152" s="159"/>
      <c r="F152" s="166" t="s">
        <v>4228</v>
      </c>
      <c r="G152" s="166" t="s">
        <v>4224</v>
      </c>
      <c r="H152" s="173" t="s">
        <v>2832</v>
      </c>
      <c r="I152" s="166"/>
    </row>
    <row r="153" spans="2:9" s="278" customFormat="1">
      <c r="B153" s="159"/>
      <c r="C153" s="159"/>
      <c r="D153" s="159" t="s">
        <v>1849</v>
      </c>
      <c r="E153" s="159"/>
      <c r="F153" s="169">
        <v>45601</v>
      </c>
      <c r="G153" s="169">
        <v>45601</v>
      </c>
      <c r="H153" s="169">
        <v>45590</v>
      </c>
      <c r="I153" s="169"/>
    </row>
    <row r="154" spans="2:9" s="278" customFormat="1">
      <c r="B154" s="159"/>
      <c r="C154" s="159"/>
      <c r="D154" s="159" t="s">
        <v>1850</v>
      </c>
      <c r="E154" s="159"/>
      <c r="F154" s="166" t="s">
        <v>2838</v>
      </c>
      <c r="G154" s="166" t="s">
        <v>2839</v>
      </c>
      <c r="H154" s="166" t="s">
        <v>2840</v>
      </c>
      <c r="I154" s="167"/>
    </row>
    <row r="155" spans="2:9" s="278" customFormat="1"/>
    <row r="156" spans="2:9" s="534" customFormat="1" ht="25.5">
      <c r="B156" s="103" t="s">
        <v>2890</v>
      </c>
      <c r="C156" s="103" t="s">
        <v>2891</v>
      </c>
      <c r="D156" s="172">
        <f>MIN(F158:H158)</f>
        <v>186.9</v>
      </c>
      <c r="E156" s="103"/>
      <c r="F156" s="103" t="s">
        <v>2892</v>
      </c>
      <c r="G156" s="103" t="s">
        <v>2893</v>
      </c>
      <c r="H156" s="103" t="s">
        <v>2894</v>
      </c>
      <c r="I156" s="103"/>
    </row>
    <row r="157" spans="2:9" s="278" customFormat="1" ht="30">
      <c r="B157" s="159"/>
      <c r="C157" s="159"/>
      <c r="D157" s="159" t="s">
        <v>1845</v>
      </c>
      <c r="E157" s="159"/>
      <c r="F157" s="170" t="s">
        <v>2895</v>
      </c>
      <c r="G157" s="170" t="s">
        <v>2896</v>
      </c>
      <c r="H157" s="170" t="s">
        <v>2897</v>
      </c>
      <c r="I157" s="167"/>
    </row>
    <row r="158" spans="2:9" s="299" customFormat="1">
      <c r="B158" s="159"/>
      <c r="C158" s="159"/>
      <c r="D158" s="159" t="s">
        <v>1846</v>
      </c>
      <c r="E158" s="159"/>
      <c r="F158" s="168">
        <v>186.9</v>
      </c>
      <c r="G158" s="168">
        <v>191.38</v>
      </c>
      <c r="H158" s="168">
        <v>216.32</v>
      </c>
      <c r="I158" s="168"/>
    </row>
    <row r="159" spans="2:9" s="299" customFormat="1">
      <c r="B159" s="159"/>
      <c r="C159" s="159"/>
      <c r="D159" s="159" t="s">
        <v>1847</v>
      </c>
      <c r="E159" s="159"/>
      <c r="F159" s="166" t="s">
        <v>2898</v>
      </c>
      <c r="G159" s="166" t="s">
        <v>2899</v>
      </c>
      <c r="H159" s="166" t="s">
        <v>2900</v>
      </c>
      <c r="I159" s="167"/>
    </row>
    <row r="160" spans="2:9" s="299" customFormat="1">
      <c r="B160" s="159"/>
      <c r="C160" s="159"/>
      <c r="D160" s="159" t="s">
        <v>1848</v>
      </c>
      <c r="E160" s="159"/>
      <c r="F160" s="166" t="s">
        <v>2901</v>
      </c>
      <c r="G160" s="166" t="s">
        <v>2902</v>
      </c>
      <c r="H160" s="166" t="s">
        <v>2903</v>
      </c>
      <c r="I160" s="166"/>
    </row>
    <row r="161" spans="2:9" s="299" customFormat="1">
      <c r="B161" s="159"/>
      <c r="C161" s="159"/>
      <c r="D161" s="159" t="s">
        <v>1849</v>
      </c>
      <c r="E161" s="159"/>
      <c r="F161" s="169">
        <v>45595</v>
      </c>
      <c r="G161" s="169">
        <v>45595</v>
      </c>
      <c r="H161" s="169">
        <v>45595</v>
      </c>
      <c r="I161" s="169"/>
    </row>
    <row r="162" spans="2:9" s="299" customFormat="1">
      <c r="B162" s="159"/>
      <c r="C162" s="159"/>
      <c r="D162" s="159" t="s">
        <v>1850</v>
      </c>
      <c r="E162" s="159"/>
      <c r="F162" s="166" t="s">
        <v>2904</v>
      </c>
      <c r="G162" s="166" t="s">
        <v>2905</v>
      </c>
      <c r="H162" s="166" t="s">
        <v>2906</v>
      </c>
      <c r="I162" s="167"/>
    </row>
    <row r="163" spans="2:9" s="299" customFormat="1"/>
    <row r="164" spans="2:9" s="534" customFormat="1" ht="25.5">
      <c r="B164" s="103" t="s">
        <v>3286</v>
      </c>
      <c r="C164" s="103" t="s">
        <v>3302</v>
      </c>
      <c r="D164" s="172">
        <f>MIN(F166:H166)</f>
        <v>28.99</v>
      </c>
      <c r="E164" s="103" t="s">
        <v>144</v>
      </c>
      <c r="F164" s="103" t="s">
        <v>3287</v>
      </c>
      <c r="G164" s="103" t="s">
        <v>3288</v>
      </c>
      <c r="H164" s="103" t="s">
        <v>3289</v>
      </c>
      <c r="I164" s="103"/>
    </row>
    <row r="165" spans="2:9" s="299" customFormat="1" ht="30">
      <c r="B165" s="159"/>
      <c r="C165" s="159"/>
      <c r="D165" s="159" t="s">
        <v>1845</v>
      </c>
      <c r="E165" s="159"/>
      <c r="F165" s="170" t="s">
        <v>3290</v>
      </c>
      <c r="G165" s="170" t="s">
        <v>3291</v>
      </c>
      <c r="H165" s="170" t="s">
        <v>3292</v>
      </c>
      <c r="I165" s="167"/>
    </row>
    <row r="166" spans="2:9" s="335" customFormat="1">
      <c r="B166" s="159"/>
      <c r="C166" s="159"/>
      <c r="D166" s="159" t="s">
        <v>1846</v>
      </c>
      <c r="E166" s="159"/>
      <c r="F166" s="168">
        <v>37.99</v>
      </c>
      <c r="G166" s="168">
        <v>37.9</v>
      </c>
      <c r="H166" s="168">
        <v>28.99</v>
      </c>
      <c r="I166" s="168"/>
    </row>
    <row r="167" spans="2:9" s="335" customFormat="1">
      <c r="B167" s="159"/>
      <c r="C167" s="159"/>
      <c r="D167" s="159" t="s">
        <v>1847</v>
      </c>
      <c r="E167" s="159"/>
      <c r="F167" s="166" t="s">
        <v>3293</v>
      </c>
      <c r="G167" s="166" t="s">
        <v>3294</v>
      </c>
      <c r="H167" s="166" t="s">
        <v>3295</v>
      </c>
      <c r="I167" s="167"/>
    </row>
    <row r="168" spans="2:9" s="335" customFormat="1">
      <c r="B168" s="159"/>
      <c r="C168" s="159"/>
      <c r="D168" s="159" t="s">
        <v>1848</v>
      </c>
      <c r="E168" s="159"/>
      <c r="F168" s="166" t="s">
        <v>3296</v>
      </c>
      <c r="G168" s="166" t="s">
        <v>3297</v>
      </c>
      <c r="H168" s="166" t="s">
        <v>3298</v>
      </c>
      <c r="I168" s="166"/>
    </row>
    <row r="169" spans="2:9" s="335" customFormat="1">
      <c r="B169" s="159"/>
      <c r="C169" s="159"/>
      <c r="D169" s="159" t="s">
        <v>1849</v>
      </c>
      <c r="E169" s="159"/>
      <c r="F169" s="169">
        <v>45608</v>
      </c>
      <c r="G169" s="169">
        <v>45608</v>
      </c>
      <c r="H169" s="169">
        <v>45608</v>
      </c>
      <c r="I169" s="169"/>
    </row>
    <row r="170" spans="2:9" s="335" customFormat="1">
      <c r="B170" s="159"/>
      <c r="C170" s="159"/>
      <c r="D170" s="159" t="s">
        <v>1850</v>
      </c>
      <c r="E170" s="159"/>
      <c r="F170" s="166" t="s">
        <v>3299</v>
      </c>
      <c r="G170" s="166" t="s">
        <v>3300</v>
      </c>
      <c r="H170" s="166" t="s">
        <v>3301</v>
      </c>
      <c r="I170" s="167"/>
    </row>
    <row r="171" spans="2:9" s="335" customFormat="1"/>
    <row r="172" spans="2:9" s="534" customFormat="1" ht="25.5">
      <c r="B172" s="103" t="s">
        <v>3510</v>
      </c>
      <c r="C172" s="103" t="s">
        <v>3511</v>
      </c>
      <c r="D172" s="172">
        <f>MIN(F174:H174)</f>
        <v>142</v>
      </c>
      <c r="E172" s="103" t="s">
        <v>144</v>
      </c>
      <c r="F172" s="103" t="s">
        <v>3512</v>
      </c>
      <c r="G172" s="103" t="s">
        <v>3513</v>
      </c>
      <c r="H172" s="103" t="s">
        <v>3514</v>
      </c>
      <c r="I172" s="103"/>
    </row>
    <row r="173" spans="2:9" s="335" customFormat="1" ht="30">
      <c r="B173" s="159"/>
      <c r="C173" s="159"/>
      <c r="D173" s="159" t="s">
        <v>1845</v>
      </c>
      <c r="E173" s="159"/>
      <c r="F173" s="170" t="s">
        <v>3515</v>
      </c>
      <c r="G173" s="170" t="s">
        <v>3516</v>
      </c>
      <c r="H173" s="170" t="s">
        <v>3517</v>
      </c>
      <c r="I173" s="167"/>
    </row>
    <row r="174" spans="2:9" s="365" customFormat="1">
      <c r="B174" s="159"/>
      <c r="C174" s="159"/>
      <c r="D174" s="159" t="s">
        <v>1846</v>
      </c>
      <c r="E174" s="159"/>
      <c r="F174" s="168">
        <v>162.88</v>
      </c>
      <c r="G174" s="168">
        <v>142</v>
      </c>
      <c r="H174" s="168">
        <v>159.9</v>
      </c>
      <c r="I174" s="168"/>
    </row>
    <row r="175" spans="2:9" s="365" customFormat="1">
      <c r="B175" s="159"/>
      <c r="C175" s="159"/>
      <c r="D175" s="159" t="s">
        <v>1847</v>
      </c>
      <c r="E175" s="159"/>
      <c r="F175" s="166" t="s">
        <v>3518</v>
      </c>
      <c r="G175" s="166" t="s">
        <v>3519</v>
      </c>
      <c r="H175" s="166" t="s">
        <v>3520</v>
      </c>
      <c r="I175" s="167"/>
    </row>
    <row r="176" spans="2:9" s="365" customFormat="1">
      <c r="B176" s="159"/>
      <c r="C176" s="159"/>
      <c r="D176" s="159" t="s">
        <v>1848</v>
      </c>
      <c r="E176" s="159"/>
      <c r="F176" s="166" t="s">
        <v>3521</v>
      </c>
      <c r="G176" s="166" t="s">
        <v>3522</v>
      </c>
      <c r="H176" s="166" t="s">
        <v>3523</v>
      </c>
      <c r="I176" s="166"/>
    </row>
    <row r="177" spans="2:9" s="365" customFormat="1">
      <c r="B177" s="159"/>
      <c r="C177" s="159"/>
      <c r="D177" s="159" t="s">
        <v>1849</v>
      </c>
      <c r="E177" s="159"/>
      <c r="F177" s="169">
        <v>45615</v>
      </c>
      <c r="G177" s="169">
        <v>45615</v>
      </c>
      <c r="H177" s="169">
        <v>45615</v>
      </c>
      <c r="I177" s="169"/>
    </row>
    <row r="178" spans="2:9" s="365" customFormat="1">
      <c r="B178" s="159"/>
      <c r="C178" s="159"/>
      <c r="D178" s="159" t="s">
        <v>1850</v>
      </c>
      <c r="E178" s="159"/>
      <c r="F178" s="166" t="s">
        <v>3524</v>
      </c>
      <c r="G178" s="166" t="s">
        <v>3525</v>
      </c>
      <c r="H178" s="166" t="s">
        <v>3526</v>
      </c>
      <c r="I178" s="167"/>
    </row>
    <row r="179" spans="2:9" s="365" customFormat="1"/>
    <row r="180" spans="2:9" s="534" customFormat="1" ht="25.5">
      <c r="B180" s="103" t="s">
        <v>3527</v>
      </c>
      <c r="C180" s="103" t="s">
        <v>3528</v>
      </c>
      <c r="D180" s="172">
        <f>MIN(F182:H182)</f>
        <v>278.60000000000002</v>
      </c>
      <c r="E180" s="103" t="s">
        <v>144</v>
      </c>
      <c r="F180" s="103" t="s">
        <v>3529</v>
      </c>
      <c r="G180" s="103" t="s">
        <v>3530</v>
      </c>
      <c r="H180" s="103" t="s">
        <v>3531</v>
      </c>
      <c r="I180" s="103"/>
    </row>
    <row r="181" spans="2:9" s="365" customFormat="1" ht="30">
      <c r="B181" s="159"/>
      <c r="C181" s="159"/>
      <c r="D181" s="159" t="s">
        <v>1845</v>
      </c>
      <c r="E181" s="159"/>
      <c r="F181" s="170" t="s">
        <v>3532</v>
      </c>
      <c r="G181" s="170" t="s">
        <v>3533</v>
      </c>
      <c r="H181" s="170" t="s">
        <v>3534</v>
      </c>
      <c r="I181" s="167"/>
    </row>
    <row r="182" spans="2:9" s="365" customFormat="1">
      <c r="B182" s="159"/>
      <c r="C182" s="159"/>
      <c r="D182" s="159" t="s">
        <v>1846</v>
      </c>
      <c r="E182" s="159"/>
      <c r="F182" s="168">
        <v>314.99</v>
      </c>
      <c r="G182" s="168">
        <v>278.60000000000002</v>
      </c>
      <c r="H182" s="168">
        <v>438.07</v>
      </c>
      <c r="I182" s="168"/>
    </row>
    <row r="183" spans="2:9" s="365" customFormat="1">
      <c r="B183" s="159"/>
      <c r="C183" s="159"/>
      <c r="D183" s="159" t="s">
        <v>1847</v>
      </c>
      <c r="E183" s="159"/>
      <c r="F183" s="166" t="s">
        <v>3535</v>
      </c>
      <c r="G183" s="166" t="s">
        <v>3536</v>
      </c>
      <c r="H183" s="166" t="s">
        <v>3537</v>
      </c>
      <c r="I183" s="167"/>
    </row>
    <row r="184" spans="2:9" s="365" customFormat="1">
      <c r="B184" s="159"/>
      <c r="C184" s="159"/>
      <c r="D184" s="159" t="s">
        <v>1848</v>
      </c>
      <c r="E184" s="159"/>
      <c r="F184" s="166" t="s">
        <v>3538</v>
      </c>
      <c r="G184" s="166" t="s">
        <v>3539</v>
      </c>
      <c r="H184" s="166" t="s">
        <v>3540</v>
      </c>
      <c r="I184" s="166"/>
    </row>
    <row r="185" spans="2:9" s="365" customFormat="1">
      <c r="B185" s="159"/>
      <c r="C185" s="159"/>
      <c r="D185" s="159" t="s">
        <v>1849</v>
      </c>
      <c r="E185" s="159"/>
      <c r="F185" s="169">
        <v>45615</v>
      </c>
      <c r="G185" s="169">
        <v>45615</v>
      </c>
      <c r="H185" s="169">
        <v>45615</v>
      </c>
      <c r="I185" s="169"/>
    </row>
    <row r="186" spans="2:9" s="365" customFormat="1">
      <c r="B186" s="159"/>
      <c r="C186" s="159"/>
      <c r="D186" s="159" t="s">
        <v>1850</v>
      </c>
      <c r="E186" s="159"/>
      <c r="F186" s="166" t="s">
        <v>3541</v>
      </c>
      <c r="G186" s="166" t="s">
        <v>3542</v>
      </c>
      <c r="H186" s="166" t="s">
        <v>3543</v>
      </c>
      <c r="I186" s="167"/>
    </row>
    <row r="187" spans="2:9" s="365" customFormat="1"/>
    <row r="188" spans="2:9" s="534" customFormat="1" ht="25.5">
      <c r="B188" s="103" t="s">
        <v>3669</v>
      </c>
      <c r="C188" s="103" t="s">
        <v>3670</v>
      </c>
      <c r="D188" s="172">
        <f>MIN(F190:H190)</f>
        <v>122.66</v>
      </c>
      <c r="E188" s="103" t="s">
        <v>144</v>
      </c>
      <c r="F188" s="103" t="s">
        <v>3671</v>
      </c>
      <c r="G188" s="103" t="s">
        <v>3672</v>
      </c>
      <c r="H188" s="103" t="s">
        <v>3673</v>
      </c>
      <c r="I188" s="103"/>
    </row>
    <row r="189" spans="2:9" s="365" customFormat="1" ht="30">
      <c r="B189" s="159"/>
      <c r="C189" s="159"/>
      <c r="D189" s="159" t="s">
        <v>1845</v>
      </c>
      <c r="E189" s="159"/>
      <c r="F189" s="170" t="s">
        <v>3532</v>
      </c>
      <c r="G189" s="170" t="s">
        <v>3533</v>
      </c>
      <c r="H189" s="170" t="s">
        <v>3534</v>
      </c>
      <c r="I189" s="167"/>
    </row>
    <row r="190" spans="2:9" s="404" customFormat="1">
      <c r="B190" s="159"/>
      <c r="C190" s="159"/>
      <c r="D190" s="159" t="s">
        <v>1846</v>
      </c>
      <c r="E190" s="159"/>
      <c r="F190" s="168">
        <v>122.66</v>
      </c>
      <c r="G190" s="168">
        <v>155.9</v>
      </c>
      <c r="H190" s="168">
        <v>171.1</v>
      </c>
      <c r="I190" s="168"/>
    </row>
    <row r="191" spans="2:9" s="404" customFormat="1">
      <c r="B191" s="159"/>
      <c r="C191" s="159"/>
      <c r="D191" s="159" t="s">
        <v>1847</v>
      </c>
      <c r="E191" s="159"/>
      <c r="F191" s="166" t="s">
        <v>3535</v>
      </c>
      <c r="G191" s="166" t="s">
        <v>3536</v>
      </c>
      <c r="H191" s="166" t="s">
        <v>3537</v>
      </c>
      <c r="I191" s="167"/>
    </row>
    <row r="192" spans="2:9" s="404" customFormat="1">
      <c r="B192" s="159"/>
      <c r="C192" s="159"/>
      <c r="D192" s="159" t="s">
        <v>1848</v>
      </c>
      <c r="E192" s="159"/>
      <c r="F192" s="166" t="s">
        <v>3538</v>
      </c>
      <c r="G192" s="166" t="s">
        <v>3539</v>
      </c>
      <c r="H192" s="166" t="s">
        <v>3540</v>
      </c>
      <c r="I192" s="166"/>
    </row>
    <row r="193" spans="2:9" s="404" customFormat="1">
      <c r="B193" s="159"/>
      <c r="C193" s="159"/>
      <c r="D193" s="159" t="s">
        <v>1849</v>
      </c>
      <c r="E193" s="159"/>
      <c r="F193" s="169">
        <v>45615</v>
      </c>
      <c r="G193" s="169">
        <v>45615</v>
      </c>
      <c r="H193" s="169">
        <v>45615</v>
      </c>
      <c r="I193" s="169"/>
    </row>
    <row r="194" spans="2:9" s="404" customFormat="1">
      <c r="B194" s="159"/>
      <c r="C194" s="159"/>
      <c r="D194" s="159" t="s">
        <v>1850</v>
      </c>
      <c r="E194" s="159"/>
      <c r="F194" s="166" t="s">
        <v>3674</v>
      </c>
      <c r="G194" s="166" t="s">
        <v>3675</v>
      </c>
      <c r="H194" s="166" t="s">
        <v>3676</v>
      </c>
      <c r="I194" s="167"/>
    </row>
    <row r="195" spans="2:9" s="404" customFormat="1"/>
    <row r="196" spans="2:9" s="404" customFormat="1" ht="51">
      <c r="B196" s="103" t="s">
        <v>3831</v>
      </c>
      <c r="C196" s="103" t="s">
        <v>4024</v>
      </c>
      <c r="D196" s="172">
        <f>MIN(F198:H198)</f>
        <v>972.34612440191381</v>
      </c>
      <c r="E196" s="103" t="s">
        <v>139</v>
      </c>
      <c r="F196" s="103" t="s">
        <v>3833</v>
      </c>
      <c r="G196" s="103" t="s">
        <v>3834</v>
      </c>
      <c r="H196" s="103" t="s">
        <v>3835</v>
      </c>
      <c r="I196" s="103"/>
    </row>
    <row r="197" spans="2:9" s="404" customFormat="1" ht="45">
      <c r="B197" s="159"/>
      <c r="C197" s="159"/>
      <c r="D197" s="159" t="s">
        <v>1845</v>
      </c>
      <c r="E197" s="159"/>
      <c r="F197" s="170" t="s">
        <v>3836</v>
      </c>
      <c r="G197" s="170" t="s">
        <v>3837</v>
      </c>
      <c r="H197" s="170" t="s">
        <v>3838</v>
      </c>
      <c r="I197" s="167"/>
    </row>
    <row r="198" spans="2:9" s="449" customFormat="1">
      <c r="B198" s="159"/>
      <c r="C198" s="159"/>
      <c r="D198" s="159" t="s">
        <v>1846</v>
      </c>
      <c r="E198" s="159"/>
      <c r="F198" s="168">
        <f>101610.17/104.5</f>
        <v>972.34612440191381</v>
      </c>
      <c r="G198" s="168">
        <f>110125/104.5</f>
        <v>1053.8277511961724</v>
      </c>
      <c r="H198" s="168">
        <f>124841.88/104.5</f>
        <v>1194.6591387559808</v>
      </c>
      <c r="I198" s="168"/>
    </row>
    <row r="199" spans="2:9" s="449" customFormat="1">
      <c r="B199" s="159"/>
      <c r="C199" s="159"/>
      <c r="D199" s="159" t="s">
        <v>1847</v>
      </c>
      <c r="E199" s="159"/>
      <c r="F199" s="166" t="s">
        <v>3839</v>
      </c>
      <c r="G199" s="166" t="s">
        <v>3840</v>
      </c>
      <c r="H199" s="166" t="s">
        <v>3841</v>
      </c>
      <c r="I199" s="167"/>
    </row>
    <row r="200" spans="2:9" s="449" customFormat="1">
      <c r="B200" s="159"/>
      <c r="C200" s="159"/>
      <c r="D200" s="159" t="s">
        <v>1848</v>
      </c>
      <c r="E200" s="159"/>
      <c r="F200" s="166" t="s">
        <v>3842</v>
      </c>
      <c r="G200" s="166" t="s">
        <v>3843</v>
      </c>
      <c r="H200" s="166" t="s">
        <v>3844</v>
      </c>
      <c r="I200" s="166"/>
    </row>
    <row r="201" spans="2:9" s="449" customFormat="1">
      <c r="B201" s="159"/>
      <c r="C201" s="159"/>
      <c r="D201" s="159" t="s">
        <v>1849</v>
      </c>
      <c r="E201" s="159"/>
      <c r="F201" s="169">
        <v>45674</v>
      </c>
      <c r="G201" s="169">
        <v>45674</v>
      </c>
      <c r="H201" s="169">
        <v>45674</v>
      </c>
      <c r="I201" s="169"/>
    </row>
    <row r="202" spans="2:9" s="449" customFormat="1">
      <c r="B202" s="159"/>
      <c r="C202" s="159"/>
      <c r="D202" s="159" t="s">
        <v>1850</v>
      </c>
      <c r="E202" s="159"/>
      <c r="F202" s="166" t="s">
        <v>3845</v>
      </c>
      <c r="G202" s="166" t="s">
        <v>3846</v>
      </c>
      <c r="H202" s="166" t="s">
        <v>3847</v>
      </c>
      <c r="I202" s="167"/>
    </row>
    <row r="203" spans="2:9" s="449" customFormat="1"/>
    <row r="204" spans="2:9" s="449" customFormat="1" ht="25.5">
      <c r="B204" s="103" t="s">
        <v>3864</v>
      </c>
      <c r="C204" s="103" t="s">
        <v>3865</v>
      </c>
      <c r="D204" s="172">
        <f>MIN(F206:H206)</f>
        <v>565</v>
      </c>
      <c r="E204" s="103" t="s">
        <v>144</v>
      </c>
      <c r="F204" s="103" t="s">
        <v>3866</v>
      </c>
      <c r="G204" s="103" t="s">
        <v>3867</v>
      </c>
      <c r="H204" s="103" t="s">
        <v>3868</v>
      </c>
      <c r="I204" s="103"/>
    </row>
    <row r="205" spans="2:9" s="449" customFormat="1" ht="30">
      <c r="B205" s="159"/>
      <c r="C205" s="159"/>
      <c r="D205" s="159" t="s">
        <v>1845</v>
      </c>
      <c r="E205" s="159"/>
      <c r="F205" s="170" t="s">
        <v>3869</v>
      </c>
      <c r="G205" s="170" t="s">
        <v>3870</v>
      </c>
      <c r="H205" s="170" t="s">
        <v>3871</v>
      </c>
      <c r="I205" s="167"/>
    </row>
    <row r="206" spans="2:9" s="454" customFormat="1">
      <c r="B206" s="159"/>
      <c r="C206" s="159"/>
      <c r="D206" s="159" t="s">
        <v>1846</v>
      </c>
      <c r="E206" s="159"/>
      <c r="F206" s="168">
        <v>590</v>
      </c>
      <c r="G206" s="168">
        <v>611</v>
      </c>
      <c r="H206" s="168">
        <v>565</v>
      </c>
      <c r="I206" s="168"/>
    </row>
    <row r="207" spans="2:9" s="454" customFormat="1">
      <c r="B207" s="159"/>
      <c r="C207" s="159"/>
      <c r="D207" s="159" t="s">
        <v>1847</v>
      </c>
      <c r="E207" s="159"/>
      <c r="F207" s="166" t="s">
        <v>3872</v>
      </c>
      <c r="G207" s="166" t="s">
        <v>3873</v>
      </c>
      <c r="H207" s="166" t="s">
        <v>3874</v>
      </c>
      <c r="I207" s="167"/>
    </row>
    <row r="208" spans="2:9" s="454" customFormat="1">
      <c r="B208" s="159"/>
      <c r="C208" s="159"/>
      <c r="D208" s="159" t="s">
        <v>1848</v>
      </c>
      <c r="E208" s="159"/>
      <c r="F208" s="166" t="s">
        <v>3875</v>
      </c>
      <c r="G208" s="166" t="s">
        <v>3876</v>
      </c>
      <c r="H208" s="166" t="s">
        <v>3877</v>
      </c>
      <c r="I208" s="166"/>
    </row>
    <row r="209" spans="2:9" s="454" customFormat="1">
      <c r="B209" s="159"/>
      <c r="C209" s="159"/>
      <c r="D209" s="159" t="s">
        <v>1849</v>
      </c>
      <c r="E209" s="159"/>
      <c r="F209" s="169">
        <v>45678</v>
      </c>
      <c r="G209" s="169">
        <v>45678</v>
      </c>
      <c r="H209" s="169">
        <v>45678</v>
      </c>
      <c r="I209" s="169"/>
    </row>
    <row r="210" spans="2:9" s="454" customFormat="1">
      <c r="B210" s="159"/>
      <c r="C210" s="159"/>
      <c r="D210" s="159" t="s">
        <v>1850</v>
      </c>
      <c r="E210" s="159"/>
      <c r="F210" s="166" t="s">
        <v>3878</v>
      </c>
      <c r="G210" s="166" t="s">
        <v>3879</v>
      </c>
      <c r="H210" s="166" t="s">
        <v>3880</v>
      </c>
      <c r="I210" s="167"/>
    </row>
    <row r="211" spans="2:9" s="454" customFormat="1"/>
    <row r="212" spans="2:9" s="454" customFormat="1" ht="25.5">
      <c r="B212" s="103" t="s">
        <v>3941</v>
      </c>
      <c r="C212" s="103" t="s">
        <v>4176</v>
      </c>
      <c r="D212" s="172">
        <f>MIN(F214:H214)</f>
        <v>12.5</v>
      </c>
      <c r="E212" s="103" t="s">
        <v>144</v>
      </c>
      <c r="F212" s="103" t="s">
        <v>3942</v>
      </c>
      <c r="G212" s="103" t="s">
        <v>3989</v>
      </c>
      <c r="H212" s="103"/>
      <c r="I212" s="103"/>
    </row>
    <row r="213" spans="2:9" s="454" customFormat="1" ht="30">
      <c r="B213" s="159"/>
      <c r="C213" s="159"/>
      <c r="D213" s="159" t="s">
        <v>1845</v>
      </c>
      <c r="E213" s="159"/>
      <c r="F213" s="170" t="s">
        <v>3943</v>
      </c>
      <c r="G213" s="170" t="s">
        <v>3991</v>
      </c>
      <c r="H213" s="170"/>
      <c r="I213" s="167"/>
    </row>
    <row r="214" spans="2:9" s="472" customFormat="1">
      <c r="B214" s="159"/>
      <c r="C214" s="159"/>
      <c r="D214" s="159" t="s">
        <v>1846</v>
      </c>
      <c r="E214" s="159"/>
      <c r="F214" s="168">
        <v>12.5</v>
      </c>
      <c r="G214" s="168">
        <v>17.97</v>
      </c>
      <c r="H214" s="168"/>
      <c r="I214" s="168"/>
    </row>
    <row r="215" spans="2:9" s="472" customFormat="1">
      <c r="B215" s="159"/>
      <c r="C215" s="159"/>
      <c r="D215" s="159" t="s">
        <v>1847</v>
      </c>
      <c r="E215" s="159"/>
      <c r="F215" s="166" t="s">
        <v>3944</v>
      </c>
      <c r="G215" s="166" t="s">
        <v>3992</v>
      </c>
      <c r="H215" s="166"/>
      <c r="I215" s="167"/>
    </row>
    <row r="216" spans="2:9" s="472" customFormat="1">
      <c r="B216" s="159"/>
      <c r="C216" s="159"/>
      <c r="D216" s="159" t="s">
        <v>1848</v>
      </c>
      <c r="E216" s="159"/>
      <c r="F216" s="166" t="s">
        <v>3945</v>
      </c>
      <c r="G216" s="166" t="s">
        <v>3990</v>
      </c>
      <c r="H216" s="166"/>
      <c r="I216" s="166"/>
    </row>
    <row r="217" spans="2:9" s="472" customFormat="1">
      <c r="B217" s="159"/>
      <c r="C217" s="159"/>
      <c r="D217" s="159" t="s">
        <v>1849</v>
      </c>
      <c r="E217" s="159"/>
      <c r="F217" s="169">
        <v>45315</v>
      </c>
      <c r="G217" s="169">
        <v>45684</v>
      </c>
      <c r="H217" s="169"/>
      <c r="I217" s="169"/>
    </row>
    <row r="218" spans="2:9" s="472" customFormat="1">
      <c r="B218" s="159"/>
      <c r="C218" s="159"/>
      <c r="D218" s="159" t="s">
        <v>1850</v>
      </c>
      <c r="E218" s="159"/>
      <c r="F218" s="166" t="s">
        <v>3946</v>
      </c>
      <c r="G218" s="166" t="s">
        <v>3988</v>
      </c>
      <c r="H218" s="166"/>
      <c r="I218" s="167"/>
    </row>
    <row r="219" spans="2:9" s="472" customFormat="1"/>
    <row r="220" spans="2:9" s="529" customFormat="1" ht="25.5">
      <c r="B220" s="103" t="s">
        <v>3954</v>
      </c>
      <c r="C220" s="103" t="s">
        <v>4155</v>
      </c>
      <c r="D220" s="172">
        <f>MIN(F222:H222)</f>
        <v>20.97</v>
      </c>
      <c r="E220" s="103" t="s">
        <v>144</v>
      </c>
      <c r="F220" s="103" t="s">
        <v>3942</v>
      </c>
      <c r="G220" s="103" t="s">
        <v>3989</v>
      </c>
      <c r="H220" s="103"/>
      <c r="I220" s="103"/>
    </row>
    <row r="221" spans="2:9" s="529" customFormat="1" ht="30">
      <c r="B221" s="159"/>
      <c r="C221" s="159"/>
      <c r="D221" s="159" t="s">
        <v>1845</v>
      </c>
      <c r="E221" s="159"/>
      <c r="F221" s="170" t="s">
        <v>3943</v>
      </c>
      <c r="G221" s="170" t="s">
        <v>3991</v>
      </c>
      <c r="H221" s="170"/>
      <c r="I221" s="167"/>
    </row>
    <row r="222" spans="2:9" s="529" customFormat="1">
      <c r="B222" s="159"/>
      <c r="C222" s="159"/>
      <c r="D222" s="159" t="s">
        <v>1846</v>
      </c>
      <c r="E222" s="159"/>
      <c r="F222" s="168">
        <v>25</v>
      </c>
      <c r="G222" s="168">
        <v>20.97</v>
      </c>
      <c r="H222" s="168"/>
      <c r="I222" s="168"/>
    </row>
    <row r="223" spans="2:9" s="529" customFormat="1">
      <c r="B223" s="159"/>
      <c r="C223" s="159"/>
      <c r="D223" s="159" t="s">
        <v>1847</v>
      </c>
      <c r="E223" s="159"/>
      <c r="F223" s="166" t="s">
        <v>3944</v>
      </c>
      <c r="G223" s="166" t="s">
        <v>3992</v>
      </c>
      <c r="H223" s="166"/>
      <c r="I223" s="167"/>
    </row>
    <row r="224" spans="2:9" s="529" customFormat="1">
      <c r="B224" s="159"/>
      <c r="C224" s="159"/>
      <c r="D224" s="159" t="s">
        <v>1848</v>
      </c>
      <c r="E224" s="159"/>
      <c r="F224" s="166" t="s">
        <v>3945</v>
      </c>
      <c r="G224" s="166" t="s">
        <v>3990</v>
      </c>
      <c r="H224" s="166"/>
      <c r="I224" s="166"/>
    </row>
    <row r="225" spans="2:9" s="529" customFormat="1">
      <c r="B225" s="159"/>
      <c r="C225" s="159"/>
      <c r="D225" s="159" t="s">
        <v>1849</v>
      </c>
      <c r="E225" s="159"/>
      <c r="F225" s="169">
        <v>45315</v>
      </c>
      <c r="G225" s="169">
        <v>45684</v>
      </c>
      <c r="H225" s="169"/>
      <c r="I225" s="169"/>
    </row>
    <row r="226" spans="2:9" s="529" customFormat="1">
      <c r="B226" s="159"/>
      <c r="C226" s="159"/>
      <c r="D226" s="159" t="s">
        <v>1850</v>
      </c>
      <c r="E226" s="159"/>
      <c r="F226" s="166" t="s">
        <v>3946</v>
      </c>
      <c r="G226" s="166" t="s">
        <v>3988</v>
      </c>
      <c r="H226" s="166"/>
      <c r="I226" s="167"/>
    </row>
    <row r="227" spans="2:9" s="529" customFormat="1"/>
    <row r="228" spans="2:9" s="529" customFormat="1" ht="25.5">
      <c r="B228" s="103" t="s">
        <v>4084</v>
      </c>
      <c r="C228" s="103" t="s">
        <v>4156</v>
      </c>
      <c r="D228" s="172">
        <f>MIN(F230:H230)</f>
        <v>2.5</v>
      </c>
      <c r="E228" s="103" t="s">
        <v>144</v>
      </c>
      <c r="F228" s="103" t="s">
        <v>3942</v>
      </c>
      <c r="G228" s="103" t="s">
        <v>3989</v>
      </c>
      <c r="H228" s="103"/>
      <c r="I228" s="103"/>
    </row>
    <row r="229" spans="2:9" s="529" customFormat="1" ht="30">
      <c r="B229" s="159"/>
      <c r="C229" s="159"/>
      <c r="D229" s="159" t="s">
        <v>1845</v>
      </c>
      <c r="E229" s="159"/>
      <c r="F229" s="170" t="s">
        <v>3943</v>
      </c>
      <c r="G229" s="170" t="s">
        <v>3991</v>
      </c>
      <c r="H229" s="170"/>
      <c r="I229" s="167"/>
    </row>
    <row r="230" spans="2:9" s="529" customFormat="1">
      <c r="B230" s="159"/>
      <c r="C230" s="159"/>
      <c r="D230" s="159" t="s">
        <v>1846</v>
      </c>
      <c r="E230" s="159"/>
      <c r="F230" s="168">
        <v>2.5</v>
      </c>
      <c r="G230" s="168">
        <v>3.99</v>
      </c>
      <c r="H230" s="168"/>
      <c r="I230" s="168"/>
    </row>
    <row r="231" spans="2:9" s="529" customFormat="1">
      <c r="B231" s="159"/>
      <c r="C231" s="159"/>
      <c r="D231" s="159" t="s">
        <v>1847</v>
      </c>
      <c r="E231" s="159"/>
      <c r="F231" s="166" t="s">
        <v>3944</v>
      </c>
      <c r="G231" s="166" t="s">
        <v>3992</v>
      </c>
      <c r="H231" s="166"/>
      <c r="I231" s="167"/>
    </row>
    <row r="232" spans="2:9" s="529" customFormat="1">
      <c r="B232" s="159"/>
      <c r="C232" s="159"/>
      <c r="D232" s="159" t="s">
        <v>1848</v>
      </c>
      <c r="E232" s="159"/>
      <c r="F232" s="166" t="s">
        <v>3945</v>
      </c>
      <c r="G232" s="166" t="s">
        <v>3990</v>
      </c>
      <c r="H232" s="166"/>
      <c r="I232" s="166"/>
    </row>
    <row r="233" spans="2:9" s="529" customFormat="1">
      <c r="B233" s="159"/>
      <c r="C233" s="159"/>
      <c r="D233" s="159" t="s">
        <v>1849</v>
      </c>
      <c r="E233" s="159"/>
      <c r="F233" s="169">
        <v>45315</v>
      </c>
      <c r="G233" s="169">
        <v>45684</v>
      </c>
      <c r="H233" s="169"/>
      <c r="I233" s="169"/>
    </row>
    <row r="234" spans="2:9" s="529" customFormat="1">
      <c r="B234" s="159"/>
      <c r="C234" s="159"/>
      <c r="D234" s="159" t="s">
        <v>1850</v>
      </c>
      <c r="E234" s="159"/>
      <c r="F234" s="166" t="s">
        <v>3946</v>
      </c>
      <c r="G234" s="166" t="s">
        <v>3988</v>
      </c>
      <c r="H234" s="166"/>
      <c r="I234" s="167"/>
    </row>
    <row r="235" spans="2:9" s="529" customFormat="1"/>
    <row r="236" spans="2:9" s="529" customFormat="1" ht="25.5">
      <c r="B236" s="103" t="s">
        <v>4139</v>
      </c>
      <c r="C236" s="103" t="s">
        <v>4157</v>
      </c>
      <c r="D236" s="172">
        <f>MIN(F238:H238)</f>
        <v>17.5</v>
      </c>
      <c r="E236" s="103" t="s">
        <v>144</v>
      </c>
      <c r="F236" s="103" t="s">
        <v>3942</v>
      </c>
      <c r="G236" s="103" t="s">
        <v>3989</v>
      </c>
      <c r="H236" s="103"/>
      <c r="I236" s="103"/>
    </row>
    <row r="237" spans="2:9" s="529" customFormat="1" ht="30">
      <c r="B237" s="159"/>
      <c r="C237" s="159"/>
      <c r="D237" s="159" t="s">
        <v>1845</v>
      </c>
      <c r="E237" s="159"/>
      <c r="F237" s="170" t="s">
        <v>3943</v>
      </c>
      <c r="G237" s="170" t="s">
        <v>3991</v>
      </c>
      <c r="H237" s="170"/>
      <c r="I237" s="167"/>
    </row>
    <row r="238" spans="2:9" s="529" customFormat="1">
      <c r="B238" s="159"/>
      <c r="C238" s="159"/>
      <c r="D238" s="159" t="s">
        <v>1846</v>
      </c>
      <c r="E238" s="159"/>
      <c r="F238" s="168">
        <v>17.5</v>
      </c>
      <c r="G238" s="168">
        <v>21.97</v>
      </c>
      <c r="H238" s="168"/>
      <c r="I238" s="168"/>
    </row>
    <row r="239" spans="2:9" s="529" customFormat="1">
      <c r="B239" s="159"/>
      <c r="C239" s="159"/>
      <c r="D239" s="159" t="s">
        <v>1847</v>
      </c>
      <c r="E239" s="159"/>
      <c r="F239" s="166" t="s">
        <v>3944</v>
      </c>
      <c r="G239" s="166" t="s">
        <v>3992</v>
      </c>
      <c r="H239" s="166"/>
      <c r="I239" s="167"/>
    </row>
    <row r="240" spans="2:9" s="529" customFormat="1">
      <c r="B240" s="159"/>
      <c r="C240" s="159"/>
      <c r="D240" s="159" t="s">
        <v>1848</v>
      </c>
      <c r="E240" s="159"/>
      <c r="F240" s="166" t="s">
        <v>3945</v>
      </c>
      <c r="G240" s="166" t="s">
        <v>3990</v>
      </c>
      <c r="H240" s="166"/>
      <c r="I240" s="166"/>
    </row>
    <row r="241" spans="2:9" s="529" customFormat="1">
      <c r="B241" s="159"/>
      <c r="C241" s="159"/>
      <c r="D241" s="159" t="s">
        <v>1849</v>
      </c>
      <c r="E241" s="159"/>
      <c r="F241" s="169">
        <v>45315</v>
      </c>
      <c r="G241" s="169">
        <v>45684</v>
      </c>
      <c r="H241" s="169"/>
      <c r="I241" s="169"/>
    </row>
    <row r="242" spans="2:9" s="529" customFormat="1">
      <c r="B242" s="159"/>
      <c r="C242" s="159"/>
      <c r="D242" s="159" t="s">
        <v>1850</v>
      </c>
      <c r="E242" s="159"/>
      <c r="F242" s="166" t="s">
        <v>3946</v>
      </c>
      <c r="G242" s="166" t="s">
        <v>3988</v>
      </c>
      <c r="H242" s="166"/>
      <c r="I242" s="167"/>
    </row>
    <row r="243" spans="2:9" s="529" customFormat="1"/>
    <row r="244" spans="2:9" s="529" customFormat="1" ht="25.5">
      <c r="B244" s="103" t="s">
        <v>4140</v>
      </c>
      <c r="C244" s="103" t="s">
        <v>4158</v>
      </c>
      <c r="D244" s="172">
        <f>MIN(F246:H246)</f>
        <v>5</v>
      </c>
      <c r="E244" s="103" t="s">
        <v>144</v>
      </c>
      <c r="F244" s="103" t="s">
        <v>3942</v>
      </c>
      <c r="G244" s="103" t="s">
        <v>3989</v>
      </c>
      <c r="H244" s="103"/>
      <c r="I244" s="103"/>
    </row>
    <row r="245" spans="2:9" s="529" customFormat="1" ht="30">
      <c r="B245" s="159"/>
      <c r="C245" s="159"/>
      <c r="D245" s="159" t="s">
        <v>1845</v>
      </c>
      <c r="E245" s="159"/>
      <c r="F245" s="170" t="s">
        <v>3943</v>
      </c>
      <c r="G245" s="170" t="s">
        <v>3991</v>
      </c>
      <c r="H245" s="170"/>
      <c r="I245" s="167"/>
    </row>
    <row r="246" spans="2:9" s="529" customFormat="1">
      <c r="B246" s="159"/>
      <c r="C246" s="159"/>
      <c r="D246" s="159" t="s">
        <v>1846</v>
      </c>
      <c r="E246" s="159"/>
      <c r="F246" s="168">
        <v>5</v>
      </c>
      <c r="G246" s="168">
        <v>5.9059999999999997</v>
      </c>
      <c r="H246" s="168"/>
      <c r="I246" s="168"/>
    </row>
    <row r="247" spans="2:9" s="529" customFormat="1">
      <c r="B247" s="159"/>
      <c r="C247" s="159"/>
      <c r="D247" s="159" t="s">
        <v>1847</v>
      </c>
      <c r="E247" s="159"/>
      <c r="F247" s="166" t="s">
        <v>3944</v>
      </c>
      <c r="G247" s="166" t="s">
        <v>3992</v>
      </c>
      <c r="H247" s="166"/>
      <c r="I247" s="167"/>
    </row>
    <row r="248" spans="2:9" s="529" customFormat="1">
      <c r="B248" s="159"/>
      <c r="C248" s="159"/>
      <c r="D248" s="159" t="s">
        <v>1848</v>
      </c>
      <c r="E248" s="159"/>
      <c r="F248" s="166" t="s">
        <v>3945</v>
      </c>
      <c r="G248" s="166" t="s">
        <v>3990</v>
      </c>
      <c r="H248" s="166"/>
      <c r="I248" s="166"/>
    </row>
    <row r="249" spans="2:9" s="529" customFormat="1">
      <c r="B249" s="159"/>
      <c r="C249" s="159"/>
      <c r="D249" s="159" t="s">
        <v>1849</v>
      </c>
      <c r="E249" s="159"/>
      <c r="F249" s="169">
        <v>45315</v>
      </c>
      <c r="G249" s="169">
        <v>45684</v>
      </c>
      <c r="H249" s="169"/>
      <c r="I249" s="169"/>
    </row>
    <row r="250" spans="2:9" s="529" customFormat="1">
      <c r="B250" s="159"/>
      <c r="C250" s="159"/>
      <c r="D250" s="159" t="s">
        <v>1850</v>
      </c>
      <c r="E250" s="159"/>
      <c r="F250" s="166" t="s">
        <v>3946</v>
      </c>
      <c r="G250" s="166" t="s">
        <v>3988</v>
      </c>
      <c r="H250" s="166"/>
      <c r="I250" s="167"/>
    </row>
    <row r="251" spans="2:9" s="529" customFormat="1"/>
    <row r="252" spans="2:9" s="529" customFormat="1" ht="25.5">
      <c r="B252" s="103" t="s">
        <v>4159</v>
      </c>
      <c r="C252" s="103" t="s">
        <v>4160</v>
      </c>
      <c r="D252" s="172">
        <f>F254</f>
        <v>50</v>
      </c>
      <c r="E252" s="103" t="s">
        <v>144</v>
      </c>
      <c r="F252" s="103" t="s">
        <v>3942</v>
      </c>
      <c r="G252" s="103" t="s">
        <v>3989</v>
      </c>
      <c r="H252" s="103"/>
      <c r="I252" s="103"/>
    </row>
    <row r="253" spans="2:9" s="529" customFormat="1" ht="30">
      <c r="B253" s="159"/>
      <c r="C253" s="159"/>
      <c r="D253" s="159" t="s">
        <v>1845</v>
      </c>
      <c r="E253" s="159"/>
      <c r="F253" s="170" t="s">
        <v>3943</v>
      </c>
      <c r="G253" s="170" t="s">
        <v>3991</v>
      </c>
      <c r="H253" s="170"/>
      <c r="I253" s="167"/>
    </row>
    <row r="254" spans="2:9" s="529" customFormat="1">
      <c r="B254" s="159"/>
      <c r="C254" s="159"/>
      <c r="D254" s="159" t="s">
        <v>1846</v>
      </c>
      <c r="E254" s="159"/>
      <c r="F254" s="168">
        <v>50</v>
      </c>
      <c r="G254" s="168">
        <v>0</v>
      </c>
      <c r="H254" s="168"/>
      <c r="I254" s="168"/>
    </row>
    <row r="255" spans="2:9" s="529" customFormat="1">
      <c r="B255" s="159"/>
      <c r="C255" s="159"/>
      <c r="D255" s="159" t="s">
        <v>1847</v>
      </c>
      <c r="E255" s="159"/>
      <c r="F255" s="166" t="s">
        <v>3944</v>
      </c>
      <c r="G255" s="166" t="s">
        <v>3992</v>
      </c>
      <c r="H255" s="166"/>
      <c r="I255" s="167"/>
    </row>
    <row r="256" spans="2:9" s="529" customFormat="1">
      <c r="B256" s="159"/>
      <c r="C256" s="159"/>
      <c r="D256" s="159" t="s">
        <v>1848</v>
      </c>
      <c r="E256" s="159"/>
      <c r="F256" s="166" t="s">
        <v>3945</v>
      </c>
      <c r="G256" s="166" t="s">
        <v>3990</v>
      </c>
      <c r="H256" s="166"/>
      <c r="I256" s="166"/>
    </row>
    <row r="257" spans="2:9" s="529" customFormat="1">
      <c r="B257" s="159"/>
      <c r="C257" s="159"/>
      <c r="D257" s="159" t="s">
        <v>1849</v>
      </c>
      <c r="E257" s="159"/>
      <c r="F257" s="169">
        <v>45315</v>
      </c>
      <c r="G257" s="169">
        <v>45684</v>
      </c>
      <c r="H257" s="169"/>
      <c r="I257" s="169"/>
    </row>
    <row r="258" spans="2:9" s="529" customFormat="1">
      <c r="B258" s="159"/>
      <c r="C258" s="159"/>
      <c r="D258" s="159" t="s">
        <v>1850</v>
      </c>
      <c r="E258" s="159"/>
      <c r="F258" s="166" t="s">
        <v>3946</v>
      </c>
      <c r="G258" s="166" t="s">
        <v>3988</v>
      </c>
      <c r="H258" s="166"/>
      <c r="I258" s="167"/>
    </row>
    <row r="259" spans="2:9" s="529" customFormat="1"/>
    <row r="260" spans="2:9" s="529" customFormat="1" ht="25.5">
      <c r="B260" s="103" t="s">
        <v>4161</v>
      </c>
      <c r="C260" s="103" t="s">
        <v>4162</v>
      </c>
      <c r="D260" s="172">
        <f>MIN(F262:H262)</f>
        <v>3.5</v>
      </c>
      <c r="E260" s="103" t="s">
        <v>144</v>
      </c>
      <c r="F260" s="103" t="s">
        <v>3942</v>
      </c>
      <c r="G260" s="103" t="s">
        <v>3989</v>
      </c>
      <c r="H260" s="103"/>
      <c r="I260" s="103"/>
    </row>
    <row r="261" spans="2:9" s="529" customFormat="1" ht="30">
      <c r="B261" s="159"/>
      <c r="C261" s="159"/>
      <c r="D261" s="159" t="s">
        <v>1845</v>
      </c>
      <c r="E261" s="159"/>
      <c r="F261" s="170" t="s">
        <v>3943</v>
      </c>
      <c r="G261" s="170" t="s">
        <v>3991</v>
      </c>
      <c r="H261" s="170"/>
      <c r="I261" s="167"/>
    </row>
    <row r="262" spans="2:9" s="529" customFormat="1">
      <c r="B262" s="159"/>
      <c r="C262" s="159"/>
      <c r="D262" s="159" t="s">
        <v>1846</v>
      </c>
      <c r="E262" s="159"/>
      <c r="F262" s="168">
        <v>3.5</v>
      </c>
      <c r="G262" s="168">
        <v>5.99</v>
      </c>
      <c r="H262" s="168"/>
      <c r="I262" s="168"/>
    </row>
    <row r="263" spans="2:9" s="529" customFormat="1">
      <c r="B263" s="159"/>
      <c r="C263" s="159"/>
      <c r="D263" s="159" t="s">
        <v>1847</v>
      </c>
      <c r="E263" s="159"/>
      <c r="F263" s="166" t="s">
        <v>3944</v>
      </c>
      <c r="G263" s="166" t="s">
        <v>3992</v>
      </c>
      <c r="H263" s="166"/>
      <c r="I263" s="167"/>
    </row>
    <row r="264" spans="2:9" s="529" customFormat="1">
      <c r="B264" s="159"/>
      <c r="C264" s="159"/>
      <c r="D264" s="159" t="s">
        <v>1848</v>
      </c>
      <c r="E264" s="159"/>
      <c r="F264" s="166" t="s">
        <v>3945</v>
      </c>
      <c r="G264" s="166" t="s">
        <v>3990</v>
      </c>
      <c r="H264" s="166"/>
      <c r="I264" s="166"/>
    </row>
    <row r="265" spans="2:9" s="529" customFormat="1">
      <c r="B265" s="159"/>
      <c r="C265" s="159"/>
      <c r="D265" s="159" t="s">
        <v>1849</v>
      </c>
      <c r="E265" s="159"/>
      <c r="F265" s="169">
        <v>45315</v>
      </c>
      <c r="G265" s="169">
        <v>45684</v>
      </c>
      <c r="H265" s="169"/>
      <c r="I265" s="169"/>
    </row>
    <row r="266" spans="2:9" s="529" customFormat="1">
      <c r="B266" s="159"/>
      <c r="C266" s="159"/>
      <c r="D266" s="159" t="s">
        <v>1850</v>
      </c>
      <c r="E266" s="159"/>
      <c r="F266" s="166" t="s">
        <v>3946</v>
      </c>
      <c r="G266" s="166" t="s">
        <v>3988</v>
      </c>
      <c r="H266" s="166"/>
      <c r="I266" s="167"/>
    </row>
    <row r="267" spans="2:9" s="529" customFormat="1"/>
    <row r="268" spans="2:9" s="529" customFormat="1" ht="25.5">
      <c r="B268" s="103" t="s">
        <v>4163</v>
      </c>
      <c r="C268" s="103" t="s">
        <v>4164</v>
      </c>
      <c r="D268" s="172">
        <f>MIN(F270:H270)</f>
        <v>55</v>
      </c>
      <c r="E268" s="103" t="s">
        <v>144</v>
      </c>
      <c r="F268" s="103" t="s">
        <v>3942</v>
      </c>
      <c r="G268" s="103" t="s">
        <v>3989</v>
      </c>
      <c r="H268" s="103"/>
      <c r="I268" s="103"/>
    </row>
    <row r="269" spans="2:9" s="529" customFormat="1" ht="30">
      <c r="B269" s="159"/>
      <c r="C269" s="159"/>
      <c r="D269" s="159" t="s">
        <v>1845</v>
      </c>
      <c r="E269" s="159"/>
      <c r="F269" s="170" t="s">
        <v>3943</v>
      </c>
      <c r="G269" s="170" t="s">
        <v>3991</v>
      </c>
      <c r="H269" s="170"/>
      <c r="I269" s="167"/>
    </row>
    <row r="270" spans="2:9" s="529" customFormat="1">
      <c r="B270" s="159"/>
      <c r="C270" s="159"/>
      <c r="D270" s="159" t="s">
        <v>1846</v>
      </c>
      <c r="E270" s="159"/>
      <c r="F270" s="168">
        <v>55</v>
      </c>
      <c r="G270" s="168">
        <v>76.97</v>
      </c>
      <c r="H270" s="166"/>
      <c r="I270" s="168"/>
    </row>
    <row r="271" spans="2:9" s="529" customFormat="1">
      <c r="B271" s="159"/>
      <c r="C271" s="159"/>
      <c r="D271" s="159" t="s">
        <v>1847</v>
      </c>
      <c r="E271" s="159"/>
      <c r="F271" s="166" t="s">
        <v>3944</v>
      </c>
      <c r="G271" s="166" t="s">
        <v>3992</v>
      </c>
      <c r="H271" s="166"/>
      <c r="I271" s="167"/>
    </row>
    <row r="272" spans="2:9" s="529" customFormat="1">
      <c r="B272" s="159"/>
      <c r="C272" s="159"/>
      <c r="D272" s="159" t="s">
        <v>1848</v>
      </c>
      <c r="E272" s="159"/>
      <c r="F272" s="166" t="s">
        <v>3945</v>
      </c>
      <c r="G272" s="166" t="s">
        <v>3990</v>
      </c>
      <c r="H272" s="166"/>
      <c r="I272" s="166"/>
    </row>
    <row r="273" spans="2:9" s="529" customFormat="1">
      <c r="B273" s="159"/>
      <c r="C273" s="159"/>
      <c r="D273" s="159" t="s">
        <v>1849</v>
      </c>
      <c r="E273" s="159"/>
      <c r="F273" s="169">
        <v>45315</v>
      </c>
      <c r="G273" s="169">
        <v>45684</v>
      </c>
      <c r="H273" s="169"/>
      <c r="I273" s="169"/>
    </row>
    <row r="274" spans="2:9" s="529" customFormat="1">
      <c r="B274" s="159"/>
      <c r="C274" s="159"/>
      <c r="D274" s="159" t="s">
        <v>1850</v>
      </c>
      <c r="E274" s="159"/>
      <c r="F274" s="166" t="s">
        <v>3946</v>
      </c>
      <c r="G274" s="166" t="s">
        <v>3988</v>
      </c>
      <c r="H274" s="166"/>
      <c r="I274" s="167"/>
    </row>
    <row r="275" spans="2:9" s="529" customFormat="1"/>
    <row r="276" spans="2:9" s="534" customFormat="1" ht="25.5">
      <c r="B276" s="103" t="s">
        <v>4172</v>
      </c>
      <c r="C276" s="103" t="s">
        <v>3955</v>
      </c>
      <c r="D276" s="172">
        <f>MIN(F278:H278)</f>
        <v>459.9</v>
      </c>
      <c r="E276" s="103" t="s">
        <v>144</v>
      </c>
      <c r="F276" s="103" t="s">
        <v>3956</v>
      </c>
      <c r="G276" s="103" t="s">
        <v>3957</v>
      </c>
      <c r="H276" s="103" t="s">
        <v>2405</v>
      </c>
      <c r="I276" s="103"/>
    </row>
    <row r="277" spans="2:9" s="472" customFormat="1" ht="30">
      <c r="B277" s="159"/>
      <c r="C277" s="159"/>
      <c r="D277" s="159" t="s">
        <v>1845</v>
      </c>
      <c r="E277" s="159"/>
      <c r="F277" s="170" t="s">
        <v>3958</v>
      </c>
      <c r="G277" s="170" t="s">
        <v>3959</v>
      </c>
      <c r="H277" s="170" t="s">
        <v>3960</v>
      </c>
      <c r="I277" s="167"/>
    </row>
    <row r="278" spans="2:9" s="473" customFormat="1">
      <c r="B278" s="159"/>
      <c r="C278" s="159"/>
      <c r="D278" s="159" t="s">
        <v>1846</v>
      </c>
      <c r="E278" s="159"/>
      <c r="F278" s="168">
        <v>459.9</v>
      </c>
      <c r="G278" s="168">
        <v>492.9</v>
      </c>
      <c r="H278" s="168">
        <v>470.39</v>
      </c>
      <c r="I278" s="168"/>
    </row>
    <row r="279" spans="2:9" s="473" customFormat="1">
      <c r="B279" s="159"/>
      <c r="C279" s="159"/>
      <c r="D279" s="159" t="s">
        <v>1847</v>
      </c>
      <c r="E279" s="159"/>
      <c r="F279" s="166" t="s">
        <v>3961</v>
      </c>
      <c r="G279" s="166" t="s">
        <v>3962</v>
      </c>
      <c r="H279" s="166" t="s">
        <v>2153</v>
      </c>
      <c r="I279" s="167"/>
    </row>
    <row r="280" spans="2:9" s="473" customFormat="1">
      <c r="B280" s="159"/>
      <c r="C280" s="159"/>
      <c r="D280" s="159" t="s">
        <v>1848</v>
      </c>
      <c r="E280" s="159"/>
      <c r="F280" s="166" t="s">
        <v>3963</v>
      </c>
      <c r="G280" s="166" t="s">
        <v>3964</v>
      </c>
      <c r="H280" s="166" t="s">
        <v>2154</v>
      </c>
      <c r="I280" s="166"/>
    </row>
    <row r="281" spans="2:9" s="473" customFormat="1">
      <c r="B281" s="159"/>
      <c r="C281" s="159"/>
      <c r="D281" s="159" t="s">
        <v>1849</v>
      </c>
      <c r="E281" s="159"/>
      <c r="F281" s="169">
        <v>45684</v>
      </c>
      <c r="G281" s="169">
        <v>45684</v>
      </c>
      <c r="H281" s="169">
        <v>45684</v>
      </c>
      <c r="I281" s="169"/>
    </row>
    <row r="282" spans="2:9" s="473" customFormat="1">
      <c r="B282" s="159"/>
      <c r="C282" s="159"/>
      <c r="D282" s="159" t="s">
        <v>1850</v>
      </c>
      <c r="E282" s="159"/>
      <c r="F282" s="166" t="s">
        <v>3965</v>
      </c>
      <c r="G282" s="166" t="s">
        <v>3966</v>
      </c>
      <c r="H282" s="166" t="s">
        <v>3967</v>
      </c>
      <c r="I282" s="167"/>
    </row>
    <row r="283" spans="2:9" s="473" customFormat="1"/>
    <row r="284" spans="2:9" s="473" customFormat="1" ht="25.5">
      <c r="B284" s="103" t="s">
        <v>4173</v>
      </c>
      <c r="C284" s="103" t="s">
        <v>4085</v>
      </c>
      <c r="D284" s="172">
        <f>MIN(F286:H286)</f>
        <v>622.94000000000005</v>
      </c>
      <c r="E284" s="103" t="s">
        <v>144</v>
      </c>
      <c r="F284" s="103" t="s">
        <v>4096</v>
      </c>
      <c r="G284" s="103" t="s">
        <v>4093</v>
      </c>
      <c r="H284" s="103" t="s">
        <v>4086</v>
      </c>
      <c r="I284" s="103"/>
    </row>
    <row r="285" spans="2:9" s="473" customFormat="1" ht="30" customHeight="1">
      <c r="B285" s="159"/>
      <c r="C285" s="159"/>
      <c r="D285" s="159" t="s">
        <v>1845</v>
      </c>
      <c r="E285" s="159"/>
      <c r="F285" s="170" t="s">
        <v>4099</v>
      </c>
      <c r="G285" s="170" t="s">
        <v>4094</v>
      </c>
      <c r="H285" s="170" t="s">
        <v>4100</v>
      </c>
      <c r="I285" s="167"/>
    </row>
    <row r="286" spans="2:9" s="509" customFormat="1">
      <c r="B286" s="159"/>
      <c r="C286" s="159"/>
      <c r="D286" s="159" t="s">
        <v>1846</v>
      </c>
      <c r="E286" s="159"/>
      <c r="F286" s="168">
        <v>1076.08</v>
      </c>
      <c r="G286" s="168">
        <v>895</v>
      </c>
      <c r="H286" s="168">
        <v>622.94000000000005</v>
      </c>
      <c r="I286" s="168"/>
    </row>
    <row r="287" spans="2:9" s="509" customFormat="1">
      <c r="B287" s="159"/>
      <c r="C287" s="159"/>
      <c r="D287" s="159" t="s">
        <v>1847</v>
      </c>
      <c r="E287" s="159"/>
      <c r="F287" s="166" t="s">
        <v>4097</v>
      </c>
      <c r="G287" s="166" t="s">
        <v>4095</v>
      </c>
      <c r="H287" s="166" t="s">
        <v>4087</v>
      </c>
      <c r="I287" s="167"/>
    </row>
    <row r="288" spans="2:9" s="509" customFormat="1">
      <c r="B288" s="159"/>
      <c r="C288" s="159"/>
      <c r="D288" s="159" t="s">
        <v>1848</v>
      </c>
      <c r="E288" s="159"/>
      <c r="F288" s="166" t="s">
        <v>4098</v>
      </c>
      <c r="G288" s="166" t="s">
        <v>4092</v>
      </c>
      <c r="H288" s="166" t="s">
        <v>4088</v>
      </c>
      <c r="I288" s="166"/>
    </row>
    <row r="289" spans="2:9" s="509" customFormat="1">
      <c r="B289" s="159"/>
      <c r="C289" s="159"/>
      <c r="D289" s="159" t="s">
        <v>1849</v>
      </c>
      <c r="E289" s="159"/>
      <c r="F289" s="169">
        <v>45708</v>
      </c>
      <c r="G289" s="169">
        <v>45708</v>
      </c>
      <c r="H289" s="169">
        <v>45708</v>
      </c>
      <c r="I289" s="169"/>
    </row>
    <row r="290" spans="2:9" s="509" customFormat="1">
      <c r="B290" s="159"/>
      <c r="C290" s="159"/>
      <c r="D290" s="159" t="s">
        <v>1850</v>
      </c>
      <c r="E290" s="159"/>
      <c r="F290" s="166" t="s">
        <v>4089</v>
      </c>
      <c r="G290" s="166" t="s">
        <v>4091</v>
      </c>
      <c r="H290" s="166" t="s">
        <v>4090</v>
      </c>
      <c r="I290" s="167"/>
    </row>
    <row r="291" spans="2:9" s="509" customFormat="1"/>
    <row r="292" spans="2:9" s="534" customFormat="1" ht="25.5">
      <c r="B292" s="103" t="s">
        <v>4174</v>
      </c>
      <c r="C292" s="103" t="s">
        <v>4141</v>
      </c>
      <c r="D292" s="172">
        <f>MIN(F294:H294)</f>
        <v>19.43</v>
      </c>
      <c r="E292" s="103" t="s">
        <v>200</v>
      </c>
      <c r="F292" s="103" t="s">
        <v>4143</v>
      </c>
      <c r="G292" s="103"/>
      <c r="H292" s="103"/>
      <c r="I292" s="103"/>
    </row>
    <row r="293" spans="2:9" s="509" customFormat="1" ht="30">
      <c r="B293" s="159"/>
      <c r="C293" s="159"/>
      <c r="D293" s="159" t="s">
        <v>1845</v>
      </c>
      <c r="E293" s="159"/>
      <c r="F293" s="170" t="s">
        <v>4099</v>
      </c>
      <c r="G293" s="170"/>
      <c r="H293" s="170"/>
      <c r="I293" s="167"/>
    </row>
    <row r="294" spans="2:9" s="519" customFormat="1">
      <c r="B294" s="159"/>
      <c r="C294" s="159"/>
      <c r="D294" s="159" t="s">
        <v>1846</v>
      </c>
      <c r="E294" s="159"/>
      <c r="F294" s="168">
        <v>19.43</v>
      </c>
      <c r="G294" s="168"/>
      <c r="H294" s="168"/>
      <c r="I294" s="168"/>
    </row>
    <row r="295" spans="2:9" s="519" customFormat="1">
      <c r="B295" s="159"/>
      <c r="C295" s="159"/>
      <c r="D295" s="159" t="s">
        <v>1847</v>
      </c>
      <c r="E295" s="159"/>
      <c r="F295" s="166" t="s">
        <v>4145</v>
      </c>
      <c r="G295" s="166"/>
      <c r="H295" s="166"/>
      <c r="I295" s="167"/>
    </row>
    <row r="296" spans="2:9" s="519" customFormat="1">
      <c r="B296" s="159"/>
      <c r="C296" s="159"/>
      <c r="D296" s="159" t="s">
        <v>1848</v>
      </c>
      <c r="E296" s="159"/>
      <c r="F296" s="166" t="s">
        <v>4144</v>
      </c>
      <c r="G296" s="166"/>
      <c r="H296" s="166"/>
      <c r="I296" s="166"/>
    </row>
    <row r="297" spans="2:9" s="519" customFormat="1">
      <c r="B297" s="159"/>
      <c r="C297" s="159"/>
      <c r="D297" s="159" t="s">
        <v>1849</v>
      </c>
      <c r="E297" s="159"/>
      <c r="F297" s="169">
        <v>45713</v>
      </c>
      <c r="G297" s="169"/>
      <c r="H297" s="169"/>
      <c r="I297" s="169"/>
    </row>
    <row r="298" spans="2:9" s="519" customFormat="1">
      <c r="B298" s="159"/>
      <c r="C298" s="159"/>
      <c r="D298" s="159" t="s">
        <v>1850</v>
      </c>
      <c r="E298" s="159"/>
      <c r="F298" s="166" t="s">
        <v>4143</v>
      </c>
      <c r="G298" s="166"/>
      <c r="H298" s="166"/>
      <c r="I298" s="167"/>
    </row>
    <row r="299" spans="2:9" s="519" customFormat="1"/>
    <row r="300" spans="2:9" s="534" customFormat="1" ht="25.5">
      <c r="B300" s="103" t="s">
        <v>4175</v>
      </c>
      <c r="C300" s="103" t="s">
        <v>4142</v>
      </c>
      <c r="D300" s="172">
        <f>MIN(F302:H302)</f>
        <v>13.79</v>
      </c>
      <c r="E300" s="103" t="s">
        <v>200</v>
      </c>
      <c r="F300" s="103" t="s">
        <v>4143</v>
      </c>
      <c r="G300" s="103"/>
      <c r="H300" s="103"/>
      <c r="I300" s="103"/>
    </row>
    <row r="301" spans="2:9" s="519" customFormat="1" ht="30">
      <c r="B301" s="159"/>
      <c r="C301" s="159"/>
      <c r="D301" s="159" t="s">
        <v>1845</v>
      </c>
      <c r="E301" s="159"/>
      <c r="F301" s="170" t="s">
        <v>4099</v>
      </c>
      <c r="G301" s="170"/>
      <c r="H301" s="170"/>
      <c r="I301" s="167"/>
    </row>
    <row r="302" spans="2:9" s="519" customFormat="1">
      <c r="B302" s="159"/>
      <c r="C302" s="159"/>
      <c r="D302" s="159" t="s">
        <v>1846</v>
      </c>
      <c r="E302" s="159"/>
      <c r="F302" s="168">
        <v>13.79</v>
      </c>
      <c r="G302" s="168"/>
      <c r="H302" s="168"/>
      <c r="I302" s="168"/>
    </row>
    <row r="303" spans="2:9" s="519" customFormat="1">
      <c r="B303" s="159"/>
      <c r="C303" s="159"/>
      <c r="D303" s="159" t="s">
        <v>1847</v>
      </c>
      <c r="E303" s="159"/>
      <c r="F303" s="166" t="s">
        <v>4145</v>
      </c>
      <c r="G303" s="166"/>
      <c r="H303" s="166"/>
      <c r="I303" s="167"/>
    </row>
    <row r="304" spans="2:9" s="519" customFormat="1">
      <c r="B304" s="159"/>
      <c r="C304" s="159"/>
      <c r="D304" s="159" t="s">
        <v>1848</v>
      </c>
      <c r="E304" s="159"/>
      <c r="F304" s="166" t="s">
        <v>4144</v>
      </c>
      <c r="G304" s="166"/>
      <c r="H304" s="166"/>
      <c r="I304" s="166"/>
    </row>
    <row r="305" spans="1:10" s="519" customFormat="1">
      <c r="B305" s="159"/>
      <c r="C305" s="159"/>
      <c r="D305" s="159" t="s">
        <v>1849</v>
      </c>
      <c r="E305" s="159"/>
      <c r="F305" s="169">
        <v>45713</v>
      </c>
      <c r="G305" s="169"/>
      <c r="H305" s="169"/>
      <c r="I305" s="169"/>
    </row>
    <row r="306" spans="1:10" s="519" customFormat="1">
      <c r="B306" s="159"/>
      <c r="C306" s="159"/>
      <c r="D306" s="159" t="s">
        <v>1850</v>
      </c>
      <c r="E306" s="159"/>
      <c r="F306" s="166" t="s">
        <v>4143</v>
      </c>
      <c r="G306" s="166"/>
      <c r="H306" s="166"/>
      <c r="I306" s="167"/>
    </row>
    <row r="307" spans="1:10" s="519" customFormat="1"/>
    <row r="308" spans="1:10" s="519" customFormat="1"/>
    <row r="309" spans="1:10" s="519" customFormat="1"/>
    <row r="310" spans="1:10" ht="138" customHeight="1">
      <c r="A310" s="654" t="s">
        <v>765</v>
      </c>
      <c r="B310" s="654"/>
      <c r="C310" s="654"/>
      <c r="D310" s="654"/>
      <c r="E310" s="654"/>
      <c r="F310" s="654"/>
      <c r="G310" s="654"/>
      <c r="H310" s="654"/>
      <c r="I310" s="654"/>
      <c r="J310" s="654"/>
    </row>
  </sheetData>
  <mergeCells count="3">
    <mergeCell ref="A310:J310"/>
    <mergeCell ref="A1:J4"/>
    <mergeCell ref="A5:J5"/>
  </mergeCells>
  <phoneticPr fontId="32" type="noConversion"/>
  <hyperlinks>
    <hyperlink ref="F16" r:id="rId1" xr:uid="{6D14B511-789D-409E-B116-8B531085F1C4}"/>
    <hyperlink ref="G16" r:id="rId2" xr:uid="{2EB58D75-D767-420D-80B1-FB7C2E14DADC}"/>
    <hyperlink ref="F36" r:id="rId3" xr:uid="{3C9B13E4-0ACB-45F0-996D-5848A96478F2}"/>
    <hyperlink ref="F69" r:id="rId4" xr:uid="{83C4CAB4-505C-402C-94AC-7EDE84195805}"/>
    <hyperlink ref="G69" r:id="rId5" xr:uid="{83994DCB-D021-47BE-9DBF-9460C2EB0DD1}"/>
    <hyperlink ref="H69" r:id="rId6" xr:uid="{3A855E68-4326-435B-9A4D-0F7F217AEBF4}"/>
    <hyperlink ref="F24" r:id="rId7" xr:uid="{85019555-18C3-4455-A1DC-C805F70FDCD0}"/>
    <hyperlink ref="F93" r:id="rId8" xr:uid="{41F5EC24-01C6-4AD7-83BE-94779A6A182E}"/>
    <hyperlink ref="G93" r:id="rId9" xr:uid="{B4F12B48-5DAA-47F5-B881-AA82E75467DD}"/>
    <hyperlink ref="F105" r:id="rId10" xr:uid="{48805816-FD9F-4C46-BA6C-C6E0DB7055FA}"/>
    <hyperlink ref="G105" r:id="rId11" xr:uid="{BD27F964-7C10-48C7-B90C-9903FED2652F}"/>
    <hyperlink ref="H105" r:id="rId12" xr:uid="{BAA71C3A-F30D-45BB-9DC9-F78AA4BE0751}"/>
    <hyperlink ref="H93" r:id="rId13" xr:uid="{66B9B330-CE77-4671-BB9E-3AAFEDAEB1B7}"/>
    <hyperlink ref="F117" r:id="rId14" xr:uid="{248C105C-905E-49EB-B31F-F1E478823327}"/>
    <hyperlink ref="G8" r:id="rId15" xr:uid="{E6BF4B20-9DD8-4816-9A2A-7053FA78EB79}"/>
    <hyperlink ref="H8" r:id="rId16" xr:uid="{F324EE14-B086-4E1B-8027-227172459F12}"/>
    <hyperlink ref="F8" r:id="rId17" xr:uid="{0953403E-5DD1-45C7-BE24-AF43994F660A}"/>
    <hyperlink ref="F157" r:id="rId18" xr:uid="{B145013A-2BC3-4F6B-98B8-D2F728000F6E}"/>
    <hyperlink ref="G157" r:id="rId19" xr:uid="{310E036E-701C-4F2E-9FD4-57A6C3B68F36}"/>
    <hyperlink ref="H157" r:id="rId20" xr:uid="{2F59BA9F-F90E-4749-88B9-A9F1CBF3897D}"/>
    <hyperlink ref="F77" r:id="rId21" xr:uid="{784B555F-91EF-4E4D-8833-8198B72F7389}"/>
    <hyperlink ref="H77" r:id="rId22" xr:uid="{F72F9288-23AD-4A29-87F5-93A312D3E722}"/>
    <hyperlink ref="G77" r:id="rId23" xr:uid="{27A0C107-2DB8-4434-A0DF-C47F4AE0D86F}"/>
    <hyperlink ref="F165" r:id="rId24" xr:uid="{C9D24F74-7800-47D1-8681-EDB69A5EB0F1}"/>
    <hyperlink ref="G165" r:id="rId25" xr:uid="{987B58E4-8411-41D4-890D-0C577372C382}"/>
    <hyperlink ref="H165" r:id="rId26" xr:uid="{5E768CEA-3353-43E3-8707-0B830727AE1F}"/>
    <hyperlink ref="F125" r:id="rId27" xr:uid="{118FB9AC-97B3-4B72-A6D9-BCD71B10A7EA}"/>
    <hyperlink ref="G125" r:id="rId28" xr:uid="{0642AA4A-9D5D-4725-8128-9E2CFF3F45B3}"/>
    <hyperlink ref="H125" r:id="rId29" xr:uid="{6831D691-4559-47BB-A215-BDA3B65C26FF}"/>
    <hyperlink ref="F197" r:id="rId30" xr:uid="{E1FE25E4-E4FF-4688-98B0-9C9E4C7ED140}"/>
    <hyperlink ref="F221" r:id="rId31" xr:uid="{8766485A-4649-4448-8F88-AFEC8C109EED}"/>
    <hyperlink ref="F229" r:id="rId32" xr:uid="{16CDA6FF-2912-43C9-9B15-592EAF7252C3}"/>
    <hyperlink ref="F237" r:id="rId33" xr:uid="{2F16A188-B589-463A-9B97-DEBFD1D80121}"/>
    <hyperlink ref="F245" r:id="rId34" xr:uid="{E09E3BB2-CF12-48F3-A2C7-326F35B8D768}"/>
    <hyperlink ref="F253" r:id="rId35" xr:uid="{4F7377EC-39E7-4589-9BB0-EE667A3C69F9}"/>
    <hyperlink ref="F261" r:id="rId36" xr:uid="{DC8C6177-87BF-4ADC-A841-8F573176A08D}"/>
    <hyperlink ref="F269" r:id="rId37" xr:uid="{0110D288-6D51-4A93-A3F2-8ED97A981CEE}"/>
    <hyperlink ref="F213" r:id="rId38" xr:uid="{67F2F9AD-4D19-4B08-939D-71BCE4F53EF7}"/>
    <hyperlink ref="H16" r:id="rId39" xr:uid="{98A53A30-C032-45CA-A970-E5BF58D24F46}"/>
    <hyperlink ref="G133" r:id="rId40" xr:uid="{BA2EC0F1-8283-4853-9543-F2D1DF670698}"/>
    <hyperlink ref="F61" r:id="rId41" xr:uid="{4CDFEBE0-7F1A-428D-8FE7-A82A36BD3AF6}"/>
    <hyperlink ref="H61" r:id="rId42" xr:uid="{303B1919-EA3A-4862-9A18-715DB1BA6849}"/>
    <hyperlink ref="G141" r:id="rId43" xr:uid="{35FB4124-7B51-437E-9D71-631923B0A910}"/>
    <hyperlink ref="H141" r:id="rId44" xr:uid="{4CD4234E-DA56-4C94-86F0-7543AF9A514F}"/>
    <hyperlink ref="F141" r:id="rId45" xr:uid="{7E6C9392-C3FF-45B7-AEE8-55AA842FE8F4}"/>
    <hyperlink ref="G149" r:id="rId46" xr:uid="{9B499E2F-CD4D-489A-85CC-838AE534E77D}"/>
    <hyperlink ref="H149" r:id="rId47" xr:uid="{D799BA29-3CB0-4EA6-ACC6-605B9C4B0CA4}"/>
    <hyperlink ref="G85" r:id="rId48" xr:uid="{4182CBF7-4383-4290-AD50-750F8DC8EE9A}"/>
  </hyperlinks>
  <pageMargins left="0.511811024" right="0.511811024" top="0.78740157499999996" bottom="0.78740157499999996" header="0.31496062000000002" footer="0.31496062000000002"/>
  <pageSetup paperSize="9" scale="60" fitToHeight="0" orientation="landscape" r:id="rId49"/>
  <rowBreaks count="2" manualBreakCount="2">
    <brk id="151" max="9" man="1"/>
    <brk id="187" max="9" man="1"/>
  </rowBreaks>
  <drawing r:id="rId5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9A82C-3070-4AE9-951C-39DEA9E82DF5}">
  <sheetPr>
    <tabColor rgb="FF00B0F0"/>
    <pageSetUpPr fitToPage="1"/>
  </sheetPr>
  <dimension ref="A1:P181"/>
  <sheetViews>
    <sheetView view="pageBreakPreview" zoomScale="55" zoomScaleNormal="55" zoomScaleSheetLayoutView="55" workbookViewId="0">
      <selection activeCell="J118" sqref="J118"/>
    </sheetView>
  </sheetViews>
  <sheetFormatPr defaultColWidth="9.140625" defaultRowHeight="14.25"/>
  <cols>
    <col min="1" max="1" width="11.140625" style="179" customWidth="1"/>
    <col min="2" max="2" width="66.28515625" style="179" customWidth="1"/>
    <col min="3" max="3" width="18" style="179" customWidth="1"/>
    <col min="4" max="13" width="14.5703125" style="179" customWidth="1"/>
    <col min="14" max="14" width="21.7109375" style="179" customWidth="1"/>
    <col min="15" max="15" width="13.85546875" style="179" customWidth="1"/>
    <col min="16" max="16" width="26.140625" style="180" customWidth="1"/>
    <col min="17" max="16384" width="9.140625" style="179"/>
  </cols>
  <sheetData>
    <row r="1" spans="1:16" ht="12.75" customHeight="1">
      <c r="A1" s="665" t="s">
        <v>62</v>
      </c>
      <c r="B1" s="665"/>
      <c r="C1" s="665"/>
      <c r="D1" s="665"/>
      <c r="E1" s="665"/>
      <c r="F1" s="665"/>
      <c r="G1" s="665"/>
      <c r="H1" s="665"/>
      <c r="I1" s="665"/>
      <c r="J1" s="665"/>
      <c r="K1" s="665"/>
      <c r="L1" s="665"/>
      <c r="M1" s="665"/>
      <c r="N1" s="665"/>
    </row>
    <row r="2" spans="1:16" ht="30" customHeight="1">
      <c r="A2" s="665"/>
      <c r="B2" s="665"/>
      <c r="C2" s="665"/>
      <c r="D2" s="665"/>
      <c r="E2" s="665"/>
      <c r="F2" s="665"/>
      <c r="G2" s="665"/>
      <c r="H2" s="665"/>
      <c r="I2" s="665"/>
      <c r="J2" s="665"/>
      <c r="K2" s="665"/>
      <c r="L2" s="665"/>
      <c r="M2" s="665"/>
      <c r="N2" s="665"/>
    </row>
    <row r="3" spans="1:16" ht="19.5" customHeight="1">
      <c r="A3" s="665"/>
      <c r="B3" s="665"/>
      <c r="C3" s="665"/>
      <c r="D3" s="665"/>
      <c r="E3" s="665"/>
      <c r="F3" s="665"/>
      <c r="G3" s="665"/>
      <c r="H3" s="665"/>
      <c r="I3" s="665"/>
      <c r="J3" s="665"/>
      <c r="K3" s="665"/>
      <c r="L3" s="665"/>
      <c r="M3" s="665"/>
      <c r="N3" s="665"/>
    </row>
    <row r="4" spans="1:16" ht="15" customHeight="1">
      <c r="A4" s="665"/>
      <c r="B4" s="665"/>
      <c r="C4" s="665"/>
      <c r="D4" s="665"/>
      <c r="E4" s="665"/>
      <c r="F4" s="665"/>
      <c r="G4" s="665"/>
      <c r="H4" s="665"/>
      <c r="I4" s="665"/>
      <c r="J4" s="665"/>
      <c r="K4" s="665"/>
      <c r="L4" s="665"/>
      <c r="M4" s="665"/>
      <c r="N4" s="665"/>
    </row>
    <row r="5" spans="1:16" ht="30" customHeight="1">
      <c r="A5" s="666" t="s">
        <v>744</v>
      </c>
      <c r="B5" s="666"/>
      <c r="C5" s="666"/>
      <c r="D5" s="666"/>
      <c r="E5" s="666"/>
      <c r="F5" s="666"/>
      <c r="G5" s="666"/>
      <c r="H5" s="666"/>
      <c r="I5" s="666"/>
      <c r="J5" s="666"/>
      <c r="K5" s="666"/>
      <c r="L5" s="666"/>
      <c r="M5" s="666"/>
      <c r="N5" s="666"/>
    </row>
    <row r="6" spans="1:16">
      <c r="A6" s="181"/>
      <c r="B6" s="181"/>
      <c r="C6" s="181"/>
      <c r="D6" s="181"/>
      <c r="E6" s="181"/>
      <c r="F6" s="181"/>
      <c r="G6" s="181"/>
      <c r="H6" s="181"/>
      <c r="I6" s="181"/>
      <c r="J6" s="181"/>
      <c r="K6" s="181"/>
      <c r="L6" s="181"/>
      <c r="M6" s="181"/>
      <c r="N6" s="181"/>
      <c r="O6" s="181"/>
    </row>
    <row r="7" spans="1:16">
      <c r="A7" s="181"/>
      <c r="B7" s="181"/>
      <c r="C7" s="181"/>
      <c r="D7" s="181"/>
      <c r="E7" s="181"/>
      <c r="F7" s="181"/>
      <c r="G7" s="181"/>
      <c r="H7" s="181"/>
      <c r="I7" s="181"/>
      <c r="J7" s="181"/>
      <c r="K7" s="181"/>
      <c r="L7" s="181"/>
      <c r="M7" s="181"/>
      <c r="N7" s="181"/>
      <c r="O7" s="181"/>
      <c r="P7" s="180" t="s">
        <v>2024</v>
      </c>
    </row>
    <row r="8" spans="1:16" s="184" customFormat="1" ht="15.95" customHeight="1">
      <c r="A8" s="141" t="s">
        <v>18</v>
      </c>
      <c r="B8" s="141" t="s">
        <v>33</v>
      </c>
      <c r="C8" s="141" t="s">
        <v>779</v>
      </c>
      <c r="D8" s="141" t="s">
        <v>780</v>
      </c>
      <c r="E8" s="141" t="s">
        <v>781</v>
      </c>
      <c r="F8" s="141" t="s">
        <v>782</v>
      </c>
      <c r="G8" s="141" t="s">
        <v>783</v>
      </c>
      <c r="H8" s="142" t="s">
        <v>784</v>
      </c>
      <c r="I8" s="141" t="s">
        <v>785</v>
      </c>
      <c r="J8" s="141" t="s">
        <v>786</v>
      </c>
      <c r="K8" s="141" t="s">
        <v>787</v>
      </c>
      <c r="L8" s="141" t="s">
        <v>788</v>
      </c>
      <c r="M8" s="141" t="s">
        <v>789</v>
      </c>
      <c r="N8" s="141" t="s">
        <v>790</v>
      </c>
      <c r="O8" s="182"/>
      <c r="P8" s="183"/>
    </row>
    <row r="9" spans="1:16" ht="12" customHeight="1">
      <c r="A9" s="185" t="str">
        <f>'3 - PLAN. ORÇAMENTÁRIA'!A16</f>
        <v>01.00.000</v>
      </c>
      <c r="B9" s="185" t="str">
        <f>'3 - PLAN. ORÇAMENTÁRIA'!B16</f>
        <v>SERVIÇOS TÉCNICOS PROFISSIONAIS</v>
      </c>
      <c r="C9" s="186">
        <f>'3 - PLAN. ORÇAMENTÁRIA'!J16</f>
        <v>438655.83</v>
      </c>
      <c r="D9" s="135">
        <f t="shared" ref="D9:M9" si="0">IF((D10/$C9)=0," ",D10/$C9)</f>
        <v>9.9999999999999992E-2</v>
      </c>
      <c r="E9" s="135">
        <f t="shared" si="0"/>
        <v>9.9999999999999992E-2</v>
      </c>
      <c r="F9" s="135">
        <f t="shared" si="0"/>
        <v>9.9999999999999992E-2</v>
      </c>
      <c r="G9" s="135">
        <f t="shared" si="0"/>
        <v>9.9999999999999992E-2</v>
      </c>
      <c r="H9" s="135">
        <f t="shared" si="0"/>
        <v>9.9999999999999992E-2</v>
      </c>
      <c r="I9" s="135">
        <f t="shared" si="0"/>
        <v>9.9999999999999992E-2</v>
      </c>
      <c r="J9" s="135">
        <f t="shared" si="0"/>
        <v>9.9999999999999992E-2</v>
      </c>
      <c r="K9" s="135">
        <f t="shared" si="0"/>
        <v>9.9999999999999992E-2</v>
      </c>
      <c r="L9" s="135">
        <f t="shared" si="0"/>
        <v>9.9999999999999992E-2</v>
      </c>
      <c r="M9" s="135">
        <f t="shared" si="0"/>
        <v>9.9999999999999992E-2</v>
      </c>
      <c r="N9" s="187">
        <f t="shared" ref="N9:N38" si="1">SUM(D9:M9)</f>
        <v>0.99999999999999989</v>
      </c>
      <c r="O9" s="181"/>
      <c r="P9" s="188" t="s">
        <v>886</v>
      </c>
    </row>
    <row r="10" spans="1:16" ht="12.95" customHeight="1">
      <c r="A10" s="189"/>
      <c r="B10" s="189"/>
      <c r="C10" s="190"/>
      <c r="D10" s="191">
        <f>C9/10</f>
        <v>43865.582999999999</v>
      </c>
      <c r="E10" s="191">
        <f>C9/10</f>
        <v>43865.582999999999</v>
      </c>
      <c r="F10" s="191">
        <f>C9/10</f>
        <v>43865.582999999999</v>
      </c>
      <c r="G10" s="191">
        <f>C9/10</f>
        <v>43865.582999999999</v>
      </c>
      <c r="H10" s="191">
        <f>C9/10</f>
        <v>43865.582999999999</v>
      </c>
      <c r="I10" s="191">
        <f>C9/10</f>
        <v>43865.582999999999</v>
      </c>
      <c r="J10" s="191">
        <f>C9/10</f>
        <v>43865.582999999999</v>
      </c>
      <c r="K10" s="191">
        <f>C9/10</f>
        <v>43865.582999999999</v>
      </c>
      <c r="L10" s="191">
        <f>C9/10</f>
        <v>43865.582999999999</v>
      </c>
      <c r="M10" s="191">
        <f>C9/10</f>
        <v>43865.582999999999</v>
      </c>
      <c r="N10" s="192">
        <f t="shared" si="1"/>
        <v>438655.8299999999</v>
      </c>
      <c r="O10" s="181"/>
      <c r="P10" s="188">
        <f>IF(N10-C9=0,"-",N10-C9)</f>
        <v>-1.1641532182693481E-10</v>
      </c>
    </row>
    <row r="11" spans="1:16" ht="12" customHeight="1">
      <c r="A11" s="193" t="str">
        <f>'3 - PLAN. ORÇAMENTÁRIA'!A18</f>
        <v>02.00.000</v>
      </c>
      <c r="B11" s="193" t="str">
        <f>'3 - PLAN. ORÇAMENTÁRIA'!B18</f>
        <v>SERVIÇOS PRELIMINARES</v>
      </c>
      <c r="C11" s="194">
        <f>'3 - PLAN. ORÇAMENTÁRIA'!J18</f>
        <v>598062.44000000006</v>
      </c>
      <c r="D11" s="195">
        <f t="shared" ref="D11:M11" si="2">IF((D12/$C11)=0," ",D12/$C11)</f>
        <v>0.80519279425071388</v>
      </c>
      <c r="E11" s="195">
        <f t="shared" si="2"/>
        <v>0.18143500534827098</v>
      </c>
      <c r="F11" s="195">
        <f t="shared" si="2"/>
        <v>1.7868903454294834E-3</v>
      </c>
      <c r="G11" s="195">
        <f t="shared" si="2"/>
        <v>9.5300818422905799E-4</v>
      </c>
      <c r="H11" s="195">
        <f t="shared" si="2"/>
        <v>7.1475613817179333E-4</v>
      </c>
      <c r="I11" s="195">
        <f t="shared" si="2"/>
        <v>5.9563011514316127E-4</v>
      </c>
      <c r="J11" s="195">
        <f t="shared" si="2"/>
        <v>3.5737806908589666E-4</v>
      </c>
      <c r="K11" s="195">
        <f t="shared" si="2"/>
        <v>5.3814166962232231E-3</v>
      </c>
      <c r="L11" s="195">
        <f t="shared" si="2"/>
        <v>1.7868903454294834E-3</v>
      </c>
      <c r="M11" s="195">
        <f t="shared" si="2"/>
        <v>1.7962305073028829E-3</v>
      </c>
      <c r="N11" s="196">
        <f t="shared" si="1"/>
        <v>0.99999999999999989</v>
      </c>
      <c r="O11" s="181"/>
      <c r="P11" s="188" t="s">
        <v>886</v>
      </c>
    </row>
    <row r="12" spans="1:16" ht="12.95" customHeight="1">
      <c r="A12" s="189"/>
      <c r="B12" s="189"/>
      <c r="C12" s="190"/>
      <c r="D12" s="197">
        <f t="shared" ref="D12:M12" si="3">D14+D22+D28+D34</f>
        <v>481555.56719999999</v>
      </c>
      <c r="E12" s="197">
        <f t="shared" si="3"/>
        <v>108509.462</v>
      </c>
      <c r="F12" s="197">
        <f t="shared" si="3"/>
        <v>1068.6719999999998</v>
      </c>
      <c r="G12" s="197">
        <f t="shared" si="3"/>
        <v>569.95839999999998</v>
      </c>
      <c r="H12" s="197">
        <f t="shared" si="3"/>
        <v>427.46879999999993</v>
      </c>
      <c r="I12" s="197">
        <f t="shared" si="3"/>
        <v>356.22399999999999</v>
      </c>
      <c r="J12" s="197">
        <f t="shared" si="3"/>
        <v>213.73439999999997</v>
      </c>
      <c r="K12" s="197">
        <f t="shared" si="3"/>
        <v>3218.4231999999997</v>
      </c>
      <c r="L12" s="197">
        <f t="shared" si="3"/>
        <v>1068.6719999999998</v>
      </c>
      <c r="M12" s="197">
        <f t="shared" si="3"/>
        <v>1074.258</v>
      </c>
      <c r="N12" s="192">
        <f t="shared" si="1"/>
        <v>598062.44000000006</v>
      </c>
      <c r="O12" s="181"/>
      <c r="P12" s="188" t="str">
        <f>IF(N12-C11=0,"-",N12-C11)</f>
        <v>-</v>
      </c>
    </row>
    <row r="13" spans="1:16" ht="12" customHeight="1">
      <c r="A13" s="193" t="str">
        <f>'3 - PLAN. ORÇAMENTÁRIA'!A19</f>
        <v>2.1</v>
      </c>
      <c r="B13" s="193" t="str">
        <f>'3 - PLAN. ORÇAMENTÁRIA'!B19</f>
        <v>CANTEIRO DE OBRA</v>
      </c>
      <c r="C13" s="194">
        <f>'3 - PLAN. ORÇAMENTÁRIA'!J19</f>
        <v>149078.21000000002</v>
      </c>
      <c r="D13" s="195">
        <f t="shared" ref="D13:M13" si="4">IF((D14/$C13)=0," ",D14/$C13)</f>
        <v>0.58796513588404364</v>
      </c>
      <c r="E13" s="195">
        <f t="shared" si="4"/>
        <v>0.40960788300315648</v>
      </c>
      <c r="F13" s="195" t="str">
        <f t="shared" si="4"/>
        <v xml:space="preserve"> </v>
      </c>
      <c r="G13" s="195" t="str">
        <f t="shared" si="4"/>
        <v xml:space="preserve"> </v>
      </c>
      <c r="H13" s="195" t="str">
        <f t="shared" si="4"/>
        <v xml:space="preserve"> </v>
      </c>
      <c r="I13" s="195" t="str">
        <f t="shared" si="4"/>
        <v xml:space="preserve"> </v>
      </c>
      <c r="J13" s="195" t="str">
        <f t="shared" si="4"/>
        <v xml:space="preserve"> </v>
      </c>
      <c r="K13" s="195" t="str">
        <f t="shared" si="4"/>
        <v xml:space="preserve"> </v>
      </c>
      <c r="L13" s="195" t="str">
        <f t="shared" si="4"/>
        <v xml:space="preserve"> </v>
      </c>
      <c r="M13" s="195">
        <f t="shared" si="4"/>
        <v>2.4269811127997846E-3</v>
      </c>
      <c r="N13" s="196">
        <f t="shared" si="1"/>
        <v>0.99999999999999989</v>
      </c>
      <c r="O13" s="181"/>
      <c r="P13" s="188" t="s">
        <v>886</v>
      </c>
    </row>
    <row r="14" spans="1:16" ht="12.95" customHeight="1">
      <c r="A14" s="189"/>
      <c r="B14" s="189"/>
      <c r="C14" s="190"/>
      <c r="D14" s="197">
        <f t="shared" ref="D14:M14" si="5">D16+D18+D20</f>
        <v>87652.790000000008</v>
      </c>
      <c r="E14" s="197">
        <f t="shared" si="5"/>
        <v>61063.61</v>
      </c>
      <c r="F14" s="197">
        <f t="shared" si="5"/>
        <v>0</v>
      </c>
      <c r="G14" s="197">
        <f t="shared" si="5"/>
        <v>0</v>
      </c>
      <c r="H14" s="197">
        <f t="shared" si="5"/>
        <v>0</v>
      </c>
      <c r="I14" s="197">
        <f t="shared" si="5"/>
        <v>0</v>
      </c>
      <c r="J14" s="197">
        <f t="shared" si="5"/>
        <v>0</v>
      </c>
      <c r="K14" s="197">
        <f t="shared" si="5"/>
        <v>0</v>
      </c>
      <c r="L14" s="197">
        <f t="shared" si="5"/>
        <v>0</v>
      </c>
      <c r="M14" s="197">
        <f t="shared" si="5"/>
        <v>361.81</v>
      </c>
      <c r="N14" s="192">
        <f t="shared" si="1"/>
        <v>149078.21000000002</v>
      </c>
      <c r="O14" s="181"/>
      <c r="P14" s="188" t="str">
        <f>IF(N14-C13=0,"-",N14-C13)</f>
        <v>-</v>
      </c>
    </row>
    <row r="15" spans="1:16" ht="12" customHeight="1">
      <c r="A15" s="185" t="str">
        <f>'3 - PLAN. ORÇAMENTÁRIA'!A20</f>
        <v>2.1.1</v>
      </c>
      <c r="B15" s="185" t="str">
        <f>'3 - PLAN. ORÇAMENTÁRIA'!B20</f>
        <v>CONSTRUÇÕES PROVISÓRIAS</v>
      </c>
      <c r="C15" s="186">
        <f>'3 - PLAN. ORÇAMENTÁRIA'!J20</f>
        <v>75642.890000000014</v>
      </c>
      <c r="D15" s="135">
        <f t="shared" ref="D15:M15" si="6">IF((D16/$C15)=0," ",D16/$C15)</f>
        <v>1</v>
      </c>
      <c r="E15" s="135" t="str">
        <f t="shared" si="6"/>
        <v xml:space="preserve"> </v>
      </c>
      <c r="F15" s="135" t="str">
        <f t="shared" si="6"/>
        <v xml:space="preserve"> </v>
      </c>
      <c r="G15" s="135" t="str">
        <f t="shared" si="6"/>
        <v xml:space="preserve"> </v>
      </c>
      <c r="H15" s="135" t="str">
        <f t="shared" si="6"/>
        <v xml:space="preserve"> </v>
      </c>
      <c r="I15" s="135" t="str">
        <f t="shared" si="6"/>
        <v xml:space="preserve"> </v>
      </c>
      <c r="J15" s="135" t="str">
        <f t="shared" si="6"/>
        <v xml:space="preserve"> </v>
      </c>
      <c r="K15" s="135" t="str">
        <f t="shared" si="6"/>
        <v xml:space="preserve"> </v>
      </c>
      <c r="L15" s="135" t="str">
        <f t="shared" si="6"/>
        <v xml:space="preserve"> </v>
      </c>
      <c r="M15" s="135" t="str">
        <f t="shared" si="6"/>
        <v xml:space="preserve"> </v>
      </c>
      <c r="N15" s="187">
        <f t="shared" si="1"/>
        <v>1</v>
      </c>
      <c r="O15" s="181"/>
      <c r="P15" s="188" t="s">
        <v>886</v>
      </c>
    </row>
    <row r="16" spans="1:16" ht="12.95" customHeight="1">
      <c r="A16" s="189"/>
      <c r="B16" s="189"/>
      <c r="C16" s="190"/>
      <c r="D16" s="191">
        <f>'3 - PLAN. ORÇAMENTÁRIA'!J20</f>
        <v>75642.890000000014</v>
      </c>
      <c r="E16" s="191"/>
      <c r="F16" s="191"/>
      <c r="G16" s="191"/>
      <c r="H16" s="191"/>
      <c r="I16" s="191"/>
      <c r="J16" s="191"/>
      <c r="K16" s="191"/>
      <c r="L16" s="191"/>
      <c r="M16" s="191"/>
      <c r="N16" s="192">
        <f t="shared" si="1"/>
        <v>75642.890000000014</v>
      </c>
      <c r="O16" s="181"/>
      <c r="P16" s="188" t="str">
        <f>IF(N16-C15=0,"-",N16-C15)</f>
        <v>-</v>
      </c>
    </row>
    <row r="17" spans="1:16" ht="12" customHeight="1">
      <c r="A17" s="185" t="str">
        <f>'3 - PLAN. ORÇAMENTÁRIA'!A26</f>
        <v>2.1.2</v>
      </c>
      <c r="B17" s="185" t="str">
        <f>'3 - PLAN. ORÇAMENTÁRIA'!B26</f>
        <v>LIGAÇÕES PROVISÓRIAS</v>
      </c>
      <c r="C17" s="186">
        <f>'3 - PLAN. ORÇAMENTÁRIA'!J26</f>
        <v>5213.34</v>
      </c>
      <c r="D17" s="135">
        <f t="shared" ref="D17:M17" si="7">IF((D18/$C17)=0," ",D18/$C17)</f>
        <v>1</v>
      </c>
      <c r="E17" s="135" t="str">
        <f t="shared" si="7"/>
        <v xml:space="preserve"> </v>
      </c>
      <c r="F17" s="135" t="str">
        <f t="shared" si="7"/>
        <v xml:space="preserve"> </v>
      </c>
      <c r="G17" s="135" t="str">
        <f t="shared" si="7"/>
        <v xml:space="preserve"> </v>
      </c>
      <c r="H17" s="135" t="str">
        <f t="shared" si="7"/>
        <v xml:space="preserve"> </v>
      </c>
      <c r="I17" s="135" t="str">
        <f t="shared" si="7"/>
        <v xml:space="preserve"> </v>
      </c>
      <c r="J17" s="135" t="str">
        <f t="shared" si="7"/>
        <v xml:space="preserve"> </v>
      </c>
      <c r="K17" s="135" t="str">
        <f t="shared" si="7"/>
        <v xml:space="preserve"> </v>
      </c>
      <c r="L17" s="135" t="str">
        <f t="shared" si="7"/>
        <v xml:space="preserve"> </v>
      </c>
      <c r="M17" s="135" t="str">
        <f t="shared" si="7"/>
        <v xml:space="preserve"> </v>
      </c>
      <c r="N17" s="187">
        <f t="shared" si="1"/>
        <v>1</v>
      </c>
      <c r="O17" s="181"/>
      <c r="P17" s="188" t="s">
        <v>886</v>
      </c>
    </row>
    <row r="18" spans="1:16" ht="12.95" customHeight="1">
      <c r="A18" s="189"/>
      <c r="B18" s="189"/>
      <c r="C18" s="190"/>
      <c r="D18" s="191">
        <f>'3 - PLAN. ORÇAMENTÁRIA'!J26</f>
        <v>5213.34</v>
      </c>
      <c r="E18" s="191"/>
      <c r="F18" s="191"/>
      <c r="G18" s="191"/>
      <c r="H18" s="191"/>
      <c r="I18" s="191"/>
      <c r="J18" s="191"/>
      <c r="K18" s="191"/>
      <c r="L18" s="191"/>
      <c r="M18" s="191"/>
      <c r="N18" s="192">
        <f t="shared" si="1"/>
        <v>5213.34</v>
      </c>
      <c r="O18" s="181"/>
      <c r="P18" s="188" t="str">
        <f>IF(N18-C17=0,"-",N18-C17)</f>
        <v>-</v>
      </c>
    </row>
    <row r="19" spans="1:16" ht="12" customHeight="1">
      <c r="A19" s="185" t="str">
        <f>'3 - PLAN. ORÇAMENTÁRIA'!A31</f>
        <v>2.1.3</v>
      </c>
      <c r="B19" s="185" t="str">
        <f>'3 - PLAN. ORÇAMENTÁRIA'!B31</f>
        <v>PROTEÇÃO E SINALIZAÇÃO</v>
      </c>
      <c r="C19" s="186">
        <f>'3 - PLAN. ORÇAMENTÁRIA'!J31</f>
        <v>68221.98</v>
      </c>
      <c r="D19" s="135">
        <f t="shared" ref="D19:M19" si="8">IF((D20/$C19)=0," ",D20/$C19)</f>
        <v>9.9624197362785438E-2</v>
      </c>
      <c r="E19" s="135">
        <f t="shared" si="8"/>
        <v>0.89507237989867783</v>
      </c>
      <c r="F19" s="135" t="str">
        <f t="shared" si="8"/>
        <v xml:space="preserve"> </v>
      </c>
      <c r="G19" s="135" t="str">
        <f t="shared" si="8"/>
        <v xml:space="preserve"> </v>
      </c>
      <c r="H19" s="135" t="str">
        <f t="shared" si="8"/>
        <v xml:space="preserve"> </v>
      </c>
      <c r="I19" s="135" t="str">
        <f t="shared" si="8"/>
        <v xml:space="preserve"> </v>
      </c>
      <c r="J19" s="135" t="str">
        <f t="shared" si="8"/>
        <v xml:space="preserve"> </v>
      </c>
      <c r="K19" s="135" t="str">
        <f t="shared" si="8"/>
        <v xml:space="preserve"> </v>
      </c>
      <c r="L19" s="135" t="str">
        <f t="shared" si="8"/>
        <v xml:space="preserve"> </v>
      </c>
      <c r="M19" s="135">
        <f t="shared" si="8"/>
        <v>5.303422738536759E-3</v>
      </c>
      <c r="N19" s="187">
        <f t="shared" si="1"/>
        <v>1</v>
      </c>
      <c r="O19" s="181"/>
      <c r="P19" s="188" t="s">
        <v>886</v>
      </c>
    </row>
    <row r="20" spans="1:16" ht="12.95" customHeight="1">
      <c r="A20" s="189"/>
      <c r="B20" s="189"/>
      <c r="C20" s="190"/>
      <c r="D20" s="191">
        <f>'3 - PLAN. ORÇAMENTÁRIA'!J33</f>
        <v>6796.56</v>
      </c>
      <c r="E20" s="191">
        <f>'3 - PLAN. ORÇAMENTÁRIA'!J32</f>
        <v>61063.61</v>
      </c>
      <c r="F20" s="191"/>
      <c r="G20" s="191"/>
      <c r="H20" s="191"/>
      <c r="I20" s="191"/>
      <c r="J20" s="191"/>
      <c r="K20" s="191"/>
      <c r="L20" s="191"/>
      <c r="M20" s="191">
        <f>'3 - PLAN. ORÇAMENTÁRIA'!J34</f>
        <v>361.81</v>
      </c>
      <c r="N20" s="192">
        <f t="shared" si="1"/>
        <v>68221.98</v>
      </c>
      <c r="O20" s="181"/>
      <c r="P20" s="188" t="str">
        <f>IF(N20-C19=0,"-",N20-C19)</f>
        <v>-</v>
      </c>
    </row>
    <row r="21" spans="1:16" ht="12" customHeight="1">
      <c r="A21" s="193" t="str">
        <f>'3 - PLAN. ORÇAMENTÁRIA'!A35</f>
        <v>2.2</v>
      </c>
      <c r="B21" s="193" t="str">
        <f>'3 - PLAN. ORÇAMENTÁRIA'!B35</f>
        <v>DEMOLIÇÃO E DESCARTES DA OBRA</v>
      </c>
      <c r="C21" s="194">
        <f>'3 - PLAN. ORÇAMENTÁRIA'!J35</f>
        <v>9701.6999999999989</v>
      </c>
      <c r="D21" s="195">
        <f t="shared" ref="D21:M21" si="9">IF((D22/$C21)=0," ",D22/$C21)</f>
        <v>0.10280952822701178</v>
      </c>
      <c r="E21" s="195">
        <f t="shared" si="9"/>
        <v>0.11015306595751259</v>
      </c>
      <c r="F21" s="195">
        <f t="shared" si="9"/>
        <v>0.11015306595751259</v>
      </c>
      <c r="G21" s="195">
        <f t="shared" si="9"/>
        <v>5.8748301844006728E-2</v>
      </c>
      <c r="H21" s="195">
        <f t="shared" si="9"/>
        <v>4.4061226383005039E-2</v>
      </c>
      <c r="I21" s="195">
        <f t="shared" si="9"/>
        <v>3.6717688652504202E-2</v>
      </c>
      <c r="J21" s="195">
        <f t="shared" si="9"/>
        <v>2.203061319150252E-2</v>
      </c>
      <c r="K21" s="195">
        <f t="shared" si="9"/>
        <v>0.33173806652442356</v>
      </c>
      <c r="L21" s="195">
        <f t="shared" si="9"/>
        <v>0.11015306595751259</v>
      </c>
      <c r="M21" s="195">
        <f t="shared" si="9"/>
        <v>7.3435377305008404E-2</v>
      </c>
      <c r="N21" s="196">
        <f t="shared" si="1"/>
        <v>1</v>
      </c>
      <c r="O21" s="181"/>
      <c r="P21" s="188" t="s">
        <v>886</v>
      </c>
    </row>
    <row r="22" spans="1:16" ht="12.95" customHeight="1">
      <c r="A22" s="189"/>
      <c r="B22" s="189"/>
      <c r="C22" s="190"/>
      <c r="D22" s="197">
        <f t="shared" ref="D22:M22" si="10">D24+D26</f>
        <v>997.42720000000008</v>
      </c>
      <c r="E22" s="197">
        <f t="shared" si="10"/>
        <v>1068.6719999999998</v>
      </c>
      <c r="F22" s="197">
        <f t="shared" si="10"/>
        <v>1068.6719999999998</v>
      </c>
      <c r="G22" s="197">
        <f t="shared" si="10"/>
        <v>569.95839999999998</v>
      </c>
      <c r="H22" s="197">
        <f t="shared" si="10"/>
        <v>427.46879999999993</v>
      </c>
      <c r="I22" s="197">
        <f t="shared" si="10"/>
        <v>356.22399999999999</v>
      </c>
      <c r="J22" s="197">
        <f t="shared" si="10"/>
        <v>213.73439999999997</v>
      </c>
      <c r="K22" s="197">
        <f>K24+K26</f>
        <v>3218.4231999999997</v>
      </c>
      <c r="L22" s="197">
        <f t="shared" si="10"/>
        <v>1068.6719999999998</v>
      </c>
      <c r="M22" s="197">
        <f t="shared" si="10"/>
        <v>712.44799999999998</v>
      </c>
      <c r="N22" s="192">
        <f t="shared" si="1"/>
        <v>9701.7000000000007</v>
      </c>
      <c r="O22" s="181"/>
      <c r="P22" s="188">
        <f>IF(N22-C21=0,"-",N22-C21)</f>
        <v>1.8189894035458565E-12</v>
      </c>
    </row>
    <row r="23" spans="1:16" ht="12" customHeight="1">
      <c r="A23" s="185" t="str">
        <f>'3 - PLAN. ORÇAMENTÁRIA'!A36</f>
        <v>2.2.1</v>
      </c>
      <c r="B23" s="185" t="str">
        <f>'3 - PLAN. ORÇAMENTÁRIA'!B36</f>
        <v>CANTEIRO DE OBRAS</v>
      </c>
      <c r="C23" s="186">
        <f>'3 - PLAN. ORÇAMENTÁRIA'!J36</f>
        <v>2577.2199999999998</v>
      </c>
      <c r="D23" s="135" t="str">
        <f t="shared" ref="D23:M23" si="11">IF((D24/$C23)=0," ",D24/$C23)</f>
        <v xml:space="preserve"> </v>
      </c>
      <c r="E23" s="135" t="str">
        <f t="shared" si="11"/>
        <v xml:space="preserve"> </v>
      </c>
      <c r="F23" s="135" t="str">
        <f t="shared" si="11"/>
        <v xml:space="preserve"> </v>
      </c>
      <c r="G23" s="135" t="str">
        <f t="shared" si="11"/>
        <v xml:space="preserve"> </v>
      </c>
      <c r="H23" s="135" t="str">
        <f t="shared" si="11"/>
        <v xml:space="preserve"> </v>
      </c>
      <c r="I23" s="135" t="str">
        <f t="shared" si="11"/>
        <v xml:space="preserve"> </v>
      </c>
      <c r="J23" s="135" t="str">
        <f t="shared" si="11"/>
        <v xml:space="preserve"> </v>
      </c>
      <c r="K23" s="135">
        <f>IF((K24/$C23)=0," ",K24/$C23)</f>
        <v>1</v>
      </c>
      <c r="L23" s="135" t="str">
        <f t="shared" si="11"/>
        <v xml:space="preserve"> </v>
      </c>
      <c r="M23" s="135" t="str">
        <f t="shared" si="11"/>
        <v xml:space="preserve"> </v>
      </c>
      <c r="N23" s="187">
        <f t="shared" si="1"/>
        <v>1</v>
      </c>
      <c r="O23" s="181"/>
      <c r="P23" s="188" t="s">
        <v>886</v>
      </c>
    </row>
    <row r="24" spans="1:16" ht="12.95" customHeight="1">
      <c r="A24" s="189"/>
      <c r="B24" s="189"/>
      <c r="C24" s="190"/>
      <c r="D24" s="191"/>
      <c r="E24" s="191"/>
      <c r="F24" s="191"/>
      <c r="G24" s="191"/>
      <c r="H24" s="191"/>
      <c r="I24" s="191"/>
      <c r="J24" s="191"/>
      <c r="K24" s="191">
        <f>'3 - PLAN. ORÇAMENTÁRIA'!J36</f>
        <v>2577.2199999999998</v>
      </c>
      <c r="L24" s="191"/>
      <c r="M24" s="191"/>
      <c r="N24" s="192">
        <f t="shared" si="1"/>
        <v>2577.2199999999998</v>
      </c>
      <c r="O24" s="181"/>
      <c r="P24" s="188" t="str">
        <f>IF(N24-C23=0,"-",N24-C23)</f>
        <v>-</v>
      </c>
    </row>
    <row r="25" spans="1:16" ht="12" customHeight="1">
      <c r="A25" s="185" t="str">
        <f>'3 - PLAN. ORÇAMENTÁRIA'!A39</f>
        <v>2.2.2</v>
      </c>
      <c r="B25" s="185" t="str">
        <f>'3 - PLAN. ORÇAMENTÁRIA'!B39</f>
        <v>CARGA, TRANSPORTE E DESCARGA DE MATERIAL DE DEMOLIÇÃO</v>
      </c>
      <c r="C25" s="186">
        <f>'3 - PLAN. ORÇAMENTÁRIA'!J39</f>
        <v>7124.48</v>
      </c>
      <c r="D25" s="135">
        <f t="shared" ref="D25:M25" si="12">IF((D26/$C25)=0," ",D26/$C25)</f>
        <v>0.14000000000000001</v>
      </c>
      <c r="E25" s="135">
        <f t="shared" si="12"/>
        <v>0.15</v>
      </c>
      <c r="F25" s="135">
        <f t="shared" si="12"/>
        <v>0.15</v>
      </c>
      <c r="G25" s="135">
        <f t="shared" si="12"/>
        <v>0.08</v>
      </c>
      <c r="H25" s="135">
        <f t="shared" si="12"/>
        <v>5.9999999999999991E-2</v>
      </c>
      <c r="I25" s="135">
        <f t="shared" si="12"/>
        <v>0.05</v>
      </c>
      <c r="J25" s="135">
        <f t="shared" si="12"/>
        <v>2.9999999999999995E-2</v>
      </c>
      <c r="K25" s="135">
        <f t="shared" si="12"/>
        <v>0.09</v>
      </c>
      <c r="L25" s="135">
        <f t="shared" si="12"/>
        <v>0.15</v>
      </c>
      <c r="M25" s="135">
        <f t="shared" si="12"/>
        <v>0.1</v>
      </c>
      <c r="N25" s="187">
        <f t="shared" si="1"/>
        <v>1</v>
      </c>
      <c r="O25" s="181"/>
      <c r="P25" s="188" t="s">
        <v>886</v>
      </c>
    </row>
    <row r="26" spans="1:16" ht="12.95" customHeight="1">
      <c r="A26" s="189"/>
      <c r="B26" s="189"/>
      <c r="C26" s="190"/>
      <c r="D26" s="191">
        <f>'3 - PLAN. ORÇAMENTÁRIA'!J39*0.14</f>
        <v>997.42720000000008</v>
      </c>
      <c r="E26" s="191">
        <f>'3 - PLAN. ORÇAMENTÁRIA'!J39*0.15</f>
        <v>1068.6719999999998</v>
      </c>
      <c r="F26" s="191">
        <f>'3 - PLAN. ORÇAMENTÁRIA'!J39*0.15</f>
        <v>1068.6719999999998</v>
      </c>
      <c r="G26" s="191">
        <f>'3 - PLAN. ORÇAMENTÁRIA'!J39*0.08</f>
        <v>569.95839999999998</v>
      </c>
      <c r="H26" s="191">
        <f>'3 - PLAN. ORÇAMENTÁRIA'!J39*0.06</f>
        <v>427.46879999999993</v>
      </c>
      <c r="I26" s="191">
        <f>'3 - PLAN. ORÇAMENTÁRIA'!J39*0.05</f>
        <v>356.22399999999999</v>
      </c>
      <c r="J26" s="191">
        <f>'3 - PLAN. ORÇAMENTÁRIA'!J39*0.03</f>
        <v>213.73439999999997</v>
      </c>
      <c r="K26" s="191">
        <f>'3 - PLAN. ORÇAMENTÁRIA'!J39*0.09</f>
        <v>641.20319999999992</v>
      </c>
      <c r="L26" s="191">
        <f>'3 - PLAN. ORÇAMENTÁRIA'!J39*0.15</f>
        <v>1068.6719999999998</v>
      </c>
      <c r="M26" s="191">
        <f>'3 - PLAN. ORÇAMENTÁRIA'!J39*0.1</f>
        <v>712.44799999999998</v>
      </c>
      <c r="N26" s="192">
        <f t="shared" si="1"/>
        <v>7124.48</v>
      </c>
      <c r="O26" s="181"/>
      <c r="P26" s="188" t="str">
        <f>IF(N26-C25=0,"-",N26-C25)</f>
        <v>-</v>
      </c>
    </row>
    <row r="27" spans="1:16" ht="12" customHeight="1">
      <c r="A27" s="193" t="str">
        <f>'3 - PLAN. ORÇAMENTÁRIA'!A41</f>
        <v>2.3</v>
      </c>
      <c r="B27" s="193" t="str">
        <f>'3 - PLAN. ORÇAMENTÁRIA'!B41</f>
        <v>LOCAÇÃO DE OBRA</v>
      </c>
      <c r="C27" s="194">
        <f>'3 - PLAN. ORÇAMENTÁRIA'!J41</f>
        <v>19258.03</v>
      </c>
      <c r="D27" s="195" t="str">
        <f t="shared" ref="D27:M27" si="13">IF((D28/$C27)=0," ",D28/$C27)</f>
        <v xml:space="preserve"> </v>
      </c>
      <c r="E27" s="195">
        <f t="shared" si="13"/>
        <v>1</v>
      </c>
      <c r="F27" s="195" t="str">
        <f t="shared" si="13"/>
        <v xml:space="preserve"> </v>
      </c>
      <c r="G27" s="195" t="str">
        <f t="shared" si="13"/>
        <v xml:space="preserve"> </v>
      </c>
      <c r="H27" s="195" t="str">
        <f t="shared" si="13"/>
        <v xml:space="preserve"> </v>
      </c>
      <c r="I27" s="195" t="str">
        <f t="shared" si="13"/>
        <v xml:space="preserve"> </v>
      </c>
      <c r="J27" s="195" t="str">
        <f t="shared" si="13"/>
        <v xml:space="preserve"> </v>
      </c>
      <c r="K27" s="195" t="str">
        <f t="shared" si="13"/>
        <v xml:space="preserve"> </v>
      </c>
      <c r="L27" s="195" t="str">
        <f t="shared" si="13"/>
        <v xml:space="preserve"> </v>
      </c>
      <c r="M27" s="195" t="str">
        <f t="shared" si="13"/>
        <v xml:space="preserve"> </v>
      </c>
      <c r="N27" s="196">
        <f t="shared" si="1"/>
        <v>1</v>
      </c>
      <c r="O27" s="181"/>
      <c r="P27" s="188" t="s">
        <v>886</v>
      </c>
    </row>
    <row r="28" spans="1:16" ht="12.95" customHeight="1">
      <c r="A28" s="189"/>
      <c r="B28" s="189"/>
      <c r="C28" s="190"/>
      <c r="D28" s="197">
        <f t="shared" ref="D28:M28" si="14">D30+D32</f>
        <v>0</v>
      </c>
      <c r="E28" s="197">
        <f t="shared" si="14"/>
        <v>19258.03</v>
      </c>
      <c r="F28" s="197">
        <f t="shared" si="14"/>
        <v>0</v>
      </c>
      <c r="G28" s="197">
        <f t="shared" si="14"/>
        <v>0</v>
      </c>
      <c r="H28" s="197">
        <f t="shared" si="14"/>
        <v>0</v>
      </c>
      <c r="I28" s="197">
        <f t="shared" si="14"/>
        <v>0</v>
      </c>
      <c r="J28" s="197">
        <f t="shared" si="14"/>
        <v>0</v>
      </c>
      <c r="K28" s="197">
        <f t="shared" si="14"/>
        <v>0</v>
      </c>
      <c r="L28" s="197">
        <f t="shared" si="14"/>
        <v>0</v>
      </c>
      <c r="M28" s="197">
        <f t="shared" si="14"/>
        <v>0</v>
      </c>
      <c r="N28" s="192">
        <f t="shared" si="1"/>
        <v>19258.03</v>
      </c>
      <c r="O28" s="181"/>
      <c r="P28" s="188" t="str">
        <f>IF(N28-C27=0,"-",N28-C27)</f>
        <v>-</v>
      </c>
    </row>
    <row r="29" spans="1:16" ht="12" customHeight="1">
      <c r="A29" s="185" t="str">
        <f>'3 - PLAN. ORÇAMENTÁRIA'!A42</f>
        <v>2.3.1</v>
      </c>
      <c r="B29" s="185" t="str">
        <f>'3 - PLAN. ORÇAMENTÁRIA'!B42</f>
        <v>EDIFICAÇÕES</v>
      </c>
      <c r="C29" s="186">
        <f>'3 - PLAN. ORÇAMENTÁRIA'!J42</f>
        <v>18934.3</v>
      </c>
      <c r="D29" s="135" t="str">
        <f t="shared" ref="D29:M29" si="15">IF((D30/$C29)=0," ",D30/$C29)</f>
        <v xml:space="preserve"> </v>
      </c>
      <c r="E29" s="135">
        <f t="shared" si="15"/>
        <v>1</v>
      </c>
      <c r="F29" s="135" t="str">
        <f t="shared" si="15"/>
        <v xml:space="preserve"> </v>
      </c>
      <c r="G29" s="135" t="str">
        <f t="shared" si="15"/>
        <v xml:space="preserve"> </v>
      </c>
      <c r="H29" s="135" t="str">
        <f t="shared" si="15"/>
        <v xml:space="preserve"> </v>
      </c>
      <c r="I29" s="135" t="str">
        <f t="shared" si="15"/>
        <v xml:space="preserve"> </v>
      </c>
      <c r="J29" s="135" t="str">
        <f t="shared" si="15"/>
        <v xml:space="preserve"> </v>
      </c>
      <c r="K29" s="135" t="str">
        <f t="shared" si="15"/>
        <v xml:space="preserve"> </v>
      </c>
      <c r="L29" s="135" t="str">
        <f t="shared" si="15"/>
        <v xml:space="preserve"> </v>
      </c>
      <c r="M29" s="135" t="str">
        <f t="shared" si="15"/>
        <v xml:space="preserve"> </v>
      </c>
      <c r="N29" s="187">
        <f t="shared" si="1"/>
        <v>1</v>
      </c>
      <c r="O29" s="181"/>
      <c r="P29" s="188" t="s">
        <v>886</v>
      </c>
    </row>
    <row r="30" spans="1:16" ht="12.95" customHeight="1">
      <c r="A30" s="189"/>
      <c r="B30" s="189"/>
      <c r="C30" s="190"/>
      <c r="D30" s="191"/>
      <c r="E30" s="191">
        <f>'3 - PLAN. ORÇAMENTÁRIA'!J42</f>
        <v>18934.3</v>
      </c>
      <c r="F30" s="191"/>
      <c r="G30" s="191"/>
      <c r="H30" s="191"/>
      <c r="I30" s="191"/>
      <c r="J30" s="191"/>
      <c r="K30" s="191"/>
      <c r="L30" s="191"/>
      <c r="M30" s="191"/>
      <c r="N30" s="192">
        <f t="shared" si="1"/>
        <v>18934.3</v>
      </c>
      <c r="O30" s="181"/>
      <c r="P30" s="188" t="str">
        <f>IF(N30-C29=0,"-",N30-C29)</f>
        <v>-</v>
      </c>
    </row>
    <row r="31" spans="1:16" ht="12" customHeight="1">
      <c r="A31" s="185" t="str">
        <f>'3 - PLAN. ORÇAMENTÁRIA'!A45</f>
        <v>2.3.2</v>
      </c>
      <c r="B31" s="185" t="str">
        <f>'3 - PLAN. ORÇAMENTÁRIA'!B45</f>
        <v>IMPLANTAÇÃO</v>
      </c>
      <c r="C31" s="186">
        <f>'3 - PLAN. ORÇAMENTÁRIA'!J45</f>
        <v>323.73</v>
      </c>
      <c r="D31" s="135" t="str">
        <f t="shared" ref="D31:M31" si="16">IF((D32/$C31)=0," ",D32/$C31)</f>
        <v xml:space="preserve"> </v>
      </c>
      <c r="E31" s="135">
        <f t="shared" si="16"/>
        <v>1</v>
      </c>
      <c r="F31" s="135" t="str">
        <f t="shared" si="16"/>
        <v xml:space="preserve"> </v>
      </c>
      <c r="G31" s="135" t="str">
        <f t="shared" si="16"/>
        <v xml:space="preserve"> </v>
      </c>
      <c r="H31" s="135" t="str">
        <f t="shared" si="16"/>
        <v xml:space="preserve"> </v>
      </c>
      <c r="I31" s="135" t="str">
        <f t="shared" si="16"/>
        <v xml:space="preserve"> </v>
      </c>
      <c r="J31" s="135" t="str">
        <f t="shared" si="16"/>
        <v xml:space="preserve"> </v>
      </c>
      <c r="K31" s="135" t="str">
        <f t="shared" si="16"/>
        <v xml:space="preserve"> </v>
      </c>
      <c r="L31" s="135" t="str">
        <f t="shared" si="16"/>
        <v xml:space="preserve"> </v>
      </c>
      <c r="M31" s="135" t="str">
        <f t="shared" si="16"/>
        <v xml:space="preserve"> </v>
      </c>
      <c r="N31" s="187">
        <f t="shared" si="1"/>
        <v>1</v>
      </c>
      <c r="O31" s="181"/>
      <c r="P31" s="188" t="s">
        <v>886</v>
      </c>
    </row>
    <row r="32" spans="1:16" ht="12.95" customHeight="1">
      <c r="A32" s="189"/>
      <c r="B32" s="189"/>
      <c r="C32" s="190"/>
      <c r="D32" s="191"/>
      <c r="E32" s="191">
        <f>'3 - PLAN. ORÇAMENTÁRIA'!J45</f>
        <v>323.73</v>
      </c>
      <c r="F32" s="191"/>
      <c r="G32" s="191"/>
      <c r="H32" s="191"/>
      <c r="I32" s="191"/>
      <c r="J32" s="191"/>
      <c r="K32" s="191"/>
      <c r="L32" s="191"/>
      <c r="M32" s="191"/>
      <c r="N32" s="192">
        <f t="shared" si="1"/>
        <v>323.73</v>
      </c>
      <c r="O32" s="181"/>
      <c r="P32" s="188" t="str">
        <f>IF(N32-C31=0,"-",N32-C31)</f>
        <v>-</v>
      </c>
    </row>
    <row r="33" spans="1:16" ht="12" customHeight="1">
      <c r="A33" s="193" t="str">
        <f>'3 - PLAN. ORÇAMENTÁRIA'!A47</f>
        <v>2.4</v>
      </c>
      <c r="B33" s="193" t="str">
        <f>'3 - PLAN. ORÇAMENTÁRIA'!B47</f>
        <v>TERRAPLANAGEM</v>
      </c>
      <c r="C33" s="194">
        <f>'3 - PLAN. ORÇAMENTÁRIA'!J47</f>
        <v>420024.5</v>
      </c>
      <c r="D33" s="195">
        <f t="shared" ref="D33:M33" si="17">IF((D34/$C33)=0," ",D34/$C33)</f>
        <v>0.93543436156700377</v>
      </c>
      <c r="E33" s="195">
        <f t="shared" si="17"/>
        <v>6.4565638432996175E-2</v>
      </c>
      <c r="F33" s="195" t="str">
        <f t="shared" si="17"/>
        <v xml:space="preserve"> </v>
      </c>
      <c r="G33" s="195" t="str">
        <f t="shared" si="17"/>
        <v xml:space="preserve"> </v>
      </c>
      <c r="H33" s="195" t="str">
        <f t="shared" si="17"/>
        <v xml:space="preserve"> </v>
      </c>
      <c r="I33" s="195" t="str">
        <f t="shared" si="17"/>
        <v xml:space="preserve"> </v>
      </c>
      <c r="J33" s="195" t="str">
        <f t="shared" si="17"/>
        <v xml:space="preserve"> </v>
      </c>
      <c r="K33" s="195" t="str">
        <f t="shared" si="17"/>
        <v xml:space="preserve"> </v>
      </c>
      <c r="L33" s="195" t="str">
        <f t="shared" si="17"/>
        <v xml:space="preserve"> </v>
      </c>
      <c r="M33" s="195" t="str">
        <f t="shared" si="17"/>
        <v xml:space="preserve"> </v>
      </c>
      <c r="N33" s="196">
        <f t="shared" si="1"/>
        <v>1</v>
      </c>
      <c r="O33" s="181"/>
      <c r="P33" s="188" t="s">
        <v>886</v>
      </c>
    </row>
    <row r="34" spans="1:16" ht="12.95" customHeight="1">
      <c r="A34" s="189"/>
      <c r="B34" s="189"/>
      <c r="C34" s="190"/>
      <c r="D34" s="197">
        <f t="shared" ref="D34:M34" si="18">D36+D38</f>
        <v>392905.35</v>
      </c>
      <c r="E34" s="197">
        <f t="shared" si="18"/>
        <v>27119.15</v>
      </c>
      <c r="F34" s="197">
        <f t="shared" si="18"/>
        <v>0</v>
      </c>
      <c r="G34" s="197">
        <f t="shared" si="18"/>
        <v>0</v>
      </c>
      <c r="H34" s="197">
        <f t="shared" si="18"/>
        <v>0</v>
      </c>
      <c r="I34" s="197">
        <f t="shared" si="18"/>
        <v>0</v>
      </c>
      <c r="J34" s="197">
        <f t="shared" si="18"/>
        <v>0</v>
      </c>
      <c r="K34" s="197">
        <f t="shared" si="18"/>
        <v>0</v>
      </c>
      <c r="L34" s="197">
        <f t="shared" si="18"/>
        <v>0</v>
      </c>
      <c r="M34" s="197">
        <f t="shared" si="18"/>
        <v>0</v>
      </c>
      <c r="N34" s="192">
        <f t="shared" si="1"/>
        <v>420024.5</v>
      </c>
      <c r="O34" s="181"/>
      <c r="P34" s="188" t="str">
        <f>IF(N34-C33=0,"-",N34-C33)</f>
        <v>-</v>
      </c>
    </row>
    <row r="35" spans="1:16" ht="12" customHeight="1">
      <c r="A35" s="185" t="str">
        <f>'3 - PLAN. ORÇAMENTÁRIA'!A48</f>
        <v>2.4.1</v>
      </c>
      <c r="B35" s="185" t="str">
        <f>'3 - PLAN. ORÇAMENTÁRIA'!B48</f>
        <v>LIMPEZA E PREPARO DAS ÁREAS</v>
      </c>
      <c r="C35" s="186">
        <f>'3 - PLAN. ORÇAMENTÁRIA'!J48</f>
        <v>85254.39</v>
      </c>
      <c r="D35" s="135">
        <f t="shared" ref="D35:M35" si="19">IF((D36/$C35)=0," ",D36/$C35)</f>
        <v>1</v>
      </c>
      <c r="E35" s="135" t="str">
        <f t="shared" si="19"/>
        <v xml:space="preserve"> </v>
      </c>
      <c r="F35" s="135" t="str">
        <f t="shared" si="19"/>
        <v xml:space="preserve"> </v>
      </c>
      <c r="G35" s="135" t="str">
        <f t="shared" si="19"/>
        <v xml:space="preserve"> </v>
      </c>
      <c r="H35" s="135" t="str">
        <f t="shared" si="19"/>
        <v xml:space="preserve"> </v>
      </c>
      <c r="I35" s="135" t="str">
        <f t="shared" si="19"/>
        <v xml:space="preserve"> </v>
      </c>
      <c r="J35" s="135" t="str">
        <f t="shared" si="19"/>
        <v xml:space="preserve"> </v>
      </c>
      <c r="K35" s="135" t="str">
        <f t="shared" si="19"/>
        <v xml:space="preserve"> </v>
      </c>
      <c r="L35" s="135" t="str">
        <f t="shared" si="19"/>
        <v xml:space="preserve"> </v>
      </c>
      <c r="M35" s="135" t="str">
        <f t="shared" si="19"/>
        <v xml:space="preserve"> </v>
      </c>
      <c r="N35" s="187">
        <f t="shared" si="1"/>
        <v>1</v>
      </c>
      <c r="O35" s="181"/>
      <c r="P35" s="188" t="s">
        <v>886</v>
      </c>
    </row>
    <row r="36" spans="1:16" ht="12.95" customHeight="1">
      <c r="A36" s="189"/>
      <c r="B36" s="189"/>
      <c r="C36" s="190"/>
      <c r="D36" s="191">
        <f>'3 - PLAN. ORÇAMENTÁRIA'!J48</f>
        <v>85254.39</v>
      </c>
      <c r="E36" s="191"/>
      <c r="F36" s="191"/>
      <c r="G36" s="191"/>
      <c r="H36" s="191"/>
      <c r="I36" s="191"/>
      <c r="J36" s="191"/>
      <c r="K36" s="191"/>
      <c r="L36" s="191"/>
      <c r="M36" s="191"/>
      <c r="N36" s="192">
        <f t="shared" si="1"/>
        <v>85254.39</v>
      </c>
      <c r="O36" s="181"/>
      <c r="P36" s="188" t="str">
        <f>IF(N36-C35=0,"-",N36-C35)</f>
        <v>-</v>
      </c>
    </row>
    <row r="37" spans="1:16" ht="12" customHeight="1">
      <c r="A37" s="185" t="str">
        <f>'3 - PLAN. ORÇAMENTÁRIA'!A53</f>
        <v>2.4.2</v>
      </c>
      <c r="B37" s="185" t="str">
        <f>'3 - PLAN. ORÇAMENTÁRIA'!B53</f>
        <v>CORTE E ATERRO</v>
      </c>
      <c r="C37" s="186">
        <f>'3 - PLAN. ORÇAMENTÁRIA'!J53</f>
        <v>334770.11</v>
      </c>
      <c r="D37" s="135">
        <f t="shared" ref="D37:M37" si="20">IF((D38/$C37)=0," ",D38/$C37)</f>
        <v>0.91899172240914806</v>
      </c>
      <c r="E37" s="135">
        <f t="shared" si="20"/>
        <v>8.1008277590851829E-2</v>
      </c>
      <c r="F37" s="135" t="str">
        <f t="shared" si="20"/>
        <v xml:space="preserve"> </v>
      </c>
      <c r="G37" s="135" t="str">
        <f t="shared" si="20"/>
        <v xml:space="preserve"> </v>
      </c>
      <c r="H37" s="135" t="str">
        <f t="shared" si="20"/>
        <v xml:space="preserve"> </v>
      </c>
      <c r="I37" s="135" t="str">
        <f t="shared" si="20"/>
        <v xml:space="preserve"> </v>
      </c>
      <c r="J37" s="135" t="str">
        <f t="shared" si="20"/>
        <v xml:space="preserve"> </v>
      </c>
      <c r="K37" s="135" t="str">
        <f t="shared" si="20"/>
        <v xml:space="preserve"> </v>
      </c>
      <c r="L37" s="135" t="str">
        <f t="shared" si="20"/>
        <v xml:space="preserve"> </v>
      </c>
      <c r="M37" s="135" t="str">
        <f t="shared" si="20"/>
        <v xml:space="preserve"> </v>
      </c>
      <c r="N37" s="187">
        <f t="shared" si="1"/>
        <v>0.99999999999999989</v>
      </c>
      <c r="O37" s="181"/>
      <c r="P37" s="188" t="s">
        <v>886</v>
      </c>
    </row>
    <row r="38" spans="1:16" ht="12.95" customHeight="1">
      <c r="A38" s="189"/>
      <c r="B38" s="189"/>
      <c r="C38" s="190"/>
      <c r="D38" s="191">
        <f>'3 - PLAN. ORÇAMENTÁRIA'!J54+'3 - PLAN. ORÇAMENTÁRIA'!J55</f>
        <v>307650.95999999996</v>
      </c>
      <c r="E38" s="191">
        <f>'3 - PLAN. ORÇAMENTÁRIA'!J56</f>
        <v>27119.15</v>
      </c>
      <c r="F38" s="191"/>
      <c r="G38" s="191"/>
      <c r="H38" s="191"/>
      <c r="I38" s="191"/>
      <c r="J38" s="191"/>
      <c r="K38" s="191"/>
      <c r="L38" s="191"/>
      <c r="M38" s="191"/>
      <c r="N38" s="192">
        <f t="shared" si="1"/>
        <v>334770.11</v>
      </c>
      <c r="O38" s="181"/>
      <c r="P38" s="188" t="str">
        <f>IF(N38-C37=0,"-",N38-C37)</f>
        <v>-</v>
      </c>
    </row>
    <row r="39" spans="1:16" ht="12" customHeight="1">
      <c r="A39" s="193" t="str">
        <f>'3 - PLAN. ORÇAMENTÁRIA'!A57</f>
        <v>03.00.000</v>
      </c>
      <c r="B39" s="193" t="str">
        <f>'3 - PLAN. ORÇAMENTÁRIA'!B57</f>
        <v>FUNDAÇÕES E ESTRUTURAS</v>
      </c>
      <c r="C39" s="194">
        <f>'3 - PLAN. ORÇAMENTÁRIA'!J57</f>
        <v>1293683.67</v>
      </c>
      <c r="D39" s="195">
        <f t="shared" ref="D39:M39" si="21">IF((D40/$C39)=0," ",D40/$C39)</f>
        <v>0.24892854835216399</v>
      </c>
      <c r="E39" s="195">
        <f t="shared" si="21"/>
        <v>0.25139973514545483</v>
      </c>
      <c r="F39" s="195">
        <f t="shared" si="21"/>
        <v>0.2564958897564194</v>
      </c>
      <c r="G39" s="195">
        <f t="shared" si="21"/>
        <v>9.2491132704797918E-2</v>
      </c>
      <c r="H39" s="195">
        <f t="shared" si="21"/>
        <v>0.11900117592115854</v>
      </c>
      <c r="I39" s="195" t="str">
        <f t="shared" si="21"/>
        <v xml:space="preserve"> </v>
      </c>
      <c r="J39" s="195">
        <f t="shared" si="21"/>
        <v>3.1683518120005333E-2</v>
      </c>
      <c r="K39" s="195" t="str">
        <f t="shared" si="21"/>
        <v xml:space="preserve"> </v>
      </c>
      <c r="L39" s="195" t="str">
        <f t="shared" si="21"/>
        <v xml:space="preserve"> </v>
      </c>
      <c r="M39" s="195" t="str">
        <f t="shared" si="21"/>
        <v xml:space="preserve"> </v>
      </c>
      <c r="N39" s="196">
        <f t="shared" ref="N39:N76" si="22">SUM(D39:M39)</f>
        <v>1</v>
      </c>
      <c r="O39" s="181"/>
      <c r="P39" s="188" t="s">
        <v>886</v>
      </c>
    </row>
    <row r="40" spans="1:16" ht="12.95" customHeight="1">
      <c r="A40" s="189"/>
      <c r="B40" s="189"/>
      <c r="C40" s="190"/>
      <c r="D40" s="197">
        <f>D42+D52+D56+D58+D68</f>
        <v>322034.79799999995</v>
      </c>
      <c r="E40" s="197">
        <f t="shared" ref="E40:M40" si="23">E42+E52+E56+E58+E68</f>
        <v>325231.73199999996</v>
      </c>
      <c r="F40" s="197">
        <f t="shared" si="23"/>
        <v>331824.54400000005</v>
      </c>
      <c r="G40" s="197">
        <f t="shared" si="23"/>
        <v>119654.268</v>
      </c>
      <c r="H40" s="197">
        <f t="shared" si="23"/>
        <v>153949.878</v>
      </c>
      <c r="I40" s="197">
        <f t="shared" si="23"/>
        <v>0</v>
      </c>
      <c r="J40" s="197">
        <f t="shared" si="23"/>
        <v>40988.449999999997</v>
      </c>
      <c r="K40" s="197">
        <f t="shared" si="23"/>
        <v>0</v>
      </c>
      <c r="L40" s="197">
        <f t="shared" si="23"/>
        <v>0</v>
      </c>
      <c r="M40" s="197">
        <f t="shared" si="23"/>
        <v>0</v>
      </c>
      <c r="N40" s="192">
        <f t="shared" si="22"/>
        <v>1293683.67</v>
      </c>
      <c r="O40" s="181"/>
      <c r="P40" s="188" t="str">
        <f>IF(N40-C39=0,"-",N40-C39)</f>
        <v>-</v>
      </c>
    </row>
    <row r="41" spans="1:16" ht="12" customHeight="1">
      <c r="A41" s="193" t="str">
        <f>'3 - PLAN. ORÇAMENTÁRIA'!A58</f>
        <v>3.1</v>
      </c>
      <c r="B41" s="193" t="str">
        <f>'3 - PLAN. ORÇAMENTÁRIA'!B58</f>
        <v>FUNDAÇÕES</v>
      </c>
      <c r="C41" s="194">
        <f>'3 - PLAN. ORÇAMENTÁRIA'!J58</f>
        <v>271997.41000000003</v>
      </c>
      <c r="D41" s="195" t="str">
        <f t="shared" ref="D41:M41" si="24">IF((D42/$C41)=0," ",D42/$C41)</f>
        <v xml:space="preserve"> </v>
      </c>
      <c r="E41" s="195" t="str">
        <f t="shared" si="24"/>
        <v xml:space="preserve"> </v>
      </c>
      <c r="F41" s="195">
        <f t="shared" si="24"/>
        <v>1</v>
      </c>
      <c r="G41" s="195" t="str">
        <f t="shared" si="24"/>
        <v xml:space="preserve"> </v>
      </c>
      <c r="H41" s="195" t="str">
        <f t="shared" si="24"/>
        <v xml:space="preserve"> </v>
      </c>
      <c r="I41" s="195" t="str">
        <f t="shared" si="24"/>
        <v xml:space="preserve"> </v>
      </c>
      <c r="J41" s="195" t="str">
        <f t="shared" si="24"/>
        <v xml:space="preserve"> </v>
      </c>
      <c r="K41" s="195" t="str">
        <f t="shared" si="24"/>
        <v xml:space="preserve"> </v>
      </c>
      <c r="L41" s="195" t="str">
        <f t="shared" si="24"/>
        <v xml:space="preserve"> </v>
      </c>
      <c r="M41" s="195" t="str">
        <f t="shared" si="24"/>
        <v xml:space="preserve"> </v>
      </c>
      <c r="N41" s="196">
        <f t="shared" si="22"/>
        <v>1</v>
      </c>
      <c r="O41" s="181"/>
      <c r="P41" s="188" t="s">
        <v>886</v>
      </c>
    </row>
    <row r="42" spans="1:16" ht="12.95" customHeight="1">
      <c r="A42" s="189"/>
      <c r="B42" s="189"/>
      <c r="C42" s="190"/>
      <c r="D42" s="197">
        <f t="shared" ref="D42:M42" si="25">D44+D46+D48+D50</f>
        <v>0</v>
      </c>
      <c r="E42" s="197">
        <f t="shared" si="25"/>
        <v>0</v>
      </c>
      <c r="F42" s="197">
        <f t="shared" si="25"/>
        <v>271997.41000000003</v>
      </c>
      <c r="G42" s="197">
        <f t="shared" si="25"/>
        <v>0</v>
      </c>
      <c r="H42" s="197">
        <f t="shared" si="25"/>
        <v>0</v>
      </c>
      <c r="I42" s="197">
        <f t="shared" si="25"/>
        <v>0</v>
      </c>
      <c r="J42" s="197">
        <f t="shared" si="25"/>
        <v>0</v>
      </c>
      <c r="K42" s="197">
        <f t="shared" si="25"/>
        <v>0</v>
      </c>
      <c r="L42" s="197">
        <f t="shared" si="25"/>
        <v>0</v>
      </c>
      <c r="M42" s="197">
        <f t="shared" si="25"/>
        <v>0</v>
      </c>
      <c r="N42" s="192">
        <f t="shared" si="22"/>
        <v>271997.41000000003</v>
      </c>
      <c r="O42" s="181"/>
      <c r="P42" s="188" t="str">
        <f>IF(N42-C41=0,"-",N42-C41)</f>
        <v>-</v>
      </c>
    </row>
    <row r="43" spans="1:16" ht="12" customHeight="1">
      <c r="A43" s="185" t="str">
        <f>'3 - PLAN. ORÇAMENTÁRIA'!A59</f>
        <v>3.1.1</v>
      </c>
      <c r="B43" s="185" t="str">
        <f>'3 - PLAN. ORÇAMENTÁRIA'!B59</f>
        <v>ESTACAS</v>
      </c>
      <c r="C43" s="186">
        <f>'3 - PLAN. ORÇAMENTÁRIA'!J59</f>
        <v>155948.38999999998</v>
      </c>
      <c r="D43" s="135" t="str">
        <f t="shared" ref="D43:M43" si="26">IF((D44/$C43)=0," ",D44/$C43)</f>
        <v xml:space="preserve"> </v>
      </c>
      <c r="E43" s="135" t="str">
        <f t="shared" si="26"/>
        <v xml:space="preserve"> </v>
      </c>
      <c r="F43" s="135">
        <f t="shared" si="26"/>
        <v>1</v>
      </c>
      <c r="G43" s="135" t="str">
        <f t="shared" si="26"/>
        <v xml:space="preserve"> </v>
      </c>
      <c r="H43" s="135" t="str">
        <f t="shared" si="26"/>
        <v xml:space="preserve"> </v>
      </c>
      <c r="I43" s="135" t="str">
        <f t="shared" si="26"/>
        <v xml:space="preserve"> </v>
      </c>
      <c r="J43" s="135" t="str">
        <f t="shared" si="26"/>
        <v xml:space="preserve"> </v>
      </c>
      <c r="K43" s="135" t="str">
        <f t="shared" si="26"/>
        <v xml:space="preserve"> </v>
      </c>
      <c r="L43" s="135" t="str">
        <f t="shared" si="26"/>
        <v xml:space="preserve"> </v>
      </c>
      <c r="M43" s="135" t="str">
        <f t="shared" si="26"/>
        <v xml:space="preserve"> </v>
      </c>
      <c r="N43" s="187">
        <f t="shared" si="22"/>
        <v>1</v>
      </c>
      <c r="O43" s="181"/>
      <c r="P43" s="188" t="s">
        <v>886</v>
      </c>
    </row>
    <row r="44" spans="1:16" ht="12.95" customHeight="1">
      <c r="A44" s="189"/>
      <c r="B44" s="189"/>
      <c r="C44" s="190"/>
      <c r="D44" s="191"/>
      <c r="E44" s="191"/>
      <c r="F44" s="191">
        <f>'3 - PLAN. ORÇAMENTÁRIA'!J59</f>
        <v>155948.38999999998</v>
      </c>
      <c r="G44" s="191"/>
      <c r="H44" s="191"/>
      <c r="I44" s="191"/>
      <c r="J44" s="191"/>
      <c r="K44" s="191"/>
      <c r="L44" s="191"/>
      <c r="M44" s="191"/>
      <c r="N44" s="192">
        <f t="shared" si="22"/>
        <v>155948.38999999998</v>
      </c>
      <c r="O44" s="181"/>
      <c r="P44" s="188" t="str">
        <f>IF(N44-C43=0,"-",N44-C43)</f>
        <v>-</v>
      </c>
    </row>
    <row r="45" spans="1:16" ht="12" customHeight="1">
      <c r="A45" s="185" t="str">
        <f>'3 - PLAN. ORÇAMENTÁRIA'!A67</f>
        <v>3.1.2</v>
      </c>
      <c r="B45" s="185" t="str">
        <f>'3 - PLAN. ORÇAMENTÁRIA'!B67</f>
        <v>BLOCOS</v>
      </c>
      <c r="C45" s="186">
        <f>'3 - PLAN. ORÇAMENTÁRIA'!J67</f>
        <v>32708.190000000002</v>
      </c>
      <c r="D45" s="135" t="str">
        <f t="shared" ref="D45:M45" si="27">IF((D46/$C45)=0," ",D46/$C45)</f>
        <v xml:space="preserve"> </v>
      </c>
      <c r="E45" s="135" t="str">
        <f t="shared" si="27"/>
        <v xml:space="preserve"> </v>
      </c>
      <c r="F45" s="135">
        <f t="shared" si="27"/>
        <v>1</v>
      </c>
      <c r="G45" s="135" t="str">
        <f t="shared" si="27"/>
        <v xml:space="preserve"> </v>
      </c>
      <c r="H45" s="135" t="str">
        <f t="shared" si="27"/>
        <v xml:space="preserve"> </v>
      </c>
      <c r="I45" s="135" t="str">
        <f t="shared" si="27"/>
        <v xml:space="preserve"> </v>
      </c>
      <c r="J45" s="135" t="str">
        <f t="shared" si="27"/>
        <v xml:space="preserve"> </v>
      </c>
      <c r="K45" s="135" t="str">
        <f t="shared" si="27"/>
        <v xml:space="preserve"> </v>
      </c>
      <c r="L45" s="135" t="str">
        <f t="shared" si="27"/>
        <v xml:space="preserve"> </v>
      </c>
      <c r="M45" s="135" t="str">
        <f t="shared" si="27"/>
        <v xml:space="preserve"> </v>
      </c>
      <c r="N45" s="187">
        <f t="shared" si="22"/>
        <v>1</v>
      </c>
      <c r="O45" s="181"/>
      <c r="P45" s="188" t="s">
        <v>886</v>
      </c>
    </row>
    <row r="46" spans="1:16" ht="12.95" customHeight="1">
      <c r="A46" s="189"/>
      <c r="B46" s="189"/>
      <c r="C46" s="190"/>
      <c r="D46" s="191"/>
      <c r="E46" s="191"/>
      <c r="F46" s="191">
        <f>'3 - PLAN. ORÇAMENTÁRIA'!J67</f>
        <v>32708.190000000002</v>
      </c>
      <c r="G46" s="191"/>
      <c r="H46" s="191"/>
      <c r="I46" s="191"/>
      <c r="J46" s="191"/>
      <c r="K46" s="191"/>
      <c r="L46" s="191"/>
      <c r="M46" s="191"/>
      <c r="N46" s="192">
        <f t="shared" si="22"/>
        <v>32708.190000000002</v>
      </c>
      <c r="O46" s="181"/>
      <c r="P46" s="188" t="str">
        <f>IF(N46-C45=0,"-",N46-C45)</f>
        <v>-</v>
      </c>
    </row>
    <row r="47" spans="1:16" ht="12" customHeight="1">
      <c r="A47" s="185" t="str">
        <f>'3 - PLAN. ORÇAMENTÁRIA'!A74</f>
        <v>3.1.3</v>
      </c>
      <c r="B47" s="185" t="str">
        <f>'3 - PLAN. ORÇAMENTÁRIA'!B74</f>
        <v>VIGA BALDRAME</v>
      </c>
      <c r="C47" s="186">
        <f>'3 - PLAN. ORÇAMENTÁRIA'!J74</f>
        <v>44328.92</v>
      </c>
      <c r="D47" s="135" t="str">
        <f t="shared" ref="D47:M47" si="28">IF((D48/$C47)=0," ",D48/$C47)</f>
        <v xml:space="preserve"> </v>
      </c>
      <c r="E47" s="135" t="str">
        <f t="shared" si="28"/>
        <v xml:space="preserve"> </v>
      </c>
      <c r="F47" s="135">
        <f t="shared" si="28"/>
        <v>1</v>
      </c>
      <c r="G47" s="135" t="str">
        <f t="shared" si="28"/>
        <v xml:space="preserve"> </v>
      </c>
      <c r="H47" s="135" t="str">
        <f t="shared" si="28"/>
        <v xml:space="preserve"> </v>
      </c>
      <c r="I47" s="135" t="str">
        <f t="shared" si="28"/>
        <v xml:space="preserve"> </v>
      </c>
      <c r="J47" s="135" t="str">
        <f t="shared" si="28"/>
        <v xml:space="preserve"> </v>
      </c>
      <c r="K47" s="135" t="str">
        <f t="shared" si="28"/>
        <v xml:space="preserve"> </v>
      </c>
      <c r="L47" s="135" t="str">
        <f t="shared" si="28"/>
        <v xml:space="preserve"> </v>
      </c>
      <c r="M47" s="135" t="str">
        <f t="shared" si="28"/>
        <v xml:space="preserve"> </v>
      </c>
      <c r="N47" s="187">
        <f t="shared" si="22"/>
        <v>1</v>
      </c>
      <c r="O47" s="181"/>
      <c r="P47" s="188" t="s">
        <v>886</v>
      </c>
    </row>
    <row r="48" spans="1:16" ht="12.95" customHeight="1">
      <c r="A48" s="189"/>
      <c r="B48" s="189"/>
      <c r="C48" s="190"/>
      <c r="D48" s="191"/>
      <c r="E48" s="191"/>
      <c r="F48" s="191">
        <f>'3 - PLAN. ORÇAMENTÁRIA'!J74</f>
        <v>44328.92</v>
      </c>
      <c r="G48" s="191"/>
      <c r="H48" s="191"/>
      <c r="I48" s="191"/>
      <c r="J48" s="191"/>
      <c r="K48" s="191"/>
      <c r="L48" s="191"/>
      <c r="M48" s="191"/>
      <c r="N48" s="192">
        <f t="shared" si="22"/>
        <v>44328.92</v>
      </c>
      <c r="O48" s="181"/>
      <c r="P48" s="188" t="str">
        <f>IF(N48-C47=0,"-",N48-C47)</f>
        <v>-</v>
      </c>
    </row>
    <row r="49" spans="1:16" ht="12" customHeight="1">
      <c r="A49" s="185" t="str">
        <f>'3 - PLAN. ORÇAMENTÁRIA'!A81</f>
        <v>3.1.4</v>
      </c>
      <c r="B49" s="185" t="str">
        <f>'3 - PLAN. ORÇAMENTÁRIA'!B81</f>
        <v>ARMADURAS TOTAIS</v>
      </c>
      <c r="C49" s="186">
        <f>'3 - PLAN. ORÇAMENTÁRIA'!J81</f>
        <v>39011.910000000003</v>
      </c>
      <c r="D49" s="135" t="str">
        <f t="shared" ref="D49:M49" si="29">IF((D50/$C49)=0," ",D50/$C49)</f>
        <v xml:space="preserve"> </v>
      </c>
      <c r="E49" s="135" t="str">
        <f t="shared" si="29"/>
        <v xml:space="preserve"> </v>
      </c>
      <c r="F49" s="135">
        <f t="shared" si="29"/>
        <v>1</v>
      </c>
      <c r="G49" s="135" t="str">
        <f t="shared" si="29"/>
        <v xml:space="preserve"> </v>
      </c>
      <c r="H49" s="135" t="str">
        <f t="shared" si="29"/>
        <v xml:space="preserve"> </v>
      </c>
      <c r="I49" s="135" t="str">
        <f t="shared" si="29"/>
        <v xml:space="preserve"> </v>
      </c>
      <c r="J49" s="135" t="str">
        <f t="shared" si="29"/>
        <v xml:space="preserve"> </v>
      </c>
      <c r="K49" s="135" t="str">
        <f t="shared" si="29"/>
        <v xml:space="preserve"> </v>
      </c>
      <c r="L49" s="135" t="str">
        <f t="shared" si="29"/>
        <v xml:space="preserve"> </v>
      </c>
      <c r="M49" s="135" t="str">
        <f t="shared" si="29"/>
        <v xml:space="preserve"> </v>
      </c>
      <c r="N49" s="187">
        <f t="shared" si="22"/>
        <v>1</v>
      </c>
      <c r="O49" s="181"/>
      <c r="P49" s="188" t="s">
        <v>886</v>
      </c>
    </row>
    <row r="50" spans="1:16" ht="12.95" customHeight="1">
      <c r="A50" s="189"/>
      <c r="B50" s="189"/>
      <c r="C50" s="190"/>
      <c r="D50" s="191"/>
      <c r="E50" s="191"/>
      <c r="F50" s="191">
        <f>'3 - PLAN. ORÇAMENTÁRIA'!J81</f>
        <v>39011.910000000003</v>
      </c>
      <c r="G50" s="191"/>
      <c r="H50" s="191"/>
      <c r="I50" s="191"/>
      <c r="J50" s="191"/>
      <c r="K50" s="191"/>
      <c r="L50" s="191"/>
      <c r="M50" s="191"/>
      <c r="N50" s="192">
        <f t="shared" si="22"/>
        <v>39011.910000000003</v>
      </c>
      <c r="O50" s="181"/>
      <c r="P50" s="188" t="str">
        <f>IF(N50-C49=0,"-",N50-C49)</f>
        <v>-</v>
      </c>
    </row>
    <row r="51" spans="1:16" ht="12" customHeight="1">
      <c r="A51" s="193" t="str">
        <f>'3 - PLAN. ORÇAMENTÁRIA'!A88</f>
        <v>3.2</v>
      </c>
      <c r="B51" s="193" t="str">
        <f>'3 - PLAN. ORÇAMENTÁRIA'!B88</f>
        <v>ESTRUTURAS - SUPERESTRUTURA</v>
      </c>
      <c r="C51" s="194">
        <f>'3 - PLAN. ORÇAMENTÁRIA'!J88</f>
        <v>68591.22</v>
      </c>
      <c r="D51" s="195" t="str">
        <f t="shared" ref="D51:M51" si="30">IF((D52/$C51)=0," ",D52/$C51)</f>
        <v xml:space="preserve"> </v>
      </c>
      <c r="E51" s="195" t="str">
        <f t="shared" si="30"/>
        <v xml:space="preserve"> </v>
      </c>
      <c r="F51" s="195" t="str">
        <f t="shared" si="30"/>
        <v xml:space="preserve"> </v>
      </c>
      <c r="G51" s="195" t="str">
        <f t="shared" si="30"/>
        <v xml:space="preserve"> </v>
      </c>
      <c r="H51" s="195">
        <f t="shared" si="30"/>
        <v>0.5</v>
      </c>
      <c r="I51" s="195" t="str">
        <f t="shared" si="30"/>
        <v xml:space="preserve"> </v>
      </c>
      <c r="J51" s="195">
        <f t="shared" si="30"/>
        <v>0.5</v>
      </c>
      <c r="K51" s="195" t="str">
        <f t="shared" si="30"/>
        <v xml:space="preserve"> </v>
      </c>
      <c r="L51" s="195" t="str">
        <f t="shared" si="30"/>
        <v xml:space="preserve"> </v>
      </c>
      <c r="M51" s="195" t="str">
        <f t="shared" si="30"/>
        <v xml:space="preserve"> </v>
      </c>
      <c r="N51" s="196">
        <f t="shared" si="22"/>
        <v>1</v>
      </c>
      <c r="O51" s="181"/>
      <c r="P51" s="188" t="s">
        <v>886</v>
      </c>
    </row>
    <row r="52" spans="1:16" ht="12.95" customHeight="1">
      <c r="A52" s="189"/>
      <c r="B52" s="189"/>
      <c r="C52" s="190"/>
      <c r="D52" s="197">
        <f>D54</f>
        <v>0</v>
      </c>
      <c r="E52" s="197">
        <f t="shared" ref="E52:M52" si="31">E54</f>
        <v>0</v>
      </c>
      <c r="F52" s="197">
        <f t="shared" si="31"/>
        <v>0</v>
      </c>
      <c r="G52" s="197">
        <f t="shared" si="31"/>
        <v>0</v>
      </c>
      <c r="H52" s="197">
        <f t="shared" si="31"/>
        <v>34295.61</v>
      </c>
      <c r="I52" s="197">
        <f t="shared" si="31"/>
        <v>0</v>
      </c>
      <c r="J52" s="197">
        <f t="shared" si="31"/>
        <v>34295.61</v>
      </c>
      <c r="K52" s="197">
        <f t="shared" si="31"/>
        <v>0</v>
      </c>
      <c r="L52" s="197">
        <f t="shared" si="31"/>
        <v>0</v>
      </c>
      <c r="M52" s="197">
        <f t="shared" si="31"/>
        <v>0</v>
      </c>
      <c r="N52" s="192">
        <f t="shared" si="22"/>
        <v>68591.22</v>
      </c>
      <c r="O52" s="181"/>
      <c r="P52" s="188" t="str">
        <f>IF(N52-C51=0,"-",N52-C51)</f>
        <v>-</v>
      </c>
    </row>
    <row r="53" spans="1:16" ht="12" customHeight="1">
      <c r="A53" s="185" t="str">
        <f>'3 - PLAN. ORÇAMENTÁRIA'!A89</f>
        <v>3.2.1</v>
      </c>
      <c r="B53" s="185" t="str">
        <f>'3 - PLAN. ORÇAMENTÁRIA'!B89</f>
        <v>LAJES</v>
      </c>
      <c r="C53" s="186">
        <f>'3 - PLAN. ORÇAMENTÁRIA'!J89</f>
        <v>68591.22</v>
      </c>
      <c r="D53" s="135" t="str">
        <f t="shared" ref="D53:M53" si="32">IF((D54/$C53)=0," ",D54/$C53)</f>
        <v xml:space="preserve"> </v>
      </c>
      <c r="E53" s="135" t="str">
        <f t="shared" si="32"/>
        <v xml:space="preserve"> </v>
      </c>
      <c r="F53" s="135" t="str">
        <f t="shared" si="32"/>
        <v xml:space="preserve"> </v>
      </c>
      <c r="G53" s="135" t="str">
        <f t="shared" si="32"/>
        <v xml:space="preserve"> </v>
      </c>
      <c r="H53" s="135">
        <f t="shared" si="32"/>
        <v>0.5</v>
      </c>
      <c r="I53" s="135" t="str">
        <f t="shared" si="32"/>
        <v xml:space="preserve"> </v>
      </c>
      <c r="J53" s="135">
        <f t="shared" si="32"/>
        <v>0.5</v>
      </c>
      <c r="K53" s="135" t="str">
        <f t="shared" si="32"/>
        <v xml:space="preserve"> </v>
      </c>
      <c r="L53" s="135" t="str">
        <f t="shared" si="32"/>
        <v xml:space="preserve"> </v>
      </c>
      <c r="M53" s="135" t="str">
        <f t="shared" si="32"/>
        <v xml:space="preserve"> </v>
      </c>
      <c r="N53" s="187">
        <f t="shared" si="22"/>
        <v>1</v>
      </c>
      <c r="O53" s="181"/>
      <c r="P53" s="188" t="s">
        <v>886</v>
      </c>
    </row>
    <row r="54" spans="1:16" ht="12.95" customHeight="1">
      <c r="A54" s="189"/>
      <c r="B54" s="189"/>
      <c r="C54" s="190"/>
      <c r="D54" s="191"/>
      <c r="E54" s="191"/>
      <c r="F54" s="191"/>
      <c r="G54" s="191"/>
      <c r="H54" s="191">
        <f>'3 - PLAN. ORÇAMENTÁRIA'!J89*0.5</f>
        <v>34295.61</v>
      </c>
      <c r="I54" s="191"/>
      <c r="J54" s="191">
        <f>'3 - PLAN. ORÇAMENTÁRIA'!J89*0.5</f>
        <v>34295.61</v>
      </c>
      <c r="K54" s="191"/>
      <c r="L54" s="191"/>
      <c r="M54" s="191"/>
      <c r="N54" s="192">
        <f t="shared" si="22"/>
        <v>68591.22</v>
      </c>
      <c r="O54" s="181"/>
      <c r="P54" s="188" t="str">
        <f>IF(N54-C53=0,"-",N54-C53)</f>
        <v>-</v>
      </c>
    </row>
    <row r="55" spans="1:16" ht="12" customHeight="1">
      <c r="A55" s="193" t="str">
        <f>'3 - PLAN. ORÇAMENTÁRIA'!A96</f>
        <v>3.3</v>
      </c>
      <c r="B55" s="193" t="str">
        <f>'3 - PLAN. ORÇAMENTÁRIA'!B96</f>
        <v>ESTRUTURA METÁLICA</v>
      </c>
      <c r="C55" s="194">
        <f>'3 - PLAN. ORÇAMENTÁRIA'!J96</f>
        <v>299135.67</v>
      </c>
      <c r="D55" s="195" t="str">
        <f t="shared" ref="D55:M55" si="33">IF((D56/$C55)=0," ",D56/$C55)</f>
        <v xml:space="preserve"> </v>
      </c>
      <c r="E55" s="195" t="str">
        <f t="shared" si="33"/>
        <v xml:space="preserve"> </v>
      </c>
      <c r="F55" s="195">
        <f t="shared" si="33"/>
        <v>0.2</v>
      </c>
      <c r="G55" s="195">
        <f t="shared" si="33"/>
        <v>0.4</v>
      </c>
      <c r="H55" s="195">
        <f t="shared" si="33"/>
        <v>0.4</v>
      </c>
      <c r="I55" s="195" t="str">
        <f t="shared" si="33"/>
        <v xml:space="preserve"> </v>
      </c>
      <c r="J55" s="195" t="str">
        <f t="shared" si="33"/>
        <v xml:space="preserve"> </v>
      </c>
      <c r="K55" s="195" t="str">
        <f t="shared" si="33"/>
        <v xml:space="preserve"> </v>
      </c>
      <c r="L55" s="195" t="str">
        <f t="shared" si="33"/>
        <v xml:space="preserve"> </v>
      </c>
      <c r="M55" s="195" t="str">
        <f t="shared" si="33"/>
        <v xml:space="preserve"> </v>
      </c>
      <c r="N55" s="196">
        <f t="shared" si="22"/>
        <v>1</v>
      </c>
      <c r="O55" s="181"/>
      <c r="P55" s="188" t="s">
        <v>886</v>
      </c>
    </row>
    <row r="56" spans="1:16" ht="12.95" customHeight="1">
      <c r="A56" s="189"/>
      <c r="B56" s="189"/>
      <c r="C56" s="190"/>
      <c r="D56" s="197"/>
      <c r="E56" s="197"/>
      <c r="F56" s="197">
        <f>'3 - PLAN. ORÇAMENTÁRIA'!J96*0.2</f>
        <v>59827.133999999998</v>
      </c>
      <c r="G56" s="197">
        <f>'3 - PLAN. ORÇAMENTÁRIA'!J96*0.4</f>
        <v>119654.268</v>
      </c>
      <c r="H56" s="197">
        <f>'3 - PLAN. ORÇAMENTÁRIA'!J96*0.4</f>
        <v>119654.268</v>
      </c>
      <c r="I56" s="197"/>
      <c r="J56" s="197"/>
      <c r="K56" s="197"/>
      <c r="L56" s="197"/>
      <c r="M56" s="197"/>
      <c r="N56" s="192">
        <f t="shared" si="22"/>
        <v>299135.67</v>
      </c>
      <c r="O56" s="181"/>
      <c r="P56" s="188" t="str">
        <f>IF(N56-C55=0,"-",N56-C55)</f>
        <v>-</v>
      </c>
    </row>
    <row r="57" spans="1:16" ht="12" customHeight="1">
      <c r="A57" s="193" t="str">
        <f>'3 - PLAN. ORÇAMENTÁRIA'!A103</f>
        <v>3.4</v>
      </c>
      <c r="B57" s="193" t="str">
        <f>'3 - PLAN. ORÇAMENTÁRIA'!B103</f>
        <v>MURO ALVENARIA/ARRIMO</v>
      </c>
      <c r="C57" s="194">
        <f>'3 - PLAN. ORÇAMENTÁRIA'!J103</f>
        <v>613359.03999999992</v>
      </c>
      <c r="D57" s="195">
        <f t="shared" ref="D57:M57" si="34">IF((D58/$C57)=0," ",D58/$C57)</f>
        <v>0.46975309600067194</v>
      </c>
      <c r="E57" s="195">
        <f t="shared" si="34"/>
        <v>0.53024690399932806</v>
      </c>
      <c r="F57" s="195" t="str">
        <f t="shared" si="34"/>
        <v xml:space="preserve"> </v>
      </c>
      <c r="G57" s="195" t="str">
        <f t="shared" si="34"/>
        <v xml:space="preserve"> </v>
      </c>
      <c r="H57" s="195" t="str">
        <f t="shared" si="34"/>
        <v xml:space="preserve"> </v>
      </c>
      <c r="I57" s="195" t="str">
        <f t="shared" si="34"/>
        <v xml:space="preserve"> </v>
      </c>
      <c r="J57" s="195" t="str">
        <f t="shared" si="34"/>
        <v xml:space="preserve"> </v>
      </c>
      <c r="K57" s="195" t="str">
        <f t="shared" si="34"/>
        <v xml:space="preserve"> </v>
      </c>
      <c r="L57" s="195" t="str">
        <f t="shared" si="34"/>
        <v xml:space="preserve"> </v>
      </c>
      <c r="M57" s="195" t="str">
        <f t="shared" si="34"/>
        <v xml:space="preserve"> </v>
      </c>
      <c r="N57" s="196">
        <f t="shared" si="22"/>
        <v>1</v>
      </c>
      <c r="O57" s="181"/>
      <c r="P57" s="188" t="s">
        <v>886</v>
      </c>
    </row>
    <row r="58" spans="1:16" ht="12.95" customHeight="1">
      <c r="A58" s="189"/>
      <c r="B58" s="189"/>
      <c r="C58" s="190"/>
      <c r="D58" s="197">
        <f t="shared" ref="D58:M58" si="35">D60+D62+D64+D66</f>
        <v>288127.30799999996</v>
      </c>
      <c r="E58" s="197">
        <f t="shared" si="35"/>
        <v>325231.73199999996</v>
      </c>
      <c r="F58" s="197">
        <f t="shared" si="35"/>
        <v>0</v>
      </c>
      <c r="G58" s="197">
        <f t="shared" si="35"/>
        <v>0</v>
      </c>
      <c r="H58" s="197">
        <f t="shared" si="35"/>
        <v>0</v>
      </c>
      <c r="I58" s="197">
        <f t="shared" si="35"/>
        <v>0</v>
      </c>
      <c r="J58" s="197">
        <f t="shared" si="35"/>
        <v>0</v>
      </c>
      <c r="K58" s="197">
        <f t="shared" si="35"/>
        <v>0</v>
      </c>
      <c r="L58" s="197">
        <f t="shared" si="35"/>
        <v>0</v>
      </c>
      <c r="M58" s="197">
        <f t="shared" si="35"/>
        <v>0</v>
      </c>
      <c r="N58" s="192">
        <f t="shared" si="22"/>
        <v>613359.03999999992</v>
      </c>
      <c r="O58" s="181"/>
      <c r="P58" s="188" t="str">
        <f>IF(N58-C57=0,"-",N58-C57)</f>
        <v>-</v>
      </c>
    </row>
    <row r="59" spans="1:16" ht="12" customHeight="1">
      <c r="A59" s="185" t="str">
        <f>'3 - PLAN. ORÇAMENTÁRIA'!A104</f>
        <v>3.4.1</v>
      </c>
      <c r="B59" s="185" t="str">
        <f>'3 - PLAN. ORÇAMENTÁRIA'!B104</f>
        <v>FUNDAÇÕES</v>
      </c>
      <c r="C59" s="186">
        <f>'3 - PLAN. ORÇAMENTÁRIA'!J104</f>
        <v>163735.16999999998</v>
      </c>
      <c r="D59" s="135">
        <f t="shared" ref="D59:M59" si="36">IF((D60/$C59)=0," ",D60/$C59)</f>
        <v>1</v>
      </c>
      <c r="E59" s="135" t="str">
        <f t="shared" si="36"/>
        <v xml:space="preserve"> </v>
      </c>
      <c r="F59" s="135" t="str">
        <f t="shared" si="36"/>
        <v xml:space="preserve"> </v>
      </c>
      <c r="G59" s="135" t="str">
        <f t="shared" si="36"/>
        <v xml:space="preserve"> </v>
      </c>
      <c r="H59" s="135" t="str">
        <f t="shared" si="36"/>
        <v xml:space="preserve"> </v>
      </c>
      <c r="I59" s="135" t="str">
        <f t="shared" si="36"/>
        <v xml:space="preserve"> </v>
      </c>
      <c r="J59" s="135" t="str">
        <f t="shared" si="36"/>
        <v xml:space="preserve"> </v>
      </c>
      <c r="K59" s="135" t="str">
        <f t="shared" si="36"/>
        <v xml:space="preserve"> </v>
      </c>
      <c r="L59" s="135" t="str">
        <f t="shared" si="36"/>
        <v xml:space="preserve"> </v>
      </c>
      <c r="M59" s="135" t="str">
        <f t="shared" si="36"/>
        <v xml:space="preserve"> </v>
      </c>
      <c r="N59" s="187">
        <f t="shared" si="22"/>
        <v>1</v>
      </c>
      <c r="O59" s="181"/>
      <c r="P59" s="188" t="s">
        <v>886</v>
      </c>
    </row>
    <row r="60" spans="1:16" ht="12.95" customHeight="1">
      <c r="A60" s="189"/>
      <c r="B60" s="189"/>
      <c r="C60" s="190"/>
      <c r="D60" s="191">
        <f>'3 - PLAN. ORÇAMENTÁRIA'!J104</f>
        <v>163735.16999999998</v>
      </c>
      <c r="E60" s="191"/>
      <c r="F60" s="191"/>
      <c r="G60" s="191"/>
      <c r="H60" s="191"/>
      <c r="I60" s="191"/>
      <c r="J60" s="191"/>
      <c r="K60" s="191"/>
      <c r="L60" s="191"/>
      <c r="M60" s="191"/>
      <c r="N60" s="192">
        <f t="shared" si="22"/>
        <v>163735.16999999998</v>
      </c>
      <c r="O60" s="181"/>
      <c r="P60" s="188" t="str">
        <f>IF(N60-C59=0,"-",N60-C59)</f>
        <v>-</v>
      </c>
    </row>
    <row r="61" spans="1:16" ht="12" customHeight="1">
      <c r="A61" s="185" t="str">
        <f>'3 - PLAN. ORÇAMENTÁRIA'!A131</f>
        <v>3.4.2</v>
      </c>
      <c r="B61" s="185" t="str">
        <f>'3 - PLAN. ORÇAMENTÁRIA'!B131</f>
        <v>ESTRUTURAS - SUPERESTRUTURA</v>
      </c>
      <c r="C61" s="186">
        <f>'3 - PLAN. ORÇAMENTÁRIA'!J131</f>
        <v>6692.02</v>
      </c>
      <c r="D61" s="135">
        <f t="shared" ref="D61:M61" si="37">IF((D62/$C61)=0," ",D62/$C61)</f>
        <v>0.3</v>
      </c>
      <c r="E61" s="135">
        <f t="shared" si="37"/>
        <v>0.7</v>
      </c>
      <c r="F61" s="135" t="str">
        <f t="shared" si="37"/>
        <v xml:space="preserve"> </v>
      </c>
      <c r="G61" s="135" t="str">
        <f t="shared" si="37"/>
        <v xml:space="preserve"> </v>
      </c>
      <c r="H61" s="135" t="str">
        <f t="shared" si="37"/>
        <v xml:space="preserve"> </v>
      </c>
      <c r="I61" s="135" t="str">
        <f t="shared" si="37"/>
        <v xml:space="preserve"> </v>
      </c>
      <c r="J61" s="135" t="str">
        <f t="shared" si="37"/>
        <v xml:space="preserve"> </v>
      </c>
      <c r="K61" s="135" t="str">
        <f t="shared" si="37"/>
        <v xml:space="preserve"> </v>
      </c>
      <c r="L61" s="135" t="str">
        <f t="shared" si="37"/>
        <v xml:space="preserve"> </v>
      </c>
      <c r="M61" s="135" t="str">
        <f t="shared" si="37"/>
        <v xml:space="preserve"> </v>
      </c>
      <c r="N61" s="187">
        <f t="shared" si="22"/>
        <v>1</v>
      </c>
      <c r="O61" s="181"/>
      <c r="P61" s="188" t="s">
        <v>886</v>
      </c>
    </row>
    <row r="62" spans="1:16" ht="12.95" customHeight="1">
      <c r="A62" s="189"/>
      <c r="B62" s="189"/>
      <c r="C62" s="190"/>
      <c r="D62" s="191">
        <f>'3 - PLAN. ORÇAMENTÁRIA'!J131*0.3</f>
        <v>2007.606</v>
      </c>
      <c r="E62" s="191">
        <f>'3 - PLAN. ORÇAMENTÁRIA'!J131*0.7</f>
        <v>4684.4139999999998</v>
      </c>
      <c r="F62" s="191"/>
      <c r="G62" s="191"/>
      <c r="H62" s="191"/>
      <c r="I62" s="191"/>
      <c r="J62" s="191"/>
      <c r="K62" s="191"/>
      <c r="L62" s="191"/>
      <c r="M62" s="191"/>
      <c r="N62" s="192">
        <f t="shared" si="22"/>
        <v>6692.0199999999995</v>
      </c>
      <c r="O62" s="181"/>
      <c r="P62" s="188">
        <f>IF(N62-C61=0,"-",N62-C61)</f>
        <v>-9.0949470177292824E-13</v>
      </c>
    </row>
    <row r="63" spans="1:16" ht="12" customHeight="1">
      <c r="A63" s="185" t="str">
        <f>'3 - PLAN. ORÇAMENTÁRIA'!A138</f>
        <v>3.4.3</v>
      </c>
      <c r="B63" s="185" t="str">
        <f>'3 - PLAN. ORÇAMENTÁRIA'!B138</f>
        <v>FECHAMENTO/ACABAMENTOS</v>
      </c>
      <c r="C63" s="186">
        <f>'3 - PLAN. ORÇAMENTÁRIA'!J138</f>
        <v>407948.43999999994</v>
      </c>
      <c r="D63" s="135">
        <f>IF((D64/$C63)=0," ",D64/$C63)</f>
        <v>0.3</v>
      </c>
      <c r="E63" s="135">
        <f t="shared" ref="E63:M63" si="38">IF((E64/$C63)=0," ",E64/$C63)</f>
        <v>0.7</v>
      </c>
      <c r="F63" s="135" t="str">
        <f t="shared" si="38"/>
        <v xml:space="preserve"> </v>
      </c>
      <c r="G63" s="135" t="str">
        <f t="shared" si="38"/>
        <v xml:space="preserve"> </v>
      </c>
      <c r="H63" s="135" t="str">
        <f t="shared" si="38"/>
        <v xml:space="preserve"> </v>
      </c>
      <c r="I63" s="135" t="str">
        <f t="shared" si="38"/>
        <v xml:space="preserve"> </v>
      </c>
      <c r="J63" s="135" t="str">
        <f t="shared" si="38"/>
        <v xml:space="preserve"> </v>
      </c>
      <c r="K63" s="135" t="str">
        <f t="shared" si="38"/>
        <v xml:space="preserve"> </v>
      </c>
      <c r="L63" s="135" t="str">
        <f t="shared" si="38"/>
        <v xml:space="preserve"> </v>
      </c>
      <c r="M63" s="135" t="str">
        <f t="shared" si="38"/>
        <v xml:space="preserve"> </v>
      </c>
      <c r="N63" s="187">
        <f t="shared" si="22"/>
        <v>1</v>
      </c>
      <c r="O63" s="181"/>
      <c r="P63" s="188" t="s">
        <v>886</v>
      </c>
    </row>
    <row r="64" spans="1:16" ht="12.95" customHeight="1">
      <c r="A64" s="189"/>
      <c r="B64" s="189"/>
      <c r="C64" s="190"/>
      <c r="D64" s="191">
        <f>'3 - PLAN. ORÇAMENTÁRIA'!J138*0.3</f>
        <v>122384.53199999998</v>
      </c>
      <c r="E64" s="191">
        <f>'3 - PLAN. ORÇAMENTÁRIA'!J138*0.7</f>
        <v>285563.90799999994</v>
      </c>
      <c r="F64" s="191"/>
      <c r="G64" s="191"/>
      <c r="H64" s="191"/>
      <c r="I64" s="191"/>
      <c r="J64" s="191"/>
      <c r="K64" s="191"/>
      <c r="L64" s="191"/>
      <c r="M64" s="191"/>
      <c r="N64" s="192">
        <f t="shared" si="22"/>
        <v>407948.43999999994</v>
      </c>
      <c r="O64" s="181"/>
      <c r="P64" s="188" t="str">
        <f>IF(N64-C63=0,"-",N64-C63)</f>
        <v>-</v>
      </c>
    </row>
    <row r="65" spans="1:16" ht="12" customHeight="1">
      <c r="A65" s="185" t="str">
        <f>'3 - PLAN. ORÇAMENTÁRIA'!A152</f>
        <v>3.4.4</v>
      </c>
      <c r="B65" s="185" t="str">
        <f>'3 - PLAN. ORÇAMENTÁRIA'!B152</f>
        <v>DRENAGEM</v>
      </c>
      <c r="C65" s="186">
        <f>'3 - PLAN. ORÇAMENTÁRIA'!J152</f>
        <v>34983.410000000003</v>
      </c>
      <c r="D65" s="135" t="str">
        <f t="shared" ref="D65:M71" si="39">IF((D66/$C65)=0," ",D66/$C65)</f>
        <v xml:space="preserve"> </v>
      </c>
      <c r="E65" s="135">
        <f t="shared" si="39"/>
        <v>1</v>
      </c>
      <c r="F65" s="135" t="str">
        <f t="shared" si="39"/>
        <v xml:space="preserve"> </v>
      </c>
      <c r="G65" s="135" t="str">
        <f t="shared" si="39"/>
        <v xml:space="preserve"> </v>
      </c>
      <c r="H65" s="135" t="str">
        <f t="shared" si="39"/>
        <v xml:space="preserve"> </v>
      </c>
      <c r="I65" s="135" t="str">
        <f t="shared" si="39"/>
        <v xml:space="preserve"> </v>
      </c>
      <c r="J65" s="135" t="str">
        <f t="shared" si="39"/>
        <v xml:space="preserve"> </v>
      </c>
      <c r="K65" s="135" t="str">
        <f t="shared" si="39"/>
        <v xml:space="preserve"> </v>
      </c>
      <c r="L65" s="135" t="str">
        <f t="shared" si="39"/>
        <v xml:space="preserve"> </v>
      </c>
      <c r="M65" s="135" t="str">
        <f t="shared" si="39"/>
        <v xml:space="preserve"> </v>
      </c>
      <c r="N65" s="187">
        <f t="shared" si="22"/>
        <v>1</v>
      </c>
      <c r="O65" s="181"/>
      <c r="P65" s="188" t="s">
        <v>886</v>
      </c>
    </row>
    <row r="66" spans="1:16" ht="12.95" customHeight="1">
      <c r="A66" s="189"/>
      <c r="B66" s="189"/>
      <c r="C66" s="190"/>
      <c r="D66" s="191"/>
      <c r="E66" s="191">
        <f>'3 - PLAN. ORÇAMENTÁRIA'!J152</f>
        <v>34983.410000000003</v>
      </c>
      <c r="F66" s="191"/>
      <c r="G66" s="191"/>
      <c r="H66" s="191"/>
      <c r="I66" s="191"/>
      <c r="J66" s="191"/>
      <c r="K66" s="191"/>
      <c r="L66" s="191"/>
      <c r="M66" s="191"/>
      <c r="N66" s="192">
        <f t="shared" si="22"/>
        <v>34983.410000000003</v>
      </c>
      <c r="O66" s="181"/>
      <c r="P66" s="188" t="str">
        <f>IF(N66-C65=0,"-",N66-C65)</f>
        <v>-</v>
      </c>
    </row>
    <row r="67" spans="1:16" ht="12.95" customHeight="1">
      <c r="A67" s="372" t="str">
        <f>'3 - PLAN. ORÇAMENTÁRIA'!A154</f>
        <v>3.5</v>
      </c>
      <c r="B67" s="372" t="str">
        <f>'3 - PLAN. ORÇAMENTÁRIA'!B154</f>
        <v>IMPERMEABILIZAÇÃO</v>
      </c>
      <c r="C67" s="373">
        <f>'3 - PLAN. ORÇAMENTÁRIA'!J154</f>
        <v>40600.33</v>
      </c>
      <c r="D67" s="135">
        <f t="shared" si="39"/>
        <v>0.83515306402681944</v>
      </c>
      <c r="E67" s="135" t="str">
        <f t="shared" si="39"/>
        <v xml:space="preserve"> </v>
      </c>
      <c r="F67" s="135" t="str">
        <f t="shared" si="39"/>
        <v xml:space="preserve"> </v>
      </c>
      <c r="G67" s="135" t="str">
        <f t="shared" si="39"/>
        <v xml:space="preserve"> </v>
      </c>
      <c r="H67" s="135" t="str">
        <f t="shared" si="39"/>
        <v xml:space="preserve"> </v>
      </c>
      <c r="I67" s="135" t="str">
        <f t="shared" si="39"/>
        <v xml:space="preserve"> </v>
      </c>
      <c r="J67" s="135">
        <f t="shared" si="39"/>
        <v>0.16484693597318051</v>
      </c>
      <c r="K67" s="135" t="str">
        <f t="shared" si="39"/>
        <v xml:space="preserve"> </v>
      </c>
      <c r="L67" s="135" t="str">
        <f t="shared" si="39"/>
        <v xml:space="preserve"> </v>
      </c>
      <c r="M67" s="135" t="str">
        <f t="shared" si="39"/>
        <v xml:space="preserve"> </v>
      </c>
      <c r="N67" s="187">
        <f t="shared" si="22"/>
        <v>1</v>
      </c>
      <c r="O67" s="181"/>
      <c r="P67" s="188"/>
    </row>
    <row r="68" spans="1:16" ht="12.95" customHeight="1">
      <c r="A68" s="189"/>
      <c r="B68" s="189"/>
      <c r="C68" s="190"/>
      <c r="D68" s="374">
        <f>D70+D72</f>
        <v>33907.49</v>
      </c>
      <c r="E68" s="374">
        <f t="shared" ref="E68:M68" si="40">E70+E72</f>
        <v>0</v>
      </c>
      <c r="F68" s="374">
        <f t="shared" si="40"/>
        <v>0</v>
      </c>
      <c r="G68" s="374">
        <f t="shared" si="40"/>
        <v>0</v>
      </c>
      <c r="H68" s="374">
        <f t="shared" si="40"/>
        <v>0</v>
      </c>
      <c r="I68" s="374">
        <f t="shared" si="40"/>
        <v>0</v>
      </c>
      <c r="J68" s="374">
        <f t="shared" si="40"/>
        <v>6692.84</v>
      </c>
      <c r="K68" s="374">
        <f t="shared" si="40"/>
        <v>0</v>
      </c>
      <c r="L68" s="374">
        <f t="shared" si="40"/>
        <v>0</v>
      </c>
      <c r="M68" s="374">
        <f t="shared" si="40"/>
        <v>0</v>
      </c>
      <c r="N68" s="192">
        <f t="shared" si="22"/>
        <v>40600.33</v>
      </c>
      <c r="O68" s="181"/>
      <c r="P68" s="188"/>
    </row>
    <row r="69" spans="1:16" ht="12.95" customHeight="1">
      <c r="A69" s="372" t="str">
        <f>'3 - PLAN. ORÇAMENTÁRIA'!A155</f>
        <v>3.5.1</v>
      </c>
      <c r="B69" s="372" t="str">
        <f>'3 - PLAN. ORÇAMENTÁRIA'!B155</f>
        <v>FUNDAÇÃO</v>
      </c>
      <c r="C69" s="373">
        <f>'3 - PLAN. ORÇAMENTÁRIA'!J155</f>
        <v>33907.49</v>
      </c>
      <c r="D69" s="135">
        <f t="shared" si="39"/>
        <v>1</v>
      </c>
      <c r="E69" s="135" t="str">
        <f t="shared" si="39"/>
        <v xml:space="preserve"> </v>
      </c>
      <c r="F69" s="135" t="str">
        <f t="shared" si="39"/>
        <v xml:space="preserve"> </v>
      </c>
      <c r="G69" s="135" t="str">
        <f t="shared" si="39"/>
        <v xml:space="preserve"> </v>
      </c>
      <c r="H69" s="135" t="str">
        <f t="shared" si="39"/>
        <v xml:space="preserve"> </v>
      </c>
      <c r="I69" s="135" t="str">
        <f t="shared" si="39"/>
        <v xml:space="preserve"> </v>
      </c>
      <c r="J69" s="135" t="str">
        <f t="shared" si="39"/>
        <v xml:space="preserve"> </v>
      </c>
      <c r="K69" s="135" t="str">
        <f t="shared" si="39"/>
        <v xml:space="preserve"> </v>
      </c>
      <c r="L69" s="135" t="str">
        <f t="shared" si="39"/>
        <v xml:space="preserve"> </v>
      </c>
      <c r="M69" s="135" t="str">
        <f t="shared" si="39"/>
        <v xml:space="preserve"> </v>
      </c>
      <c r="N69" s="187">
        <f t="shared" si="22"/>
        <v>1</v>
      </c>
      <c r="O69" s="181"/>
      <c r="P69" s="188"/>
    </row>
    <row r="70" spans="1:16" ht="12.95" customHeight="1">
      <c r="A70" s="189"/>
      <c r="B70" s="189"/>
      <c r="C70" s="190"/>
      <c r="D70" s="374">
        <f>'3 - PLAN. ORÇAMENTÁRIA'!J155</f>
        <v>33907.49</v>
      </c>
      <c r="E70" s="374"/>
      <c r="F70" s="374"/>
      <c r="G70" s="374"/>
      <c r="H70" s="374"/>
      <c r="I70" s="374"/>
      <c r="J70" s="374"/>
      <c r="K70" s="374"/>
      <c r="L70" s="374"/>
      <c r="M70" s="374"/>
      <c r="N70" s="192">
        <f t="shared" si="22"/>
        <v>33907.49</v>
      </c>
      <c r="O70" s="181"/>
      <c r="P70" s="188"/>
    </row>
    <row r="71" spans="1:16" ht="12.95" customHeight="1">
      <c r="A71" s="372" t="str">
        <f>'3 - PLAN. ORÇAMENTÁRIA'!A157</f>
        <v>3.5.2</v>
      </c>
      <c r="B71" s="372" t="str">
        <f>'3 - PLAN. ORÇAMENTÁRIA'!B157</f>
        <v>PAREDE IMPERMEABILIZADA (PLATIBANDA)</v>
      </c>
      <c r="C71" s="373">
        <f>'3 - PLAN. ORÇAMENTÁRIA'!J157</f>
        <v>6692.84</v>
      </c>
      <c r="D71" s="135" t="str">
        <f t="shared" si="39"/>
        <v xml:space="preserve"> </v>
      </c>
      <c r="E71" s="135" t="str">
        <f t="shared" si="39"/>
        <v xml:space="preserve"> </v>
      </c>
      <c r="F71" s="135" t="str">
        <f t="shared" si="39"/>
        <v xml:space="preserve"> </v>
      </c>
      <c r="G71" s="135" t="str">
        <f t="shared" si="39"/>
        <v xml:space="preserve"> </v>
      </c>
      <c r="H71" s="135" t="str">
        <f t="shared" si="39"/>
        <v xml:space="preserve"> </v>
      </c>
      <c r="I71" s="135" t="str">
        <f t="shared" si="39"/>
        <v xml:space="preserve"> </v>
      </c>
      <c r="J71" s="135">
        <f t="shared" si="39"/>
        <v>1</v>
      </c>
      <c r="K71" s="135" t="str">
        <f t="shared" si="39"/>
        <v xml:space="preserve"> </v>
      </c>
      <c r="L71" s="135" t="str">
        <f t="shared" si="39"/>
        <v xml:space="preserve"> </v>
      </c>
      <c r="M71" s="135" t="str">
        <f t="shared" si="39"/>
        <v xml:space="preserve"> </v>
      </c>
      <c r="N71" s="187">
        <f t="shared" si="22"/>
        <v>1</v>
      </c>
      <c r="O71" s="181"/>
      <c r="P71" s="188"/>
    </row>
    <row r="72" spans="1:16" ht="12.95" customHeight="1">
      <c r="A72" s="372"/>
      <c r="B72" s="372"/>
      <c r="C72" s="373"/>
      <c r="D72" s="374"/>
      <c r="E72" s="374"/>
      <c r="F72" s="374"/>
      <c r="G72" s="374"/>
      <c r="H72" s="374"/>
      <c r="I72" s="374"/>
      <c r="J72" s="374">
        <f>'3 - PLAN. ORÇAMENTÁRIA'!J157</f>
        <v>6692.84</v>
      </c>
      <c r="K72" s="374"/>
      <c r="L72" s="374"/>
      <c r="M72" s="374"/>
      <c r="N72" s="192">
        <f t="shared" si="22"/>
        <v>6692.84</v>
      </c>
      <c r="O72" s="181"/>
      <c r="P72" s="188"/>
    </row>
    <row r="73" spans="1:16" ht="12" customHeight="1">
      <c r="A73" s="193" t="str">
        <f>'3 - PLAN. ORÇAMENTÁRIA'!A160</f>
        <v>04.00.000</v>
      </c>
      <c r="B73" s="193" t="str">
        <f>'3 - PLAN. ORÇAMENTÁRIA'!B160</f>
        <v>ARQUITETURA E ELEMENTOS DE URBANISMO</v>
      </c>
      <c r="C73" s="194">
        <f>'3 - PLAN. ORÇAMENTÁRIA'!J160</f>
        <v>2229878.11</v>
      </c>
      <c r="D73" s="195" t="str">
        <f t="shared" ref="D73:M73" si="41">IF((D74/$C73)=0," ",D74/$C73)</f>
        <v xml:space="preserve"> </v>
      </c>
      <c r="E73" s="195" t="str">
        <f t="shared" si="41"/>
        <v xml:space="preserve"> </v>
      </c>
      <c r="F73" s="195">
        <f t="shared" si="41"/>
        <v>0.10572937101032845</v>
      </c>
      <c r="G73" s="195">
        <f t="shared" si="41"/>
        <v>2.2940505927474219E-2</v>
      </c>
      <c r="H73" s="195">
        <f t="shared" si="41"/>
        <v>0.13391760816917478</v>
      </c>
      <c r="I73" s="195">
        <f t="shared" si="41"/>
        <v>0.14530077924304124</v>
      </c>
      <c r="J73" s="195">
        <f t="shared" si="41"/>
        <v>0.21173147845287382</v>
      </c>
      <c r="K73" s="195">
        <f t="shared" si="41"/>
        <v>0.11084863019710078</v>
      </c>
      <c r="L73" s="195">
        <f t="shared" si="41"/>
        <v>0.17413228474627254</v>
      </c>
      <c r="M73" s="195">
        <f t="shared" si="41"/>
        <v>9.5399342253734226E-2</v>
      </c>
      <c r="N73" s="196">
        <f t="shared" si="22"/>
        <v>1</v>
      </c>
      <c r="O73" s="181"/>
      <c r="P73" s="188" t="s">
        <v>886</v>
      </c>
    </row>
    <row r="74" spans="1:16" ht="12.95" customHeight="1">
      <c r="A74" s="189"/>
      <c r="B74" s="189"/>
      <c r="C74" s="190"/>
      <c r="D74" s="197">
        <f t="shared" ref="D74:M74" si="42">D76+D98+D100+D102</f>
        <v>0</v>
      </c>
      <c r="E74" s="197">
        <f t="shared" si="42"/>
        <v>0</v>
      </c>
      <c r="F74" s="197">
        <f t="shared" si="42"/>
        <v>235763.61</v>
      </c>
      <c r="G74" s="197">
        <f t="shared" si="42"/>
        <v>51154.532000000007</v>
      </c>
      <c r="H74" s="197">
        <f t="shared" si="42"/>
        <v>298619.94300000003</v>
      </c>
      <c r="I74" s="197">
        <f t="shared" si="42"/>
        <v>324003.027</v>
      </c>
      <c r="J74" s="197">
        <f t="shared" si="42"/>
        <v>472135.38899999997</v>
      </c>
      <c r="K74" s="197">
        <f t="shared" si="42"/>
        <v>247178.93400000001</v>
      </c>
      <c r="L74" s="197">
        <f t="shared" si="42"/>
        <v>388293.77</v>
      </c>
      <c r="M74" s="197">
        <f t="shared" si="42"/>
        <v>212728.905</v>
      </c>
      <c r="N74" s="192">
        <f t="shared" si="22"/>
        <v>2229878.11</v>
      </c>
      <c r="O74" s="181"/>
      <c r="P74" s="188" t="str">
        <f>IF(N74-C73=0,"-",N74-C73)</f>
        <v>-</v>
      </c>
    </row>
    <row r="75" spans="1:16" ht="12" customHeight="1">
      <c r="A75" s="193" t="str">
        <f>'3 - PLAN. ORÇAMENTÁRIA'!A161</f>
        <v>4.1</v>
      </c>
      <c r="B75" s="193" t="str">
        <f>'3 - PLAN. ORÇAMENTÁRIA'!B161</f>
        <v>ARQUITETURA</v>
      </c>
      <c r="C75" s="194">
        <f>'3 - PLAN. ORÇAMENTÁRIA'!J161</f>
        <v>1243322.17</v>
      </c>
      <c r="D75" s="195" t="str">
        <f t="shared" ref="D75:M75" si="43">IF((D76/$C75)=0," ",D76/$C75)</f>
        <v xml:space="preserve"> </v>
      </c>
      <c r="E75" s="195" t="str">
        <f t="shared" si="43"/>
        <v xml:space="preserve"> </v>
      </c>
      <c r="F75" s="195" t="str">
        <f t="shared" si="43"/>
        <v xml:space="preserve"> </v>
      </c>
      <c r="G75" s="195">
        <f t="shared" si="43"/>
        <v>4.1143424636271068E-2</v>
      </c>
      <c r="H75" s="195">
        <f t="shared" si="43"/>
        <v>0.24017905431542336</v>
      </c>
      <c r="I75" s="195">
        <f t="shared" si="43"/>
        <v>0.22537042832591009</v>
      </c>
      <c r="J75" s="195">
        <f t="shared" si="43"/>
        <v>0.20361617455916514</v>
      </c>
      <c r="K75" s="195">
        <f t="shared" si="43"/>
        <v>5.7014422898933756E-2</v>
      </c>
      <c r="L75" s="195">
        <f t="shared" si="43"/>
        <v>0.14138804828035842</v>
      </c>
      <c r="M75" s="195">
        <f t="shared" si="43"/>
        <v>9.1288446983938204E-2</v>
      </c>
      <c r="N75" s="196">
        <f t="shared" si="22"/>
        <v>1</v>
      </c>
      <c r="O75" s="181"/>
      <c r="P75" s="188" t="s">
        <v>886</v>
      </c>
    </row>
    <row r="76" spans="1:16" ht="12.95" customHeight="1">
      <c r="A76" s="189"/>
      <c r="B76" s="189"/>
      <c r="C76" s="190"/>
      <c r="D76" s="197">
        <f>D78+D80+D82+D84+D86+D88+D90+D92+D94+D96</f>
        <v>0</v>
      </c>
      <c r="E76" s="197">
        <f t="shared" ref="E76:M76" si="44">E78+E80+E82+E84+E86+E88+E90+E92+E94+E96</f>
        <v>0</v>
      </c>
      <c r="F76" s="197">
        <f t="shared" si="44"/>
        <v>0</v>
      </c>
      <c r="G76" s="197">
        <f t="shared" si="44"/>
        <v>51154.532000000007</v>
      </c>
      <c r="H76" s="197">
        <f t="shared" si="44"/>
        <v>298619.94300000003</v>
      </c>
      <c r="I76" s="197">
        <f t="shared" si="44"/>
        <v>280208.05</v>
      </c>
      <c r="J76" s="197">
        <f t="shared" si="44"/>
        <v>253160.50399999999</v>
      </c>
      <c r="K76" s="197">
        <f t="shared" si="44"/>
        <v>70887.296000000002</v>
      </c>
      <c r="L76" s="197">
        <f t="shared" si="44"/>
        <v>175790.89499999999</v>
      </c>
      <c r="M76" s="197">
        <f t="shared" si="44"/>
        <v>113500.95</v>
      </c>
      <c r="N76" s="192">
        <f t="shared" si="22"/>
        <v>1243322.17</v>
      </c>
      <c r="O76" s="181"/>
      <c r="P76" s="188" t="str">
        <f>IF(N76-C75=0,"-",N76-C75)</f>
        <v>-</v>
      </c>
    </row>
    <row r="77" spans="1:16" ht="12" customHeight="1">
      <c r="A77" s="185" t="str">
        <f>'3 - PLAN. ORÇAMENTÁRIA'!A162</f>
        <v>4.1.1</v>
      </c>
      <c r="B77" s="185" t="str">
        <f>'3 - PLAN. ORÇAMENTÁRIA'!B162</f>
        <v>PAREDES</v>
      </c>
      <c r="C77" s="186">
        <f>'3 - PLAN. ORÇAMENTÁRIA'!J162</f>
        <v>81604.66</v>
      </c>
      <c r="D77" s="135" t="str">
        <f t="shared" ref="D77:M77" si="45">IF((D78/$C77)=0," ",D78/$C77)</f>
        <v xml:space="preserve"> </v>
      </c>
      <c r="E77" s="135" t="str">
        <f t="shared" si="45"/>
        <v xml:space="preserve"> </v>
      </c>
      <c r="F77" s="135" t="str">
        <f t="shared" si="45"/>
        <v xml:space="preserve"> </v>
      </c>
      <c r="G77" s="135">
        <f t="shared" si="45"/>
        <v>0.4</v>
      </c>
      <c r="H77" s="135">
        <f t="shared" si="45"/>
        <v>0.4</v>
      </c>
      <c r="I77" s="135">
        <v>0.2</v>
      </c>
      <c r="J77" s="135" t="str">
        <f t="shared" si="45"/>
        <v xml:space="preserve"> </v>
      </c>
      <c r="K77" s="135" t="str">
        <f t="shared" si="45"/>
        <v xml:space="preserve"> </v>
      </c>
      <c r="L77" s="135" t="str">
        <f t="shared" si="45"/>
        <v xml:space="preserve"> </v>
      </c>
      <c r="M77" s="135" t="str">
        <f t="shared" si="45"/>
        <v xml:space="preserve"> </v>
      </c>
      <c r="N77" s="187">
        <f t="shared" ref="N77:N108" si="46">SUM(D77:M77)</f>
        <v>1</v>
      </c>
      <c r="O77" s="181"/>
      <c r="P77" s="188" t="s">
        <v>886</v>
      </c>
    </row>
    <row r="78" spans="1:16" ht="12.95" customHeight="1">
      <c r="A78" s="189"/>
      <c r="B78" s="189"/>
      <c r="C78" s="190"/>
      <c r="D78" s="191"/>
      <c r="E78" s="191"/>
      <c r="F78" s="191"/>
      <c r="G78" s="191">
        <f>'3 - PLAN. ORÇAMENTÁRIA'!J162*0.4</f>
        <v>32641.864000000001</v>
      </c>
      <c r="H78" s="191">
        <f>'3 - PLAN. ORÇAMENTÁRIA'!J162*0.4</f>
        <v>32641.864000000001</v>
      </c>
      <c r="I78" s="191">
        <f>'3 - PLAN. ORÇAMENTÁRIA'!J162*0.2</f>
        <v>16320.932000000001</v>
      </c>
      <c r="J78" s="191"/>
      <c r="K78" s="191"/>
      <c r="L78" s="191"/>
      <c r="M78" s="191"/>
      <c r="N78" s="192">
        <f t="shared" si="46"/>
        <v>81604.66</v>
      </c>
      <c r="O78" s="181"/>
      <c r="P78" s="188" t="str">
        <f>IF(N78-C77=0,"-",N78-C77)</f>
        <v>-</v>
      </c>
    </row>
    <row r="79" spans="1:16" ht="12" customHeight="1">
      <c r="A79" s="185" t="str">
        <f>'3 - PLAN. ORÇAMENTÁRIA'!A172</f>
        <v>4.1.2</v>
      </c>
      <c r="B79" s="185" t="str">
        <f>'3 - PLAN. ORÇAMENTÁRIA'!B172</f>
        <v>ESQUADRIAS</v>
      </c>
      <c r="C79" s="186">
        <f>'3 - PLAN. ORÇAMENTÁRIA'!J172</f>
        <v>154085.32999999999</v>
      </c>
      <c r="D79" s="135" t="str">
        <f t="shared" ref="D79:M79" si="47">IF((D80/$C79)=0," ",D80/$C79)</f>
        <v xml:space="preserve"> </v>
      </c>
      <c r="E79" s="135" t="str">
        <f t="shared" si="47"/>
        <v xml:space="preserve"> </v>
      </c>
      <c r="F79" s="135" t="str">
        <f t="shared" si="47"/>
        <v xml:space="preserve"> </v>
      </c>
      <c r="G79" s="135" t="str">
        <f t="shared" si="47"/>
        <v xml:space="preserve"> </v>
      </c>
      <c r="H79" s="135">
        <f t="shared" si="47"/>
        <v>0.5</v>
      </c>
      <c r="I79" s="135">
        <f t="shared" si="47"/>
        <v>0.5</v>
      </c>
      <c r="J79" s="135" t="str">
        <f t="shared" si="47"/>
        <v xml:space="preserve"> </v>
      </c>
      <c r="K79" s="135" t="str">
        <f t="shared" si="47"/>
        <v xml:space="preserve"> </v>
      </c>
      <c r="L79" s="135" t="str">
        <f t="shared" si="47"/>
        <v xml:space="preserve"> </v>
      </c>
      <c r="M79" s="135" t="str">
        <f t="shared" si="47"/>
        <v xml:space="preserve"> </v>
      </c>
      <c r="N79" s="187">
        <f t="shared" si="46"/>
        <v>1</v>
      </c>
      <c r="O79" s="181"/>
      <c r="P79" s="188" t="s">
        <v>886</v>
      </c>
    </row>
    <row r="80" spans="1:16" ht="12.95" customHeight="1">
      <c r="A80" s="189"/>
      <c r="B80" s="189"/>
      <c r="C80" s="190"/>
      <c r="D80" s="191"/>
      <c r="E80" s="191"/>
      <c r="F80" s="191"/>
      <c r="G80" s="191"/>
      <c r="H80" s="191">
        <f>'3 - PLAN. ORÇAMENTÁRIA'!J172*0.5</f>
        <v>77042.664999999994</v>
      </c>
      <c r="I80" s="191">
        <f>'3 - PLAN. ORÇAMENTÁRIA'!J172*0.5</f>
        <v>77042.664999999994</v>
      </c>
      <c r="J80" s="191"/>
      <c r="K80" s="191"/>
      <c r="L80" s="191"/>
      <c r="M80" s="191"/>
      <c r="N80" s="192">
        <f t="shared" si="46"/>
        <v>154085.32999999999</v>
      </c>
      <c r="O80" s="181"/>
      <c r="P80" s="188" t="str">
        <f>IF(N80-C79=0,"-",N80-C79)</f>
        <v>-</v>
      </c>
    </row>
    <row r="81" spans="1:16" ht="12" customHeight="1">
      <c r="A81" s="185" t="str">
        <f>'3 - PLAN. ORÇAMENTÁRIA'!A194</f>
        <v>4.1.3</v>
      </c>
      <c r="B81" s="185" t="str">
        <f>'3 - PLAN. ORÇAMENTÁRIA'!B194</f>
        <v>JANELAS E DIVISÓRIAS INTERNAS</v>
      </c>
      <c r="C81" s="186">
        <f>'3 - PLAN. ORÇAMENTÁRIA'!J194</f>
        <v>176016.46000000002</v>
      </c>
      <c r="D81" s="135" t="str">
        <f t="shared" ref="D81:M81" si="48">IF((D82/$C81)=0," ",D82/$C81)</f>
        <v xml:space="preserve"> </v>
      </c>
      <c r="E81" s="135" t="str">
        <f t="shared" si="48"/>
        <v xml:space="preserve"> </v>
      </c>
      <c r="F81" s="135" t="str">
        <f t="shared" si="48"/>
        <v xml:space="preserve"> </v>
      </c>
      <c r="G81" s="135" t="str">
        <f t="shared" si="48"/>
        <v xml:space="preserve"> </v>
      </c>
      <c r="H81" s="135">
        <f t="shared" si="48"/>
        <v>0.5</v>
      </c>
      <c r="I81" s="135">
        <f t="shared" si="48"/>
        <v>0.5</v>
      </c>
      <c r="J81" s="135" t="str">
        <f t="shared" si="48"/>
        <v xml:space="preserve"> </v>
      </c>
      <c r="K81" s="135" t="str">
        <f t="shared" si="48"/>
        <v xml:space="preserve"> </v>
      </c>
      <c r="L81" s="135" t="str">
        <f t="shared" si="48"/>
        <v xml:space="preserve"> </v>
      </c>
      <c r="M81" s="135" t="str">
        <f t="shared" si="48"/>
        <v xml:space="preserve"> </v>
      </c>
      <c r="N81" s="187">
        <f t="shared" si="46"/>
        <v>1</v>
      </c>
      <c r="O81" s="181"/>
      <c r="P81" s="188" t="s">
        <v>886</v>
      </c>
    </row>
    <row r="82" spans="1:16" ht="12.95" customHeight="1">
      <c r="A82" s="189"/>
      <c r="B82" s="189"/>
      <c r="C82" s="190"/>
      <c r="D82" s="191"/>
      <c r="E82" s="191"/>
      <c r="F82" s="191"/>
      <c r="G82" s="191"/>
      <c r="H82" s="191">
        <f>'3 - PLAN. ORÇAMENTÁRIA'!J194*0.5</f>
        <v>88008.23000000001</v>
      </c>
      <c r="I82" s="191">
        <f>'3 - PLAN. ORÇAMENTÁRIA'!J194*0.5</f>
        <v>88008.23000000001</v>
      </c>
      <c r="J82" s="191"/>
      <c r="K82" s="191"/>
      <c r="L82" s="191"/>
      <c r="M82" s="191"/>
      <c r="N82" s="192">
        <f t="shared" si="46"/>
        <v>176016.46000000002</v>
      </c>
      <c r="O82" s="181"/>
      <c r="P82" s="188" t="str">
        <f>IF(N82-C81=0,"-",N82-C81)</f>
        <v>-</v>
      </c>
    </row>
    <row r="83" spans="1:16" ht="12" customHeight="1">
      <c r="A83" s="185" t="str">
        <f>'3 - PLAN. ORÇAMENTÁRIA'!A198</f>
        <v>4.1.4</v>
      </c>
      <c r="B83" s="185" t="str">
        <f>'3 - PLAN. ORÇAMENTÁRIA'!B198</f>
        <v>COBERTURA</v>
      </c>
      <c r="C83" s="186">
        <f>'3 - PLAN. ORÇAMENTÁRIA'!J198</f>
        <v>141065.94999999998</v>
      </c>
      <c r="D83" s="135" t="str">
        <f t="shared" ref="D83:M83" si="49">IF((D84/$C83)=0," ",D84/$C83)</f>
        <v xml:space="preserve"> </v>
      </c>
      <c r="E83" s="135" t="str">
        <f t="shared" si="49"/>
        <v xml:space="preserve"> </v>
      </c>
      <c r="F83" s="135" t="str">
        <f t="shared" si="49"/>
        <v xml:space="preserve"> </v>
      </c>
      <c r="G83" s="135" t="str">
        <f t="shared" si="49"/>
        <v xml:space="preserve"> </v>
      </c>
      <c r="H83" s="135" t="str">
        <f t="shared" si="49"/>
        <v xml:space="preserve"> </v>
      </c>
      <c r="I83" s="135" t="str">
        <f t="shared" si="49"/>
        <v xml:space="preserve"> </v>
      </c>
      <c r="J83" s="135">
        <f t="shared" si="49"/>
        <v>1</v>
      </c>
      <c r="K83" s="135" t="str">
        <f t="shared" si="49"/>
        <v xml:space="preserve"> </v>
      </c>
      <c r="L83" s="135" t="str">
        <f t="shared" si="49"/>
        <v xml:space="preserve"> </v>
      </c>
      <c r="M83" s="135" t="str">
        <f t="shared" si="49"/>
        <v xml:space="preserve"> </v>
      </c>
      <c r="N83" s="187">
        <f t="shared" si="46"/>
        <v>1</v>
      </c>
      <c r="O83" s="181"/>
      <c r="P83" s="188" t="s">
        <v>886</v>
      </c>
    </row>
    <row r="84" spans="1:16" ht="12.95" customHeight="1">
      <c r="A84" s="189"/>
      <c r="B84" s="189"/>
      <c r="C84" s="190"/>
      <c r="D84" s="191"/>
      <c r="E84" s="191"/>
      <c r="F84" s="191"/>
      <c r="G84" s="191"/>
      <c r="H84" s="191"/>
      <c r="I84" s="191"/>
      <c r="J84" s="191">
        <f>'3 - PLAN. ORÇAMENTÁRIA'!J198</f>
        <v>141065.94999999998</v>
      </c>
      <c r="K84" s="191"/>
      <c r="L84" s="191"/>
      <c r="M84" s="191"/>
      <c r="N84" s="192">
        <f t="shared" si="46"/>
        <v>141065.94999999998</v>
      </c>
      <c r="O84" s="181"/>
      <c r="P84" s="188" t="str">
        <f>IF(N84-C83=0,"-",N84-C83)</f>
        <v>-</v>
      </c>
    </row>
    <row r="85" spans="1:16" ht="12" customHeight="1">
      <c r="A85" s="185" t="str">
        <f>'3 - PLAN. ORÇAMENTÁRIA'!A206</f>
        <v>4.1.5.1</v>
      </c>
      <c r="B85" s="185" t="str">
        <f>'3 - PLAN. ORÇAMENTÁRIA'!B206</f>
        <v>REVESTIMENTOS PARA PISO</v>
      </c>
      <c r="C85" s="186">
        <f>'3 - PLAN. ORÇAMENTÁRIA'!J206</f>
        <v>206036.29</v>
      </c>
      <c r="D85" s="135" t="str">
        <f t="shared" ref="D85:M85" si="50">IF((D86/$C85)=0," ",D86/$C85)</f>
        <v xml:space="preserve"> </v>
      </c>
      <c r="E85" s="135" t="str">
        <f t="shared" si="50"/>
        <v xml:space="preserve"> </v>
      </c>
      <c r="F85" s="135" t="str">
        <f t="shared" si="50"/>
        <v xml:space="preserve"> </v>
      </c>
      <c r="G85" s="135" t="str">
        <f t="shared" si="50"/>
        <v xml:space="preserve"> </v>
      </c>
      <c r="H85" s="135">
        <f t="shared" si="50"/>
        <v>0.4</v>
      </c>
      <c r="I85" s="135">
        <f t="shared" si="50"/>
        <v>0.3</v>
      </c>
      <c r="J85" s="135">
        <f t="shared" si="50"/>
        <v>0.2</v>
      </c>
      <c r="K85" s="135" t="str">
        <f t="shared" si="50"/>
        <v xml:space="preserve"> </v>
      </c>
      <c r="L85" s="135" t="str">
        <f t="shared" si="50"/>
        <v xml:space="preserve"> </v>
      </c>
      <c r="M85" s="135">
        <f t="shared" si="50"/>
        <v>0.1</v>
      </c>
      <c r="N85" s="187">
        <f t="shared" si="46"/>
        <v>0.99999999999999989</v>
      </c>
      <c r="O85" s="181"/>
      <c r="P85" s="188" t="s">
        <v>886</v>
      </c>
    </row>
    <row r="86" spans="1:16" ht="12.75" customHeight="1">
      <c r="A86" s="189"/>
      <c r="B86" s="189"/>
      <c r="C86" s="190"/>
      <c r="D86" s="191"/>
      <c r="E86" s="191"/>
      <c r="F86" s="191"/>
      <c r="G86" s="191"/>
      <c r="H86" s="191">
        <f>'3 - PLAN. ORÇAMENTÁRIA'!J206*0.4</f>
        <v>82414.516000000003</v>
      </c>
      <c r="I86" s="191">
        <f>'3 - PLAN. ORÇAMENTÁRIA'!J206*0.3</f>
        <v>61810.887000000002</v>
      </c>
      <c r="J86" s="191">
        <f>'3 - PLAN. ORÇAMENTÁRIA'!J206*0.2</f>
        <v>41207.258000000002</v>
      </c>
      <c r="K86" s="191"/>
      <c r="L86" s="191"/>
      <c r="M86" s="191">
        <f>'3 - PLAN. ORÇAMENTÁRIA'!J206*0.1</f>
        <v>20603.629000000001</v>
      </c>
      <c r="N86" s="192">
        <f t="shared" si="46"/>
        <v>206036.28999999998</v>
      </c>
      <c r="O86" s="181"/>
      <c r="P86" s="188">
        <f>IF(N86-C85=0,"-",N86-C85)</f>
        <v>-2.9103830456733704E-11</v>
      </c>
    </row>
    <row r="87" spans="1:16" ht="12" customHeight="1">
      <c r="A87" s="185" t="str">
        <f>'3 - PLAN. ORÇAMENTÁRIA'!A224</f>
        <v>4.1.5.2</v>
      </c>
      <c r="B87" s="185" t="str">
        <f>'3 - PLAN. ORÇAMENTÁRIA'!B224</f>
        <v>REVESTIMENTOS PARA PAREDE</v>
      </c>
      <c r="C87" s="186">
        <f>'3 - PLAN. ORÇAMENTÁRIA'!J224</f>
        <v>185126.68</v>
      </c>
      <c r="D87" s="135" t="str">
        <f t="shared" ref="D87:M87" si="51">IF((D88/$C87)=0," ",D88/$C87)</f>
        <v xml:space="preserve"> </v>
      </c>
      <c r="E87" s="135" t="str">
        <f t="shared" si="51"/>
        <v xml:space="preserve"> </v>
      </c>
      <c r="F87" s="135" t="str">
        <f t="shared" si="51"/>
        <v xml:space="preserve"> </v>
      </c>
      <c r="G87" s="135">
        <f t="shared" si="51"/>
        <v>0.1</v>
      </c>
      <c r="H87" s="135">
        <f t="shared" si="51"/>
        <v>0.1</v>
      </c>
      <c r="I87" s="135">
        <v>0.2</v>
      </c>
      <c r="J87" s="135">
        <v>0.2</v>
      </c>
      <c r="K87" s="135">
        <v>0.2</v>
      </c>
      <c r="L87" s="135" t="str">
        <f t="shared" si="51"/>
        <v xml:space="preserve"> </v>
      </c>
      <c r="M87" s="135">
        <f t="shared" si="51"/>
        <v>0.2</v>
      </c>
      <c r="N87" s="187">
        <f t="shared" si="46"/>
        <v>1</v>
      </c>
      <c r="O87" s="181"/>
      <c r="P87" s="188" t="s">
        <v>886</v>
      </c>
    </row>
    <row r="88" spans="1:16" ht="12.95" customHeight="1">
      <c r="A88" s="189"/>
      <c r="B88" s="189"/>
      <c r="C88" s="190"/>
      <c r="D88" s="191"/>
      <c r="E88" s="191"/>
      <c r="F88" s="191"/>
      <c r="G88" s="191">
        <f>'3 - PLAN. ORÇAMENTÁRIA'!J224*0.1</f>
        <v>18512.668000000001</v>
      </c>
      <c r="H88" s="191">
        <f>'3 - PLAN. ORÇAMENTÁRIA'!J224*0.1</f>
        <v>18512.668000000001</v>
      </c>
      <c r="I88" s="191">
        <f>'3 - PLAN. ORÇAMENTÁRIA'!J224*0.2</f>
        <v>37025.336000000003</v>
      </c>
      <c r="J88" s="191">
        <f>'3 - PLAN. ORÇAMENTÁRIA'!J224*0.2</f>
        <v>37025.336000000003</v>
      </c>
      <c r="K88" s="191">
        <f>'3 - PLAN. ORÇAMENTÁRIA'!J224*0.2</f>
        <v>37025.336000000003</v>
      </c>
      <c r="L88" s="191"/>
      <c r="M88" s="191">
        <f>'3 - PLAN. ORÇAMENTÁRIA'!J224*0.2</f>
        <v>37025.336000000003</v>
      </c>
      <c r="N88" s="192">
        <f t="shared" si="46"/>
        <v>185126.68000000002</v>
      </c>
      <c r="O88" s="181"/>
      <c r="P88" s="188">
        <f>IF(N88-C87=0,"-",N88-C87)</f>
        <v>2.9103830456733704E-11</v>
      </c>
    </row>
    <row r="89" spans="1:16" ht="12" customHeight="1">
      <c r="A89" s="185" t="str">
        <f>'3 - PLAN. ORÇAMENTÁRIA'!A246</f>
        <v>4.1.5.3</v>
      </c>
      <c r="B89" s="185" t="str">
        <f>'3 - PLAN. ORÇAMENTÁRIA'!B246</f>
        <v>REVESTIMENTOS DE FORRO</v>
      </c>
      <c r="C89" s="186">
        <f>'3 - PLAN. ORÇAMENTÁRIA'!J246</f>
        <v>67723.92</v>
      </c>
      <c r="D89" s="135" t="str">
        <f t="shared" ref="D89:M89" si="52">IF((D90/$C89)=0," ",D90/$C89)</f>
        <v xml:space="preserve"> </v>
      </c>
      <c r="E89" s="135" t="str">
        <f t="shared" si="52"/>
        <v xml:space="preserve"> </v>
      </c>
      <c r="F89" s="135" t="str">
        <f t="shared" si="52"/>
        <v xml:space="preserve"> </v>
      </c>
      <c r="G89" s="135" t="str">
        <f t="shared" si="52"/>
        <v xml:space="preserve"> </v>
      </c>
      <c r="H89" s="135" t="str">
        <f t="shared" si="52"/>
        <v xml:space="preserve"> </v>
      </c>
      <c r="I89" s="135" t="str">
        <f t="shared" si="52"/>
        <v xml:space="preserve"> </v>
      </c>
      <c r="J89" s="135">
        <f t="shared" si="52"/>
        <v>0.5</v>
      </c>
      <c r="K89" s="135">
        <f t="shared" si="52"/>
        <v>0.5</v>
      </c>
      <c r="L89" s="135" t="str">
        <f t="shared" si="52"/>
        <v xml:space="preserve"> </v>
      </c>
      <c r="M89" s="135" t="str">
        <f t="shared" si="52"/>
        <v xml:space="preserve"> </v>
      </c>
      <c r="N89" s="187">
        <f t="shared" si="46"/>
        <v>1</v>
      </c>
      <c r="O89" s="181"/>
      <c r="P89" s="188" t="s">
        <v>886</v>
      </c>
    </row>
    <row r="90" spans="1:16" ht="12.95" customHeight="1">
      <c r="A90" s="189"/>
      <c r="B90" s="189"/>
      <c r="C90" s="190"/>
      <c r="D90" s="191"/>
      <c r="E90" s="191"/>
      <c r="F90" s="191"/>
      <c r="G90" s="191"/>
      <c r="H90" s="191"/>
      <c r="I90" s="191"/>
      <c r="J90" s="191">
        <f>'3 - PLAN. ORÇAMENTÁRIA'!J246*0.5</f>
        <v>33861.96</v>
      </c>
      <c r="K90" s="191">
        <f>'3 - PLAN. ORÇAMENTÁRIA'!J246*0.5</f>
        <v>33861.96</v>
      </c>
      <c r="L90" s="191"/>
      <c r="M90" s="191"/>
      <c r="N90" s="192">
        <f t="shared" si="46"/>
        <v>67723.92</v>
      </c>
      <c r="O90" s="181"/>
      <c r="P90" s="188" t="str">
        <f>IF(N90-C89=0,"-",N90-C89)</f>
        <v>-</v>
      </c>
    </row>
    <row r="91" spans="1:16" ht="12" customHeight="1">
      <c r="A91" s="185" t="str">
        <f>'3 - PLAN. ORÇAMENTÁRIA'!A252</f>
        <v>4.1.6</v>
      </c>
      <c r="B91" s="185" t="str">
        <f>'3 - PLAN. ORÇAMENTÁRIA'!B252</f>
        <v>SANITÁRIOS E COPAS</v>
      </c>
      <c r="C91" s="186">
        <f>'3 - PLAN. ORÇAMENTÁRIA'!J252</f>
        <v>111743.96999999999</v>
      </c>
      <c r="D91" s="135" t="str">
        <f t="shared" ref="D91:M91" si="53">IF((D92/$C91)=0," ",D92/$C91)</f>
        <v xml:space="preserve"> </v>
      </c>
      <c r="E91" s="135" t="str">
        <f t="shared" si="53"/>
        <v xml:space="preserve"> </v>
      </c>
      <c r="F91" s="135" t="str">
        <f t="shared" si="53"/>
        <v xml:space="preserve"> </v>
      </c>
      <c r="G91" s="135" t="str">
        <f t="shared" si="53"/>
        <v xml:space="preserve"> </v>
      </c>
      <c r="H91" s="135" t="str">
        <f t="shared" si="53"/>
        <v xml:space="preserve"> </v>
      </c>
      <c r="I91" s="135" t="str">
        <f t="shared" si="53"/>
        <v xml:space="preserve"> </v>
      </c>
      <c r="J91" s="135" t="str">
        <f t="shared" si="53"/>
        <v xml:space="preserve"> </v>
      </c>
      <c r="K91" s="135" t="str">
        <f t="shared" si="53"/>
        <v xml:space="preserve"> </v>
      </c>
      <c r="L91" s="135">
        <f t="shared" si="53"/>
        <v>0.5</v>
      </c>
      <c r="M91" s="135">
        <f t="shared" si="53"/>
        <v>0.5</v>
      </c>
      <c r="N91" s="187">
        <f t="shared" si="46"/>
        <v>1</v>
      </c>
      <c r="O91" s="181"/>
      <c r="P91" s="188" t="s">
        <v>886</v>
      </c>
    </row>
    <row r="92" spans="1:16" ht="12.95" customHeight="1">
      <c r="A92" s="189"/>
      <c r="B92" s="189"/>
      <c r="C92" s="190"/>
      <c r="D92" s="191"/>
      <c r="E92" s="191"/>
      <c r="F92" s="191"/>
      <c r="G92" s="191"/>
      <c r="H92" s="191"/>
      <c r="I92" s="191"/>
      <c r="J92" s="191"/>
      <c r="K92" s="191"/>
      <c r="L92" s="191">
        <f>'3 - PLAN. ORÇAMENTÁRIA'!J252*0.5</f>
        <v>55871.984999999993</v>
      </c>
      <c r="M92" s="191">
        <f>'3 - PLAN. ORÇAMENTÁRIA'!J252*0.5</f>
        <v>55871.984999999993</v>
      </c>
      <c r="N92" s="192">
        <f t="shared" si="46"/>
        <v>111743.96999999999</v>
      </c>
      <c r="O92" s="181"/>
      <c r="P92" s="188" t="str">
        <f>IF(N92-C91=0,"-",N92-C91)</f>
        <v>-</v>
      </c>
    </row>
    <row r="93" spans="1:16" ht="12" customHeight="1">
      <c r="A93" s="185" t="str">
        <f>'3 - PLAN. ORÇAMENTÁRIA'!A293</f>
        <v>4.1.7</v>
      </c>
      <c r="B93" s="185" t="str">
        <f>'3 - PLAN. ORÇAMENTÁRIA'!B293</f>
        <v>ACESSÓRIOS</v>
      </c>
      <c r="C93" s="186">
        <f>'3 - PLAN. ORÇAMENTÁRIA'!J293</f>
        <v>16507.009999999998</v>
      </c>
      <c r="D93" s="135" t="str">
        <f t="shared" ref="D93:M93" si="54">IF((D94/$C93)=0," ",D94/$C93)</f>
        <v xml:space="preserve"> </v>
      </c>
      <c r="E93" s="135" t="str">
        <f t="shared" si="54"/>
        <v xml:space="preserve"> </v>
      </c>
      <c r="F93" s="135" t="str">
        <f t="shared" si="54"/>
        <v xml:space="preserve"> </v>
      </c>
      <c r="G93" s="135" t="str">
        <f t="shared" si="54"/>
        <v xml:space="preserve"> </v>
      </c>
      <c r="H93" s="135" t="str">
        <f t="shared" si="54"/>
        <v xml:space="preserve"> </v>
      </c>
      <c r="I93" s="135" t="str">
        <f t="shared" si="54"/>
        <v xml:space="preserve"> </v>
      </c>
      <c r="J93" s="135" t="str">
        <f t="shared" si="54"/>
        <v xml:space="preserve"> </v>
      </c>
      <c r="K93" s="135" t="str">
        <f t="shared" si="54"/>
        <v xml:space="preserve"> </v>
      </c>
      <c r="L93" s="135">
        <f t="shared" si="54"/>
        <v>1</v>
      </c>
      <c r="M93" s="135" t="str">
        <f t="shared" si="54"/>
        <v xml:space="preserve"> </v>
      </c>
      <c r="N93" s="187">
        <f t="shared" si="46"/>
        <v>1</v>
      </c>
      <c r="O93" s="181"/>
      <c r="P93" s="188" t="s">
        <v>886</v>
      </c>
    </row>
    <row r="94" spans="1:16" ht="12.95" customHeight="1">
      <c r="A94" s="189"/>
      <c r="B94" s="189"/>
      <c r="C94" s="190"/>
      <c r="D94" s="191"/>
      <c r="E94" s="191"/>
      <c r="F94" s="191"/>
      <c r="G94" s="191"/>
      <c r="H94" s="191"/>
      <c r="I94" s="191"/>
      <c r="J94" s="191"/>
      <c r="K94" s="191"/>
      <c r="L94" s="191">
        <f>'3 - PLAN. ORÇAMENTÁRIA'!J293</f>
        <v>16507.009999999998</v>
      </c>
      <c r="M94" s="191"/>
      <c r="N94" s="192">
        <f t="shared" si="46"/>
        <v>16507.009999999998</v>
      </c>
      <c r="O94" s="181"/>
      <c r="P94" s="188" t="str">
        <f>IF(N94-C93=0,"-",N94-C93)</f>
        <v>-</v>
      </c>
    </row>
    <row r="95" spans="1:16" ht="12" customHeight="1">
      <c r="A95" s="185" t="str">
        <f>'3 - PLAN. ORÇAMENTÁRIA'!A295</f>
        <v>4.1.8</v>
      </c>
      <c r="B95" s="185" t="str">
        <f>'3 - PLAN. ORÇAMENTÁRIA'!B295</f>
        <v>ACM/LETREIRO FACHADA</v>
      </c>
      <c r="C95" s="186">
        <f>'3 - PLAN. ORÇAMENTÁRIA'!J295</f>
        <v>103411.9</v>
      </c>
      <c r="D95" s="135" t="str">
        <f t="shared" ref="D95:M95" si="55">IF((D96/$C95)=0," ",D96/$C95)</f>
        <v xml:space="preserve"> </v>
      </c>
      <c r="E95" s="135" t="str">
        <f t="shared" si="55"/>
        <v xml:space="preserve"> </v>
      </c>
      <c r="F95" s="135" t="str">
        <f t="shared" si="55"/>
        <v xml:space="preserve"> </v>
      </c>
      <c r="G95" s="135" t="str">
        <f t="shared" si="55"/>
        <v xml:space="preserve"> </v>
      </c>
      <c r="H95" s="135" t="str">
        <f t="shared" si="55"/>
        <v xml:space="preserve"> </v>
      </c>
      <c r="I95" s="135" t="str">
        <f t="shared" si="55"/>
        <v xml:space="preserve"> </v>
      </c>
      <c r="J95" s="135" t="str">
        <f t="shared" si="55"/>
        <v xml:space="preserve"> </v>
      </c>
      <c r="K95" s="135" t="str">
        <f t="shared" si="55"/>
        <v xml:space="preserve"> </v>
      </c>
      <c r="L95" s="135">
        <f t="shared" si="55"/>
        <v>1</v>
      </c>
      <c r="M95" s="135" t="str">
        <f t="shared" si="55"/>
        <v xml:space="preserve"> </v>
      </c>
      <c r="N95" s="187">
        <f t="shared" si="46"/>
        <v>1</v>
      </c>
      <c r="O95" s="181"/>
      <c r="P95" s="188" t="s">
        <v>886</v>
      </c>
    </row>
    <row r="96" spans="1:16" ht="12.95" customHeight="1">
      <c r="A96" s="189"/>
      <c r="B96" s="189"/>
      <c r="C96" s="190"/>
      <c r="D96" s="191"/>
      <c r="E96" s="191"/>
      <c r="F96" s="191"/>
      <c r="G96" s="191"/>
      <c r="H96" s="191"/>
      <c r="I96" s="191"/>
      <c r="J96" s="191"/>
      <c r="K96" s="191"/>
      <c r="L96" s="191">
        <f>'3 - PLAN. ORÇAMENTÁRIA'!J295</f>
        <v>103411.9</v>
      </c>
      <c r="M96" s="191"/>
      <c r="N96" s="192">
        <f t="shared" si="46"/>
        <v>103411.9</v>
      </c>
      <c r="O96" s="181"/>
      <c r="P96" s="188" t="str">
        <f>IF(N96-C95=0,"-",N96-C95)</f>
        <v>-</v>
      </c>
    </row>
    <row r="97" spans="1:16" ht="12" customHeight="1">
      <c r="A97" s="185" t="str">
        <f>'3 - PLAN. ORÇAMENTÁRIA'!A298</f>
        <v>4.2</v>
      </c>
      <c r="B97" s="185" t="str">
        <f>'3 - PLAN. ORÇAMENTÁRIA'!B298</f>
        <v>COMUNICAÇÃO VISUAL</v>
      </c>
      <c r="C97" s="186">
        <f>'3 - PLAN. ORÇAMENTÁRIA'!J298</f>
        <v>16064.889999999998</v>
      </c>
      <c r="D97" s="135" t="str">
        <f t="shared" ref="D97:M97" si="56">IF((D98/$C97)=0," ",D98/$C97)</f>
        <v xml:space="preserve"> </v>
      </c>
      <c r="E97" s="135" t="str">
        <f t="shared" si="56"/>
        <v xml:space="preserve"> </v>
      </c>
      <c r="F97" s="135" t="str">
        <f t="shared" si="56"/>
        <v xml:space="preserve"> </v>
      </c>
      <c r="G97" s="135" t="str">
        <f t="shared" si="56"/>
        <v xml:space="preserve"> </v>
      </c>
      <c r="H97" s="135" t="str">
        <f t="shared" si="56"/>
        <v xml:space="preserve"> </v>
      </c>
      <c r="I97" s="135" t="str">
        <f t="shared" si="56"/>
        <v xml:space="preserve"> </v>
      </c>
      <c r="J97" s="135" t="str">
        <f t="shared" si="56"/>
        <v xml:space="preserve"> </v>
      </c>
      <c r="K97" s="135" t="str">
        <f t="shared" si="56"/>
        <v xml:space="preserve"> </v>
      </c>
      <c r="L97" s="135" t="str">
        <f t="shared" si="56"/>
        <v xml:space="preserve"> </v>
      </c>
      <c r="M97" s="135">
        <f t="shared" si="56"/>
        <v>1</v>
      </c>
      <c r="N97" s="187">
        <f t="shared" si="46"/>
        <v>1</v>
      </c>
      <c r="O97" s="181"/>
      <c r="P97" s="188" t="s">
        <v>886</v>
      </c>
    </row>
    <row r="98" spans="1:16" ht="12.95" customHeight="1">
      <c r="A98" s="189"/>
      <c r="B98" s="189"/>
      <c r="C98" s="190"/>
      <c r="D98" s="191"/>
      <c r="E98" s="191"/>
      <c r="F98" s="191"/>
      <c r="G98" s="191"/>
      <c r="H98" s="191"/>
      <c r="I98" s="191"/>
      <c r="J98" s="191"/>
      <c r="K98" s="191"/>
      <c r="L98" s="191"/>
      <c r="M98" s="191">
        <f>'3 - PLAN. ORÇAMENTÁRIA'!J298</f>
        <v>16064.889999999998</v>
      </c>
      <c r="N98" s="192">
        <f t="shared" si="46"/>
        <v>16064.889999999998</v>
      </c>
      <c r="O98" s="181"/>
      <c r="P98" s="188" t="str">
        <f>IF(N98-C97=0,"-",N98-C97)</f>
        <v>-</v>
      </c>
    </row>
    <row r="99" spans="1:16" ht="12" customHeight="1">
      <c r="A99" s="185" t="str">
        <f>'3 - PLAN. ORÇAMENTÁRIA'!A307</f>
        <v>4.3</v>
      </c>
      <c r="B99" s="185" t="str">
        <f>'3 - PLAN. ORÇAMENTÁRIA'!B307</f>
        <v>PAISAGISMO</v>
      </c>
      <c r="C99" s="186">
        <f>'3 - PLAN. ORÇAMENTÁRIA'!J307</f>
        <v>166326.13</v>
      </c>
      <c r="D99" s="135" t="str">
        <f t="shared" ref="D99:M99" si="57">IF((D100/$C99)=0," ",D100/$C99)</f>
        <v xml:space="preserve"> </v>
      </c>
      <c r="E99" s="135" t="str">
        <f t="shared" si="57"/>
        <v xml:space="preserve"> </v>
      </c>
      <c r="F99" s="135" t="str">
        <f t="shared" si="57"/>
        <v xml:space="preserve"> </v>
      </c>
      <c r="G99" s="135" t="str">
        <f t="shared" si="57"/>
        <v xml:space="preserve"> </v>
      </c>
      <c r="H99" s="135" t="str">
        <f t="shared" si="57"/>
        <v xml:space="preserve"> </v>
      </c>
      <c r="I99" s="135" t="str">
        <f t="shared" si="57"/>
        <v xml:space="preserve"> </v>
      </c>
      <c r="J99" s="135" t="str">
        <f t="shared" si="57"/>
        <v xml:space="preserve"> </v>
      </c>
      <c r="K99" s="135" t="str">
        <f t="shared" si="57"/>
        <v xml:space="preserve"> </v>
      </c>
      <c r="L99" s="135">
        <f t="shared" si="57"/>
        <v>0.5</v>
      </c>
      <c r="M99" s="135">
        <f t="shared" si="57"/>
        <v>0.5</v>
      </c>
      <c r="N99" s="187">
        <f t="shared" si="46"/>
        <v>1</v>
      </c>
      <c r="O99" s="181"/>
      <c r="P99" s="188" t="s">
        <v>886</v>
      </c>
    </row>
    <row r="100" spans="1:16" ht="12.95" customHeight="1">
      <c r="A100" s="189"/>
      <c r="B100" s="189"/>
      <c r="C100" s="190"/>
      <c r="D100" s="191"/>
      <c r="E100" s="191"/>
      <c r="F100" s="191"/>
      <c r="G100" s="191"/>
      <c r="H100" s="191"/>
      <c r="I100" s="191"/>
      <c r="J100" s="191"/>
      <c r="K100" s="191"/>
      <c r="L100" s="191">
        <f>'3 - PLAN. ORÇAMENTÁRIA'!J307*0.5</f>
        <v>83163.065000000002</v>
      </c>
      <c r="M100" s="191">
        <f>'3 - PLAN. ORÇAMENTÁRIA'!J307*0.5</f>
        <v>83163.065000000002</v>
      </c>
      <c r="N100" s="192">
        <f t="shared" si="46"/>
        <v>166326.13</v>
      </c>
      <c r="O100" s="181"/>
      <c r="P100" s="188" t="str">
        <f>IF(N100-C99=0,"-",N100-C99)</f>
        <v>-</v>
      </c>
    </row>
    <row r="101" spans="1:16" ht="12" customHeight="1">
      <c r="A101" s="193" t="str">
        <f>'3 - PLAN. ORÇAMENTÁRIA'!A346</f>
        <v>4.4</v>
      </c>
      <c r="B101" s="193" t="str">
        <f>'3 - PLAN. ORÇAMENTÁRIA'!B346</f>
        <v>EXTERNO</v>
      </c>
      <c r="C101" s="194">
        <f>'3 - PLAN. ORÇAMENTÁRIA'!J346</f>
        <v>804164.91999999993</v>
      </c>
      <c r="D101" s="195" t="str">
        <f t="shared" ref="D101:M101" si="58">IF((D102/$C101)=0," ",D102/$C101)</f>
        <v xml:space="preserve"> </v>
      </c>
      <c r="E101" s="195" t="str">
        <f t="shared" si="58"/>
        <v xml:space="preserve"> </v>
      </c>
      <c r="F101" s="195">
        <f t="shared" si="58"/>
        <v>0.29317818290307912</v>
      </c>
      <c r="G101" s="195" t="str">
        <f t="shared" si="58"/>
        <v xml:space="preserve"> </v>
      </c>
      <c r="H101" s="195" t="str">
        <f t="shared" si="58"/>
        <v xml:space="preserve"> </v>
      </c>
      <c r="I101" s="195">
        <f t="shared" si="58"/>
        <v>5.4460193314575328E-2</v>
      </c>
      <c r="J101" s="195">
        <f t="shared" si="58"/>
        <v>0.27230096657287661</v>
      </c>
      <c r="K101" s="195">
        <f t="shared" si="58"/>
        <v>0.21922323843721014</v>
      </c>
      <c r="L101" s="195">
        <f t="shared" si="58"/>
        <v>0.16083741877225882</v>
      </c>
      <c r="M101" s="195" t="str">
        <f t="shared" si="58"/>
        <v xml:space="preserve"> </v>
      </c>
      <c r="N101" s="196">
        <f t="shared" si="46"/>
        <v>1</v>
      </c>
      <c r="O101" s="181"/>
      <c r="P101" s="188" t="s">
        <v>886</v>
      </c>
    </row>
    <row r="102" spans="1:16" ht="12.95" customHeight="1">
      <c r="A102" s="189"/>
      <c r="B102" s="189"/>
      <c r="C102" s="190"/>
      <c r="D102" s="197">
        <f t="shared" ref="D102:M102" si="59">D104+D106+D108+D110</f>
        <v>0</v>
      </c>
      <c r="E102" s="197">
        <f t="shared" si="59"/>
        <v>0</v>
      </c>
      <c r="F102" s="197">
        <f t="shared" si="59"/>
        <v>235763.61</v>
      </c>
      <c r="G102" s="197">
        <f t="shared" si="59"/>
        <v>0</v>
      </c>
      <c r="H102" s="197">
        <f t="shared" si="59"/>
        <v>0</v>
      </c>
      <c r="I102" s="197">
        <f t="shared" si="59"/>
        <v>43794.976999999999</v>
      </c>
      <c r="J102" s="197">
        <f t="shared" si="59"/>
        <v>218974.88499999998</v>
      </c>
      <c r="K102" s="197">
        <f t="shared" si="59"/>
        <v>176291.63800000001</v>
      </c>
      <c r="L102" s="197">
        <f t="shared" si="59"/>
        <v>129339.81</v>
      </c>
      <c r="M102" s="197">
        <f t="shared" si="59"/>
        <v>0</v>
      </c>
      <c r="N102" s="192">
        <f t="shared" si="46"/>
        <v>804164.91999999993</v>
      </c>
      <c r="O102" s="181"/>
      <c r="P102" s="188" t="str">
        <f>IF(N102-C101=0,"-",N102-C101)</f>
        <v>-</v>
      </c>
    </row>
    <row r="103" spans="1:16" ht="12" customHeight="1">
      <c r="A103" s="185" t="str">
        <f>'3 - PLAN. ORÇAMENTÁRIA'!A347</f>
        <v>4.4.1</v>
      </c>
      <c r="B103" s="185" t="str">
        <f>'3 - PLAN. ORÇAMENTÁRIA'!B347</f>
        <v>PISOS</v>
      </c>
      <c r="C103" s="186">
        <f>'3 - PLAN. ORÇAMENTÁRIA'!J347</f>
        <v>437949.76999999996</v>
      </c>
      <c r="D103" s="135" t="str">
        <f t="shared" ref="D103:M103" si="60">IF((D104/$C103)=0," ",D104/$C103)</f>
        <v xml:space="preserve"> </v>
      </c>
      <c r="E103" s="135" t="str">
        <f t="shared" si="60"/>
        <v xml:space="preserve"> </v>
      </c>
      <c r="F103" s="135" t="str">
        <f t="shared" si="60"/>
        <v xml:space="preserve"> </v>
      </c>
      <c r="G103" s="135" t="str">
        <f t="shared" si="60"/>
        <v xml:space="preserve"> </v>
      </c>
      <c r="H103" s="135" t="str">
        <f t="shared" si="60"/>
        <v xml:space="preserve"> </v>
      </c>
      <c r="I103" s="135">
        <v>0.1</v>
      </c>
      <c r="J103" s="135">
        <f t="shared" si="60"/>
        <v>0.5</v>
      </c>
      <c r="K103" s="135">
        <v>0.4</v>
      </c>
      <c r="L103" s="135" t="str">
        <f t="shared" si="60"/>
        <v xml:space="preserve"> </v>
      </c>
      <c r="M103" s="135" t="str">
        <f t="shared" si="60"/>
        <v xml:space="preserve"> </v>
      </c>
      <c r="N103" s="187">
        <f t="shared" si="46"/>
        <v>1</v>
      </c>
      <c r="O103" s="181"/>
      <c r="P103" s="188" t="s">
        <v>886</v>
      </c>
    </row>
    <row r="104" spans="1:16" ht="12.95" customHeight="1">
      <c r="A104" s="189"/>
      <c r="B104" s="189"/>
      <c r="C104" s="190"/>
      <c r="D104" s="191"/>
      <c r="E104" s="191"/>
      <c r="F104" s="191"/>
      <c r="G104" s="191"/>
      <c r="H104" s="191"/>
      <c r="I104" s="191">
        <f>'3 - PLAN. ORÇAMENTÁRIA'!J347*0.1</f>
        <v>43794.976999999999</v>
      </c>
      <c r="J104" s="191">
        <f>'3 - PLAN. ORÇAMENTÁRIA'!J347*0.5</f>
        <v>218974.88499999998</v>
      </c>
      <c r="K104" s="191">
        <f>'3 - PLAN. ORÇAMENTÁRIA'!J347*0.4</f>
        <v>175179.908</v>
      </c>
      <c r="L104" s="191"/>
      <c r="M104" s="191"/>
      <c r="N104" s="192">
        <f t="shared" si="46"/>
        <v>437949.76999999996</v>
      </c>
      <c r="O104" s="181"/>
      <c r="P104" s="188" t="str">
        <f>IF(N104-C103=0,"-",N104-C103)</f>
        <v>-</v>
      </c>
    </row>
    <row r="105" spans="1:16" ht="12" customHeight="1">
      <c r="A105" s="185" t="str">
        <f>'3 - PLAN. ORÇAMENTÁRIA'!A373</f>
        <v>4.4.2</v>
      </c>
      <c r="B105" s="185" t="str">
        <f>'3 - PLAN. ORÇAMENTÁRIA'!B373</f>
        <v>ESCADAS</v>
      </c>
      <c r="C105" s="186">
        <f>'3 - PLAN. ORÇAMENTÁRIA'!J373</f>
        <v>1111.73</v>
      </c>
      <c r="D105" s="135" t="str">
        <f t="shared" ref="D105:M105" si="61">IF((D106/$C105)=0," ",D106/$C105)</f>
        <v xml:space="preserve"> </v>
      </c>
      <c r="E105" s="135" t="str">
        <f t="shared" si="61"/>
        <v xml:space="preserve"> </v>
      </c>
      <c r="F105" s="135" t="str">
        <f t="shared" si="61"/>
        <v xml:space="preserve"> </v>
      </c>
      <c r="G105" s="135" t="str">
        <f t="shared" si="61"/>
        <v xml:space="preserve"> </v>
      </c>
      <c r="H105" s="135" t="str">
        <f t="shared" si="61"/>
        <v xml:space="preserve"> </v>
      </c>
      <c r="I105" s="135" t="str">
        <f t="shared" si="61"/>
        <v xml:space="preserve"> </v>
      </c>
      <c r="J105" s="135" t="str">
        <f t="shared" si="61"/>
        <v xml:space="preserve"> </v>
      </c>
      <c r="K105" s="135">
        <f t="shared" si="61"/>
        <v>1</v>
      </c>
      <c r="L105" s="135" t="str">
        <f t="shared" si="61"/>
        <v xml:space="preserve"> </v>
      </c>
      <c r="M105" s="135" t="str">
        <f t="shared" si="61"/>
        <v xml:space="preserve"> </v>
      </c>
      <c r="N105" s="187">
        <f t="shared" si="46"/>
        <v>1</v>
      </c>
      <c r="O105" s="181"/>
      <c r="P105" s="188" t="s">
        <v>886</v>
      </c>
    </row>
    <row r="106" spans="1:16" ht="12.95" customHeight="1">
      <c r="A106" s="189"/>
      <c r="B106" s="189"/>
      <c r="C106" s="190"/>
      <c r="D106" s="191"/>
      <c r="E106" s="191"/>
      <c r="F106" s="191"/>
      <c r="G106" s="191"/>
      <c r="H106" s="191"/>
      <c r="I106" s="191"/>
      <c r="J106" s="191"/>
      <c r="K106" s="191">
        <f>'3 - PLAN. ORÇAMENTÁRIA'!J373</f>
        <v>1111.73</v>
      </c>
      <c r="L106" s="191"/>
      <c r="M106" s="191"/>
      <c r="N106" s="192">
        <f t="shared" si="46"/>
        <v>1111.73</v>
      </c>
      <c r="O106" s="181"/>
      <c r="P106" s="188" t="str">
        <f>IF(N106-C105=0,"-",N106-C105)</f>
        <v>-</v>
      </c>
    </row>
    <row r="107" spans="1:16" ht="12" customHeight="1">
      <c r="A107" s="185" t="str">
        <f>'3 - PLAN. ORÇAMENTÁRIA'!A376</f>
        <v>4.4.3</v>
      </c>
      <c r="B107" s="185" t="str">
        <f>'3 - PLAN. ORÇAMENTÁRIA'!B376</f>
        <v>ACESSÓRIOS</v>
      </c>
      <c r="C107" s="186">
        <f>'3 - PLAN. ORÇAMENTÁRIA'!J376</f>
        <v>129339.81</v>
      </c>
      <c r="D107" s="135" t="str">
        <f t="shared" ref="D107:M107" si="62">IF((D108/$C107)=0," ",D108/$C107)</f>
        <v xml:space="preserve"> </v>
      </c>
      <c r="E107" s="135" t="str">
        <f t="shared" si="62"/>
        <v xml:space="preserve"> </v>
      </c>
      <c r="F107" s="135" t="str">
        <f t="shared" si="62"/>
        <v xml:space="preserve"> </v>
      </c>
      <c r="G107" s="135" t="str">
        <f t="shared" si="62"/>
        <v xml:space="preserve"> </v>
      </c>
      <c r="H107" s="135" t="str">
        <f t="shared" si="62"/>
        <v xml:space="preserve"> </v>
      </c>
      <c r="I107" s="135" t="str">
        <f t="shared" si="62"/>
        <v xml:space="preserve"> </v>
      </c>
      <c r="J107" s="135" t="str">
        <f t="shared" si="62"/>
        <v xml:space="preserve"> </v>
      </c>
      <c r="K107" s="135" t="str">
        <f t="shared" si="62"/>
        <v xml:space="preserve"> </v>
      </c>
      <c r="L107" s="135">
        <f t="shared" si="62"/>
        <v>1</v>
      </c>
      <c r="M107" s="135" t="str">
        <f t="shared" si="62"/>
        <v xml:space="preserve"> </v>
      </c>
      <c r="N107" s="187">
        <f t="shared" si="46"/>
        <v>1</v>
      </c>
      <c r="O107" s="181"/>
      <c r="P107" s="188" t="s">
        <v>886</v>
      </c>
    </row>
    <row r="108" spans="1:16" ht="12.95" customHeight="1">
      <c r="A108" s="189"/>
      <c r="B108" s="189"/>
      <c r="C108" s="190"/>
      <c r="D108" s="191"/>
      <c r="E108" s="191"/>
      <c r="F108" s="191"/>
      <c r="G108" s="191"/>
      <c r="H108" s="191"/>
      <c r="I108" s="191"/>
      <c r="J108" s="191"/>
      <c r="K108" s="191"/>
      <c r="L108" s="191">
        <f>'3 - PLAN. ORÇAMENTÁRIA'!J376</f>
        <v>129339.81</v>
      </c>
      <c r="M108" s="191"/>
      <c r="N108" s="192">
        <f t="shared" si="46"/>
        <v>129339.81</v>
      </c>
      <c r="O108" s="181"/>
      <c r="P108" s="188" t="str">
        <f>IF(N108-C107=0,"-",N108-C107)</f>
        <v>-</v>
      </c>
    </row>
    <row r="109" spans="1:16" ht="12" customHeight="1">
      <c r="A109" s="185" t="str">
        <f>'3 - PLAN. ORÇAMENTÁRIA'!A383</f>
        <v>4.4.4</v>
      </c>
      <c r="B109" s="185" t="str">
        <f>'3 - PLAN. ORÇAMENTÁRIA'!B383</f>
        <v>FECHAMENTO</v>
      </c>
      <c r="C109" s="186">
        <f>'3 - PLAN. ORÇAMENTÁRIA'!J383</f>
        <v>235763.61</v>
      </c>
      <c r="D109" s="135" t="str">
        <f t="shared" ref="D109:M109" si="63">IF((D110/$C109)=0," ",D110/$C109)</f>
        <v xml:space="preserve"> </v>
      </c>
      <c r="E109" s="135" t="str">
        <f t="shared" si="63"/>
        <v xml:space="preserve"> </v>
      </c>
      <c r="F109" s="135">
        <f t="shared" si="63"/>
        <v>1</v>
      </c>
      <c r="G109" s="135" t="str">
        <f t="shared" si="63"/>
        <v xml:space="preserve"> </v>
      </c>
      <c r="H109" s="135" t="str">
        <f t="shared" si="63"/>
        <v xml:space="preserve"> </v>
      </c>
      <c r="I109" s="135" t="str">
        <f t="shared" si="63"/>
        <v xml:space="preserve"> </v>
      </c>
      <c r="J109" s="135" t="str">
        <f t="shared" si="63"/>
        <v xml:space="preserve"> </v>
      </c>
      <c r="K109" s="135" t="str">
        <f t="shared" si="63"/>
        <v xml:space="preserve"> </v>
      </c>
      <c r="L109" s="135" t="str">
        <f t="shared" si="63"/>
        <v xml:space="preserve"> </v>
      </c>
      <c r="M109" s="135" t="str">
        <f t="shared" si="63"/>
        <v xml:space="preserve"> </v>
      </c>
      <c r="N109" s="187">
        <f t="shared" ref="N109:N142" si="64">SUM(D109:M109)</f>
        <v>1</v>
      </c>
      <c r="O109" s="181"/>
      <c r="P109" s="188" t="s">
        <v>886</v>
      </c>
    </row>
    <row r="110" spans="1:16" ht="12.95" customHeight="1">
      <c r="A110" s="189"/>
      <c r="B110" s="189"/>
      <c r="C110" s="190"/>
      <c r="D110" s="191"/>
      <c r="E110" s="191"/>
      <c r="F110" s="191">
        <f>'3 - PLAN. ORÇAMENTÁRIA'!J383</f>
        <v>235763.61</v>
      </c>
      <c r="G110" s="191"/>
      <c r="H110" s="191"/>
      <c r="I110" s="191"/>
      <c r="J110" s="191"/>
      <c r="K110" s="191"/>
      <c r="L110" s="191"/>
      <c r="M110" s="191"/>
      <c r="N110" s="192">
        <f t="shared" si="64"/>
        <v>235763.61</v>
      </c>
      <c r="O110" s="181"/>
      <c r="P110" s="188" t="str">
        <f>IF(N110-C109=0,"-",N110-C109)</f>
        <v>-</v>
      </c>
    </row>
    <row r="111" spans="1:16" ht="12" customHeight="1">
      <c r="A111" s="193" t="str">
        <f>'3 - PLAN. ORÇAMENTÁRIA'!A392</f>
        <v>05.00.000</v>
      </c>
      <c r="B111" s="193" t="str">
        <f>'3 - PLAN. ORÇAMENTÁRIA'!B392</f>
        <v>INSTALAÇÕES HIDRÁULICAS E SANITÁRIAS</v>
      </c>
      <c r="C111" s="194">
        <f>'3 - PLAN. ORÇAMENTÁRIA'!J392</f>
        <v>251090.56</v>
      </c>
      <c r="D111" s="195" t="str">
        <f t="shared" ref="D111:M111" si="65">IF((D112/$C111)=0," ",D112/$C111)</f>
        <v xml:space="preserve"> </v>
      </c>
      <c r="E111" s="195" t="str">
        <f t="shared" si="65"/>
        <v xml:space="preserve"> </v>
      </c>
      <c r="F111" s="195">
        <f t="shared" si="65"/>
        <v>3.6983755980312442E-2</v>
      </c>
      <c r="G111" s="195">
        <f t="shared" si="65"/>
        <v>3.6983755980312442E-2</v>
      </c>
      <c r="H111" s="195">
        <f t="shared" si="65"/>
        <v>0.16301624401968753</v>
      </c>
      <c r="I111" s="195">
        <f t="shared" si="65"/>
        <v>0.36301624401968752</v>
      </c>
      <c r="J111" s="195">
        <f t="shared" si="65"/>
        <v>0.28904873205906267</v>
      </c>
      <c r="K111" s="195">
        <f t="shared" si="65"/>
        <v>0.11095126794093732</v>
      </c>
      <c r="L111" s="195" t="str">
        <f t="shared" si="65"/>
        <v xml:space="preserve"> </v>
      </c>
      <c r="M111" s="195" t="str">
        <f t="shared" si="65"/>
        <v xml:space="preserve"> </v>
      </c>
      <c r="N111" s="196">
        <f t="shared" si="64"/>
        <v>0.99999999999999989</v>
      </c>
      <c r="O111" s="181"/>
      <c r="P111" s="188" t="s">
        <v>886</v>
      </c>
    </row>
    <row r="112" spans="1:16" ht="12.95" customHeight="1">
      <c r="A112" s="189"/>
      <c r="B112" s="189"/>
      <c r="C112" s="190"/>
      <c r="D112" s="197">
        <f t="shared" ref="D112:M112" si="66">D114+D116+D118+D120</f>
        <v>0</v>
      </c>
      <c r="E112" s="197">
        <f t="shared" si="66"/>
        <v>0</v>
      </c>
      <c r="F112" s="197">
        <f>F114+F116+F118+F120+F122</f>
        <v>9286.2720000000008</v>
      </c>
      <c r="G112" s="197">
        <f t="shared" ref="G112:K112" si="67">G114+G116+G118+G120+G122</f>
        <v>9286.2720000000008</v>
      </c>
      <c r="H112" s="197">
        <f t="shared" si="67"/>
        <v>40931.839999999997</v>
      </c>
      <c r="I112" s="197">
        <f t="shared" si="67"/>
        <v>91149.95199999999</v>
      </c>
      <c r="J112" s="197">
        <f t="shared" si="67"/>
        <v>72577.407999999996</v>
      </c>
      <c r="K112" s="197">
        <f t="shared" si="67"/>
        <v>27858.815999999999</v>
      </c>
      <c r="L112" s="197">
        <f t="shared" si="66"/>
        <v>0</v>
      </c>
      <c r="M112" s="197">
        <f t="shared" si="66"/>
        <v>0</v>
      </c>
      <c r="N112" s="192">
        <f t="shared" si="64"/>
        <v>251090.55999999997</v>
      </c>
      <c r="O112" s="181"/>
      <c r="P112" s="188">
        <f>IF(N112-C111=0,"-",N112-C111)</f>
        <v>-2.9103830456733704E-11</v>
      </c>
    </row>
    <row r="113" spans="1:16" ht="12" customHeight="1">
      <c r="A113" s="185" t="str">
        <f>'3 - PLAN. ORÇAMENTÁRIA'!A393</f>
        <v>5.1</v>
      </c>
      <c r="B113" s="185" t="str">
        <f>'3 - PLAN. ORÇAMENTÁRIA'!B393</f>
        <v>ÁGUA FRIA</v>
      </c>
      <c r="C113" s="186">
        <f>'3 - PLAN. ORÇAMENTÁRIA'!J393</f>
        <v>34979.440000000002</v>
      </c>
      <c r="D113" s="135" t="str">
        <f t="shared" ref="D113:M113" si="68">IF((D114/$C113)=0," ",D114/$C113)</f>
        <v xml:space="preserve"> </v>
      </c>
      <c r="E113" s="135" t="str">
        <f t="shared" si="68"/>
        <v xml:space="preserve"> </v>
      </c>
      <c r="F113" s="135">
        <f t="shared" si="68"/>
        <v>0.1</v>
      </c>
      <c r="G113" s="135">
        <f t="shared" si="68"/>
        <v>0.1</v>
      </c>
      <c r="H113" s="135">
        <f t="shared" si="68"/>
        <v>0.1</v>
      </c>
      <c r="I113" s="135">
        <f t="shared" si="68"/>
        <v>0.3</v>
      </c>
      <c r="J113" s="135">
        <f t="shared" si="68"/>
        <v>0.1</v>
      </c>
      <c r="K113" s="135">
        <v>0.3</v>
      </c>
      <c r="L113" s="135" t="str">
        <f t="shared" si="68"/>
        <v xml:space="preserve"> </v>
      </c>
      <c r="M113" s="135" t="str">
        <f t="shared" si="68"/>
        <v xml:space="preserve"> </v>
      </c>
      <c r="N113" s="187">
        <f t="shared" si="64"/>
        <v>1</v>
      </c>
      <c r="O113" s="181"/>
      <c r="P113" s="188" t="s">
        <v>886</v>
      </c>
    </row>
    <row r="114" spans="1:16" ht="12.95" customHeight="1">
      <c r="A114" s="189"/>
      <c r="B114" s="189"/>
      <c r="C114" s="190"/>
      <c r="D114" s="191"/>
      <c r="E114" s="191"/>
      <c r="F114" s="191">
        <f>'3 - PLAN. ORÇAMENTÁRIA'!J393*0.1</f>
        <v>3497.9440000000004</v>
      </c>
      <c r="G114" s="191">
        <f>'3 - PLAN. ORÇAMENTÁRIA'!J393*0.1</f>
        <v>3497.9440000000004</v>
      </c>
      <c r="H114" s="191">
        <f>'3 - PLAN. ORÇAMENTÁRIA'!J393*0.1</f>
        <v>3497.9440000000004</v>
      </c>
      <c r="I114" s="191">
        <f>'3 - PLAN. ORÇAMENTÁRIA'!J393*0.3</f>
        <v>10493.832</v>
      </c>
      <c r="J114" s="191">
        <f>'3 - PLAN. ORÇAMENTÁRIA'!J393*0.1</f>
        <v>3497.9440000000004</v>
      </c>
      <c r="K114" s="191">
        <f>'3 - PLAN. ORÇAMENTÁRIA'!J393*0.3</f>
        <v>10493.832</v>
      </c>
      <c r="L114" s="191"/>
      <c r="M114" s="191"/>
      <c r="N114" s="192">
        <f t="shared" si="64"/>
        <v>34979.440000000002</v>
      </c>
      <c r="O114" s="181"/>
      <c r="P114" s="188" t="str">
        <f>IF(N114-C113=0,"-",N114-C113)</f>
        <v>-</v>
      </c>
    </row>
    <row r="115" spans="1:16" ht="12" customHeight="1">
      <c r="A115" s="185" t="str">
        <f>'3 - PLAN. ORÇAMENTÁRIA'!A430</f>
        <v>5.2</v>
      </c>
      <c r="B115" s="185" t="str">
        <f>'3 - PLAN. ORÇAMENTÁRIA'!B430</f>
        <v>ÁGUA QUENTE</v>
      </c>
      <c r="C115" s="186">
        <f>'3 - PLAN. ORÇAMENTÁRIA'!J430</f>
        <v>618.3599999999999</v>
      </c>
      <c r="D115" s="135" t="str">
        <f t="shared" ref="D115:M115" si="69">IF((D116/$C115)=0," ",D116/$C115)</f>
        <v xml:space="preserve"> </v>
      </c>
      <c r="E115" s="135" t="str">
        <f t="shared" si="69"/>
        <v xml:space="preserve"> </v>
      </c>
      <c r="F115" s="135">
        <f t="shared" si="69"/>
        <v>0.1</v>
      </c>
      <c r="G115" s="135">
        <f t="shared" si="69"/>
        <v>0.1</v>
      </c>
      <c r="H115" s="135">
        <f t="shared" si="69"/>
        <v>0.1</v>
      </c>
      <c r="I115" s="135">
        <f t="shared" si="69"/>
        <v>0.3</v>
      </c>
      <c r="J115" s="135">
        <f t="shared" si="69"/>
        <v>0.1</v>
      </c>
      <c r="K115" s="135">
        <v>0.3</v>
      </c>
      <c r="L115" s="135" t="str">
        <f t="shared" si="69"/>
        <v xml:space="preserve"> </v>
      </c>
      <c r="M115" s="135" t="str">
        <f t="shared" si="69"/>
        <v xml:space="preserve"> </v>
      </c>
      <c r="N115" s="187">
        <f t="shared" si="64"/>
        <v>1</v>
      </c>
      <c r="O115" s="181"/>
      <c r="P115" s="188" t="s">
        <v>886</v>
      </c>
    </row>
    <row r="116" spans="1:16" ht="12.95" customHeight="1">
      <c r="A116" s="189"/>
      <c r="B116" s="189"/>
      <c r="C116" s="190"/>
      <c r="D116" s="191"/>
      <c r="E116" s="191"/>
      <c r="F116" s="191">
        <f>'3 - PLAN. ORÇAMENTÁRIA'!J430*0.1</f>
        <v>61.835999999999991</v>
      </c>
      <c r="G116" s="191">
        <f>'3 - PLAN. ORÇAMENTÁRIA'!J430*0.1</f>
        <v>61.835999999999991</v>
      </c>
      <c r="H116" s="191">
        <f>'3 - PLAN. ORÇAMENTÁRIA'!J430*0.1</f>
        <v>61.835999999999991</v>
      </c>
      <c r="I116" s="191">
        <f>'3 - PLAN. ORÇAMENTÁRIA'!J430*0.3</f>
        <v>185.50799999999995</v>
      </c>
      <c r="J116" s="191">
        <f>'3 - PLAN. ORÇAMENTÁRIA'!J430*0.1</f>
        <v>61.835999999999991</v>
      </c>
      <c r="K116" s="191">
        <f>'3 - PLAN. ORÇAMENTÁRIA'!J430*0.3</f>
        <v>185.50799999999995</v>
      </c>
      <c r="L116" s="191"/>
      <c r="M116" s="191"/>
      <c r="N116" s="192">
        <f t="shared" si="64"/>
        <v>618.3599999999999</v>
      </c>
      <c r="O116" s="181"/>
      <c r="P116" s="188" t="str">
        <f>IF(N116-C115=0,"-",N116-C115)</f>
        <v>-</v>
      </c>
    </row>
    <row r="117" spans="1:16" ht="12" customHeight="1">
      <c r="A117" s="185" t="str">
        <f>'3 - PLAN. ORÇAMENTÁRIA'!A437</f>
        <v>5.3</v>
      </c>
      <c r="B117" s="185" t="str">
        <f>'3 - PLAN. ORÇAMENTÁRIA'!B437</f>
        <v>DRENAGEM PLUVIAL</v>
      </c>
      <c r="C117" s="186">
        <f>'3 - PLAN. ORÇAMENTÁRIA'!J437</f>
        <v>158227.84</v>
      </c>
      <c r="D117" s="135" t="str">
        <f t="shared" ref="D117:M117" si="70">IF((D118/$C117)=0," ",D118/$C117)</f>
        <v xml:space="preserve"> </v>
      </c>
      <c r="E117" s="135" t="str">
        <f t="shared" si="70"/>
        <v xml:space="preserve"> </v>
      </c>
      <c r="F117" s="135" t="str">
        <f t="shared" si="70"/>
        <v xml:space="preserve"> </v>
      </c>
      <c r="G117" s="135" t="str">
        <f t="shared" si="70"/>
        <v xml:space="preserve"> </v>
      </c>
      <c r="H117" s="135">
        <f t="shared" si="70"/>
        <v>0.2</v>
      </c>
      <c r="I117" s="135">
        <f t="shared" si="70"/>
        <v>0.4</v>
      </c>
      <c r="J117" s="135">
        <f t="shared" si="70"/>
        <v>0.4</v>
      </c>
      <c r="K117" s="135" t="str">
        <f t="shared" si="70"/>
        <v xml:space="preserve"> </v>
      </c>
      <c r="L117" s="135" t="str">
        <f t="shared" si="70"/>
        <v xml:space="preserve"> </v>
      </c>
      <c r="M117" s="135" t="str">
        <f t="shared" si="70"/>
        <v xml:space="preserve"> </v>
      </c>
      <c r="N117" s="187">
        <f t="shared" si="64"/>
        <v>1</v>
      </c>
      <c r="O117" s="181"/>
      <c r="P117" s="188" t="s">
        <v>886</v>
      </c>
    </row>
    <row r="118" spans="1:16" ht="12.95" customHeight="1">
      <c r="A118" s="189"/>
      <c r="B118" s="189"/>
      <c r="C118" s="190"/>
      <c r="D118" s="191"/>
      <c r="E118" s="191"/>
      <c r="F118" s="191"/>
      <c r="G118" s="191"/>
      <c r="H118" s="191">
        <f>'3 - PLAN. ORÇAMENTÁRIA'!J437*0.2</f>
        <v>31645.567999999999</v>
      </c>
      <c r="I118" s="191">
        <f>'3 - PLAN. ORÇAMENTÁRIA'!J437*0.4</f>
        <v>63291.135999999999</v>
      </c>
      <c r="J118" s="191">
        <f>'3 - PLAN. ORÇAMENTÁRIA'!J437*0.4</f>
        <v>63291.135999999999</v>
      </c>
      <c r="K118" s="191"/>
      <c r="L118" s="191"/>
      <c r="M118" s="191"/>
      <c r="N118" s="192">
        <f t="shared" si="64"/>
        <v>158227.84</v>
      </c>
      <c r="O118" s="181"/>
      <c r="P118" s="188" t="str">
        <f>IF(N118-C117=0,"-",N118-C117)</f>
        <v>-</v>
      </c>
    </row>
    <row r="119" spans="1:16" ht="12" customHeight="1">
      <c r="A119" s="185" t="str">
        <f>'3 - PLAN. ORÇAMENTÁRIA'!A484</f>
        <v>5.4</v>
      </c>
      <c r="B119" s="185" t="str">
        <f>'3 - PLAN. ORÇAMENTÁRIA'!B484</f>
        <v>ESGOTOS SANITÁRIOS</v>
      </c>
      <c r="C119" s="186">
        <f>'3 - PLAN. ORÇAMENTÁRIA'!J484</f>
        <v>32202.46</v>
      </c>
      <c r="D119" s="135" t="str">
        <f t="shared" ref="D119:M121" si="71">IF((D120/$C119)=0," ",D120/$C119)</f>
        <v xml:space="preserve"> </v>
      </c>
      <c r="E119" s="135" t="str">
        <f t="shared" si="71"/>
        <v xml:space="preserve"> </v>
      </c>
      <c r="F119" s="135">
        <f t="shared" si="71"/>
        <v>0.1</v>
      </c>
      <c r="G119" s="135">
        <f t="shared" si="71"/>
        <v>0.1</v>
      </c>
      <c r="H119" s="135">
        <f t="shared" si="71"/>
        <v>0.1</v>
      </c>
      <c r="I119" s="135">
        <f t="shared" si="71"/>
        <v>0.3</v>
      </c>
      <c r="J119" s="135">
        <f t="shared" si="71"/>
        <v>0.1</v>
      </c>
      <c r="K119" s="135">
        <v>0.3</v>
      </c>
      <c r="L119" s="135" t="str">
        <f t="shared" si="71"/>
        <v xml:space="preserve"> </v>
      </c>
      <c r="M119" s="135" t="str">
        <f t="shared" si="71"/>
        <v xml:space="preserve"> </v>
      </c>
      <c r="N119" s="187">
        <f t="shared" si="64"/>
        <v>1</v>
      </c>
      <c r="O119" s="181"/>
      <c r="P119" s="188" t="s">
        <v>886</v>
      </c>
    </row>
    <row r="120" spans="1:16" ht="12.95" customHeight="1">
      <c r="A120" s="189"/>
      <c r="B120" s="189"/>
      <c r="C120" s="190"/>
      <c r="D120" s="191"/>
      <c r="E120" s="191"/>
      <c r="F120" s="191">
        <f>'3 - PLAN. ORÇAMENTÁRIA'!J484*0.1</f>
        <v>3220.2460000000001</v>
      </c>
      <c r="G120" s="191">
        <f>'3 - PLAN. ORÇAMENTÁRIA'!J484*0.1</f>
        <v>3220.2460000000001</v>
      </c>
      <c r="H120" s="191">
        <f>'3 - PLAN. ORÇAMENTÁRIA'!J484*0.1</f>
        <v>3220.2460000000001</v>
      </c>
      <c r="I120" s="191">
        <f>'3 - PLAN. ORÇAMENTÁRIA'!J484*0.3</f>
        <v>9660.7379999999994</v>
      </c>
      <c r="J120" s="191">
        <f>'3 - PLAN. ORÇAMENTÁRIA'!J484*0.1</f>
        <v>3220.2460000000001</v>
      </c>
      <c r="K120" s="191">
        <f>'3 - PLAN. ORÇAMENTÁRIA'!J484*0.3</f>
        <v>9660.7379999999994</v>
      </c>
      <c r="L120" s="191"/>
      <c r="M120" s="191"/>
      <c r="N120" s="192">
        <f t="shared" si="64"/>
        <v>32202.46</v>
      </c>
      <c r="O120" s="181"/>
      <c r="P120" s="188" t="str">
        <f>IF(N120-C119=0,"-",N120-C119)</f>
        <v>-</v>
      </c>
    </row>
    <row r="121" spans="1:16" ht="12.95" customHeight="1">
      <c r="A121" s="372" t="str">
        <f>'3 - PLAN. ORÇAMENTÁRIA'!A507</f>
        <v>5.5</v>
      </c>
      <c r="B121" s="372" t="str">
        <f>'3 - PLAN. ORÇAMENTÁRIA'!B507</f>
        <v>SERVIÇOS DIVERSOS</v>
      </c>
      <c r="C121" s="373">
        <f>'3 - PLAN. ORÇAMENTÁRIA'!J507</f>
        <v>25062.46</v>
      </c>
      <c r="D121" s="374"/>
      <c r="E121" s="374"/>
      <c r="F121" s="135">
        <f t="shared" si="71"/>
        <v>0.1</v>
      </c>
      <c r="G121" s="135">
        <f t="shared" si="71"/>
        <v>0.1</v>
      </c>
      <c r="H121" s="135">
        <f t="shared" si="71"/>
        <v>0.1</v>
      </c>
      <c r="I121" s="135">
        <f t="shared" si="71"/>
        <v>0.3</v>
      </c>
      <c r="J121" s="135">
        <f t="shared" si="71"/>
        <v>0.1</v>
      </c>
      <c r="K121" s="135">
        <f t="shared" si="71"/>
        <v>0.3</v>
      </c>
      <c r="L121" s="374"/>
      <c r="M121" s="374"/>
      <c r="N121" s="187">
        <f t="shared" si="64"/>
        <v>1</v>
      </c>
      <c r="O121" s="181"/>
      <c r="P121" s="188"/>
    </row>
    <row r="122" spans="1:16" ht="12.95" customHeight="1">
      <c r="A122" s="372"/>
      <c r="B122" s="372"/>
      <c r="C122" s="373"/>
      <c r="D122" s="374"/>
      <c r="E122" s="374"/>
      <c r="F122" s="191">
        <f>'3 - PLAN. ORÇAMENTÁRIA'!J507*0.1</f>
        <v>2506.2460000000001</v>
      </c>
      <c r="G122" s="191">
        <f>'3 - PLAN. ORÇAMENTÁRIA'!J507*0.1</f>
        <v>2506.2460000000001</v>
      </c>
      <c r="H122" s="191">
        <f>'3 - PLAN. ORÇAMENTÁRIA'!J507*0.1</f>
        <v>2506.2460000000001</v>
      </c>
      <c r="I122" s="191">
        <f>'3 - PLAN. ORÇAMENTÁRIA'!J507*0.3</f>
        <v>7518.7379999999994</v>
      </c>
      <c r="J122" s="191">
        <f>'3 - PLAN. ORÇAMENTÁRIA'!J507*0.1</f>
        <v>2506.2460000000001</v>
      </c>
      <c r="K122" s="191">
        <f>'3 - PLAN. ORÇAMENTÁRIA'!J507*0.3</f>
        <v>7518.7379999999994</v>
      </c>
      <c r="L122" s="374"/>
      <c r="M122" s="374"/>
      <c r="N122" s="192">
        <f t="shared" si="64"/>
        <v>25062.46</v>
      </c>
      <c r="O122" s="181"/>
      <c r="P122" s="188"/>
    </row>
    <row r="123" spans="1:16" ht="12" customHeight="1">
      <c r="A123" s="193" t="str">
        <f>'3 - PLAN. ORÇAMENTÁRIA'!A515</f>
        <v>06.00.000</v>
      </c>
      <c r="B123" s="193" t="str">
        <f>'3 - PLAN. ORÇAMENTÁRIA'!B515</f>
        <v>INSTALAÇÕES ELÉTRICAS E ELETRÔNICAS</v>
      </c>
      <c r="C123" s="194">
        <f>'3 - PLAN. ORÇAMENTÁRIA'!J515</f>
        <v>838745.17999999993</v>
      </c>
      <c r="D123" s="195">
        <f t="shared" ref="D123:M123" si="72">IF((D124/$C123)=0," ",D124/$C123)</f>
        <v>0.11740910391878498</v>
      </c>
      <c r="E123" s="195" t="str">
        <f t="shared" si="72"/>
        <v xml:space="preserve"> </v>
      </c>
      <c r="F123" s="195">
        <f t="shared" si="72"/>
        <v>5.3320118036326622E-2</v>
      </c>
      <c r="G123" s="195">
        <f t="shared" si="72"/>
        <v>5.8016629675296617E-2</v>
      </c>
      <c r="H123" s="195">
        <f t="shared" si="72"/>
        <v>6.3727245502620961E-3</v>
      </c>
      <c r="I123" s="195">
        <f t="shared" si="72"/>
        <v>7.0762078775820803E-2</v>
      </c>
      <c r="J123" s="195">
        <f t="shared" si="72"/>
        <v>0.13054655765652209</v>
      </c>
      <c r="K123" s="195">
        <f t="shared" si="72"/>
        <v>0.35800129367062361</v>
      </c>
      <c r="L123" s="195">
        <f t="shared" si="72"/>
        <v>0.15756423124839897</v>
      </c>
      <c r="M123" s="195">
        <f t="shared" si="72"/>
        <v>4.8007262467964357E-2</v>
      </c>
      <c r="N123" s="196">
        <f t="shared" si="64"/>
        <v>1.0000000000000002</v>
      </c>
      <c r="O123" s="181"/>
      <c r="P123" s="188" t="s">
        <v>886</v>
      </c>
    </row>
    <row r="124" spans="1:16" ht="12.95" customHeight="1">
      <c r="A124" s="189"/>
      <c r="B124" s="189"/>
      <c r="C124" s="190"/>
      <c r="D124" s="197">
        <f>D126+D140+D142+D144+D146+D148+D150</f>
        <v>98476.32</v>
      </c>
      <c r="E124" s="197">
        <f t="shared" ref="E124:M124" si="73">E126+E140+E142+E144+E146+E148+E150</f>
        <v>0</v>
      </c>
      <c r="F124" s="197">
        <f t="shared" si="73"/>
        <v>44721.992000000013</v>
      </c>
      <c r="G124" s="197">
        <f t="shared" si="73"/>
        <v>48661.1685</v>
      </c>
      <c r="H124" s="197">
        <f t="shared" si="73"/>
        <v>5345.0920000000006</v>
      </c>
      <c r="I124" s="197">
        <f t="shared" si="73"/>
        <v>59351.352499999994</v>
      </c>
      <c r="J124" s="197">
        <f t="shared" si="73"/>
        <v>109495.296</v>
      </c>
      <c r="K124" s="197">
        <f t="shared" si="73"/>
        <v>300271.85950000002</v>
      </c>
      <c r="L124" s="197">
        <f t="shared" si="73"/>
        <v>132156.2395</v>
      </c>
      <c r="M124" s="197">
        <f t="shared" si="73"/>
        <v>40265.860000000008</v>
      </c>
      <c r="N124" s="192">
        <f t="shared" si="64"/>
        <v>838745.18</v>
      </c>
      <c r="O124" s="181"/>
      <c r="P124" s="188">
        <f>IF(N124-C123=0,"-",N124-C123)</f>
        <v>1.1641532182693481E-10</v>
      </c>
    </row>
    <row r="125" spans="1:16" ht="12" customHeight="1">
      <c r="A125" s="193" t="str">
        <f>'3 - PLAN. ORÇAMENTÁRIA'!A516</f>
        <v>6.1</v>
      </c>
      <c r="B125" s="193" t="str">
        <f>'3 - PLAN. ORÇAMENTÁRIA'!B516</f>
        <v>INSTALAÇÕES ELÉTRICAS</v>
      </c>
      <c r="C125" s="194">
        <f>'3 - PLAN. ORÇAMENTÁRIA'!J516</f>
        <v>537522.24</v>
      </c>
      <c r="D125" s="195">
        <f t="shared" ref="D125:M125" si="74">IF((D126/$C125)=0," ",D126/$C125)</f>
        <v>0.18320417774713843</v>
      </c>
      <c r="E125" s="195" t="str">
        <f t="shared" si="74"/>
        <v xml:space="preserve"> </v>
      </c>
      <c r="F125" s="195">
        <f t="shared" si="74"/>
        <v>9.9439457612023659E-3</v>
      </c>
      <c r="G125" s="195">
        <f t="shared" si="74"/>
        <v>9.9439457612023659E-3</v>
      </c>
      <c r="H125" s="195">
        <f t="shared" si="74"/>
        <v>9.9439457612023659E-3</v>
      </c>
      <c r="I125" s="195">
        <f t="shared" si="74"/>
        <v>2.9831837283607089E-2</v>
      </c>
      <c r="J125" s="195">
        <f t="shared" si="74"/>
        <v>0.20370375000669741</v>
      </c>
      <c r="K125" s="195">
        <f t="shared" si="74"/>
        <v>0.40214630933224277</v>
      </c>
      <c r="L125" s="195">
        <f t="shared" si="74"/>
        <v>0.15128208834670731</v>
      </c>
      <c r="M125" s="195" t="str">
        <f t="shared" si="74"/>
        <v xml:space="preserve"> </v>
      </c>
      <c r="N125" s="196">
        <f t="shared" si="64"/>
        <v>1</v>
      </c>
      <c r="O125" s="181"/>
      <c r="P125" s="188" t="s">
        <v>886</v>
      </c>
    </row>
    <row r="126" spans="1:16" ht="12.95" customHeight="1">
      <c r="A126" s="189"/>
      <c r="B126" s="189"/>
      <c r="C126" s="190"/>
      <c r="D126" s="197">
        <f t="shared" ref="D126:M126" si="75">D128+D130+D132+D134+D136+D138</f>
        <v>98476.32</v>
      </c>
      <c r="E126" s="197">
        <f t="shared" si="75"/>
        <v>0</v>
      </c>
      <c r="F126" s="197">
        <f t="shared" si="75"/>
        <v>5345.0920000000006</v>
      </c>
      <c r="G126" s="197">
        <f t="shared" si="75"/>
        <v>5345.0920000000006</v>
      </c>
      <c r="H126" s="197">
        <f t="shared" si="75"/>
        <v>5345.0920000000006</v>
      </c>
      <c r="I126" s="197">
        <f t="shared" si="75"/>
        <v>16035.275999999998</v>
      </c>
      <c r="J126" s="197">
        <f t="shared" si="75"/>
        <v>109495.296</v>
      </c>
      <c r="K126" s="197">
        <f t="shared" si="75"/>
        <v>216162.58500000002</v>
      </c>
      <c r="L126" s="197">
        <f t="shared" si="75"/>
        <v>81317.487000000008</v>
      </c>
      <c r="M126" s="197">
        <f t="shared" si="75"/>
        <v>0</v>
      </c>
      <c r="N126" s="192">
        <f t="shared" si="64"/>
        <v>537522.24</v>
      </c>
      <c r="O126" s="181"/>
      <c r="P126" s="188" t="str">
        <f>IF(N126-C125=0,"-",N126-C125)</f>
        <v>-</v>
      </c>
    </row>
    <row r="127" spans="1:16" ht="12" customHeight="1">
      <c r="A127" s="185" t="str">
        <f>'3 - PLAN. ORÇAMENTÁRIA'!A517</f>
        <v>6.1.1</v>
      </c>
      <c r="B127" s="185" t="str">
        <f>'3 - PLAN. ORÇAMENTÁRIA'!B517</f>
        <v>ELETRODUTOS E LEITOS</v>
      </c>
      <c r="C127" s="186">
        <f>'3 - PLAN. ORÇAMENTÁRIA'!J517</f>
        <v>53450.92</v>
      </c>
      <c r="D127" s="135" t="str">
        <f t="shared" ref="D127:M127" si="76">IF((D128/$C127)=0," ",D128/$C127)</f>
        <v xml:space="preserve"> </v>
      </c>
      <c r="E127" s="135" t="str">
        <f t="shared" si="76"/>
        <v xml:space="preserve"> </v>
      </c>
      <c r="F127" s="135">
        <f t="shared" si="76"/>
        <v>0.10000000000000002</v>
      </c>
      <c r="G127" s="135">
        <f t="shared" si="76"/>
        <v>0.10000000000000002</v>
      </c>
      <c r="H127" s="135">
        <f t="shared" si="76"/>
        <v>0.10000000000000002</v>
      </c>
      <c r="I127" s="135">
        <f t="shared" si="76"/>
        <v>0.3</v>
      </c>
      <c r="J127" s="135">
        <f t="shared" si="76"/>
        <v>5.000000000000001E-2</v>
      </c>
      <c r="K127" s="135">
        <f t="shared" si="76"/>
        <v>0.25</v>
      </c>
      <c r="L127" s="135">
        <f t="shared" si="76"/>
        <v>0.10000000000000002</v>
      </c>
      <c r="M127" s="135" t="str">
        <f t="shared" si="76"/>
        <v xml:space="preserve"> </v>
      </c>
      <c r="N127" s="187">
        <f t="shared" si="64"/>
        <v>1.0000000000000002</v>
      </c>
      <c r="O127" s="181"/>
      <c r="P127" s="188" t="s">
        <v>886</v>
      </c>
    </row>
    <row r="128" spans="1:16" ht="12.95" customHeight="1">
      <c r="A128" s="189"/>
      <c r="B128" s="189"/>
      <c r="C128" s="190"/>
      <c r="D128" s="191"/>
      <c r="E128" s="191"/>
      <c r="F128" s="191">
        <f>'3 - PLAN. ORÇAMENTÁRIA'!J517*0.1</f>
        <v>5345.0920000000006</v>
      </c>
      <c r="G128" s="191">
        <f>'3 - PLAN. ORÇAMENTÁRIA'!J517*0.1</f>
        <v>5345.0920000000006</v>
      </c>
      <c r="H128" s="191">
        <f>'3 - PLAN. ORÇAMENTÁRIA'!J517*0.1</f>
        <v>5345.0920000000006</v>
      </c>
      <c r="I128" s="191">
        <f>'3 - PLAN. ORÇAMENTÁRIA'!J517*0.3</f>
        <v>16035.275999999998</v>
      </c>
      <c r="J128" s="191">
        <f>'3 - PLAN. ORÇAMENTÁRIA'!J517*0.05</f>
        <v>2672.5460000000003</v>
      </c>
      <c r="K128" s="191">
        <f>'3 - PLAN. ORÇAMENTÁRIA'!J517*0.25</f>
        <v>13362.73</v>
      </c>
      <c r="L128" s="191">
        <f>'3 - PLAN. ORÇAMENTÁRIA'!J517*0.1</f>
        <v>5345.0920000000006</v>
      </c>
      <c r="M128" s="191"/>
      <c r="N128" s="192">
        <f t="shared" si="64"/>
        <v>53450.92</v>
      </c>
      <c r="O128" s="181"/>
      <c r="P128" s="188" t="str">
        <f>IF(N128-C127=0,"-",N128-C127)</f>
        <v>-</v>
      </c>
    </row>
    <row r="129" spans="1:16" ht="12" customHeight="1">
      <c r="A129" s="185" t="str">
        <f>'3 - PLAN. ORÇAMENTÁRIA'!A528</f>
        <v>6.1.2</v>
      </c>
      <c r="B129" s="185" t="str">
        <f>'3 - PLAN. ORÇAMENTÁRIA'!B528</f>
        <v>QUADROS E CAIXAS</v>
      </c>
      <c r="C129" s="186">
        <f>'3 - PLAN. ORÇAMENTÁRIA'!J528</f>
        <v>20004.71</v>
      </c>
      <c r="D129" s="135" t="str">
        <f t="shared" ref="D129:M129" si="77">IF((D130/$C129)=0," ",D130/$C129)</f>
        <v xml:space="preserve"> </v>
      </c>
      <c r="E129" s="135" t="str">
        <f t="shared" si="77"/>
        <v xml:space="preserve"> </v>
      </c>
      <c r="F129" s="135" t="str">
        <f t="shared" si="77"/>
        <v xml:space="preserve"> </v>
      </c>
      <c r="G129" s="135" t="str">
        <f t="shared" si="77"/>
        <v xml:space="preserve"> </v>
      </c>
      <c r="H129" s="135" t="str">
        <f t="shared" si="77"/>
        <v xml:space="preserve"> </v>
      </c>
      <c r="I129" s="135" t="str">
        <f t="shared" si="77"/>
        <v xml:space="preserve"> </v>
      </c>
      <c r="J129" s="135" t="str">
        <f t="shared" si="77"/>
        <v xml:space="preserve"> </v>
      </c>
      <c r="K129" s="135">
        <f t="shared" si="77"/>
        <v>1</v>
      </c>
      <c r="L129" s="135" t="str">
        <f t="shared" si="77"/>
        <v xml:space="preserve"> </v>
      </c>
      <c r="M129" s="135" t="str">
        <f t="shared" si="77"/>
        <v xml:space="preserve"> </v>
      </c>
      <c r="N129" s="187">
        <f t="shared" si="64"/>
        <v>1</v>
      </c>
      <c r="O129" s="181"/>
      <c r="P129" s="188" t="s">
        <v>886</v>
      </c>
    </row>
    <row r="130" spans="1:16" ht="12.95" customHeight="1">
      <c r="A130" s="189"/>
      <c r="B130" s="189"/>
      <c r="C130" s="190"/>
      <c r="D130" s="191"/>
      <c r="E130" s="191"/>
      <c r="F130" s="191"/>
      <c r="G130" s="191"/>
      <c r="H130" s="191"/>
      <c r="I130" s="191"/>
      <c r="J130" s="191"/>
      <c r="K130" s="191">
        <f>'3 - PLAN. ORÇAMENTÁRIA'!J528</f>
        <v>20004.71</v>
      </c>
      <c r="L130" s="191"/>
      <c r="M130" s="191"/>
      <c r="N130" s="192">
        <f t="shared" si="64"/>
        <v>20004.71</v>
      </c>
      <c r="O130" s="181"/>
      <c r="P130" s="188" t="str">
        <f>IF(N130-C129=0,"-",N130-C129)</f>
        <v>-</v>
      </c>
    </row>
    <row r="131" spans="1:16" ht="12" customHeight="1">
      <c r="A131" s="185" t="str">
        <f>'3 - PLAN. ORÇAMENTÁRIA'!A541</f>
        <v>6.1.3</v>
      </c>
      <c r="B131" s="185" t="str">
        <f>'3 - PLAN. ORÇAMENTÁRIA'!B541</f>
        <v>DISPOSITIVOS DE PROTEÇÃO</v>
      </c>
      <c r="C131" s="186">
        <f>'3 - PLAN. ORÇAMENTÁRIA'!J541</f>
        <v>35870.320000000007</v>
      </c>
      <c r="D131" s="135" t="str">
        <f t="shared" ref="D131:M131" si="78">IF((D132/$C131)=0," ",D132/$C131)</f>
        <v xml:space="preserve"> </v>
      </c>
      <c r="E131" s="135" t="str">
        <f t="shared" si="78"/>
        <v xml:space="preserve"> </v>
      </c>
      <c r="F131" s="135" t="str">
        <f t="shared" si="78"/>
        <v xml:space="preserve"> </v>
      </c>
      <c r="G131" s="135" t="str">
        <f t="shared" si="78"/>
        <v xml:space="preserve"> </v>
      </c>
      <c r="H131" s="135" t="str">
        <f t="shared" si="78"/>
        <v xml:space="preserve"> </v>
      </c>
      <c r="I131" s="135" t="str">
        <f t="shared" si="78"/>
        <v xml:space="preserve"> </v>
      </c>
      <c r="J131" s="135">
        <f t="shared" si="78"/>
        <v>0.5</v>
      </c>
      <c r="K131" s="135">
        <f t="shared" si="78"/>
        <v>0.5</v>
      </c>
      <c r="L131" s="135" t="str">
        <f t="shared" si="78"/>
        <v xml:space="preserve"> </v>
      </c>
      <c r="M131" s="135" t="str">
        <f t="shared" si="78"/>
        <v xml:space="preserve"> </v>
      </c>
      <c r="N131" s="187">
        <f t="shared" si="64"/>
        <v>1</v>
      </c>
      <c r="O131" s="181"/>
      <c r="P131" s="188" t="s">
        <v>886</v>
      </c>
    </row>
    <row r="132" spans="1:16" ht="12.95" customHeight="1">
      <c r="A132" s="189"/>
      <c r="B132" s="189"/>
      <c r="C132" s="190"/>
      <c r="D132" s="191"/>
      <c r="E132" s="191"/>
      <c r="F132" s="191"/>
      <c r="G132" s="191"/>
      <c r="H132" s="191"/>
      <c r="I132" s="191"/>
      <c r="J132" s="191">
        <f>'3 - PLAN. ORÇAMENTÁRIA'!J541*0.5</f>
        <v>17935.160000000003</v>
      </c>
      <c r="K132" s="191">
        <f>'3 - PLAN. ORÇAMENTÁRIA'!J541*0.5</f>
        <v>17935.160000000003</v>
      </c>
      <c r="L132" s="191"/>
      <c r="M132" s="191"/>
      <c r="N132" s="192">
        <f t="shared" si="64"/>
        <v>35870.320000000007</v>
      </c>
      <c r="O132" s="181"/>
      <c r="P132" s="188" t="str">
        <f>IF(N132-C131=0,"-",N132-C131)</f>
        <v>-</v>
      </c>
    </row>
    <row r="133" spans="1:16" ht="12" customHeight="1">
      <c r="A133" s="185" t="str">
        <f>'3 - PLAN. ORÇAMENTÁRIA'!A562</f>
        <v>6.1.4</v>
      </c>
      <c r="B133" s="185" t="str">
        <f>'3 - PLAN. ORÇAMENTÁRIA'!B562</f>
        <v>ILUMINAÇÃO, TOMADAS E ACESSÓRIOS</v>
      </c>
      <c r="C133" s="186">
        <f>'3 - PLAN. ORÇAMENTÁRIA'!J562</f>
        <v>151944.79</v>
      </c>
      <c r="D133" s="135" t="str">
        <f t="shared" ref="D133:M133" si="79">IF((D134/$C133)=0," ",D134/$C133)</f>
        <v xml:space="preserve"> </v>
      </c>
      <c r="E133" s="135" t="str">
        <f t="shared" si="79"/>
        <v xml:space="preserve"> </v>
      </c>
      <c r="F133" s="135" t="str">
        <f t="shared" si="79"/>
        <v xml:space="preserve"> </v>
      </c>
      <c r="G133" s="135" t="str">
        <f t="shared" si="79"/>
        <v xml:space="preserve"> </v>
      </c>
      <c r="H133" s="135" t="str">
        <f t="shared" si="79"/>
        <v xml:space="preserve"> </v>
      </c>
      <c r="I133" s="135" t="str">
        <f t="shared" si="79"/>
        <v xml:space="preserve"> </v>
      </c>
      <c r="J133" s="135" t="str">
        <f t="shared" si="79"/>
        <v xml:space="preserve"> </v>
      </c>
      <c r="K133" s="135">
        <f t="shared" si="79"/>
        <v>0.5</v>
      </c>
      <c r="L133" s="135">
        <f t="shared" si="79"/>
        <v>0.5</v>
      </c>
      <c r="M133" s="135" t="str">
        <f t="shared" si="79"/>
        <v xml:space="preserve"> </v>
      </c>
      <c r="N133" s="187">
        <f t="shared" si="64"/>
        <v>1</v>
      </c>
      <c r="O133" s="181"/>
      <c r="P133" s="188" t="s">
        <v>886</v>
      </c>
    </row>
    <row r="134" spans="1:16" ht="12.95" customHeight="1">
      <c r="A134" s="189"/>
      <c r="B134" s="189"/>
      <c r="C134" s="190"/>
      <c r="D134" s="191"/>
      <c r="E134" s="191"/>
      <c r="F134" s="191"/>
      <c r="G134" s="191"/>
      <c r="H134" s="191"/>
      <c r="I134" s="191"/>
      <c r="J134" s="191"/>
      <c r="K134" s="191">
        <f>'3 - PLAN. ORÇAMENTÁRIA'!J562*0.5</f>
        <v>75972.395000000004</v>
      </c>
      <c r="L134" s="191">
        <f>'3 - PLAN. ORÇAMENTÁRIA'!J562*0.5</f>
        <v>75972.395000000004</v>
      </c>
      <c r="M134" s="191"/>
      <c r="N134" s="192">
        <f t="shared" si="64"/>
        <v>151944.79</v>
      </c>
      <c r="O134" s="181"/>
      <c r="P134" s="188" t="str">
        <f>IF(N134-C133=0,"-",N134-C133)</f>
        <v>-</v>
      </c>
    </row>
    <row r="135" spans="1:16" ht="12" customHeight="1">
      <c r="A135" s="185" t="str">
        <f>'3 - PLAN. ORÇAMENTÁRIA'!A581</f>
        <v>6.1.5</v>
      </c>
      <c r="B135" s="185" t="str">
        <f>'3 - PLAN. ORÇAMENTÁRIA'!B581</f>
        <v>CONDUTORES</v>
      </c>
      <c r="C135" s="186">
        <f>'3 - PLAN. ORÇAMENTÁRIA'!J581</f>
        <v>177775.18</v>
      </c>
      <c r="D135" s="135" t="str">
        <f t="shared" ref="D135:M135" si="80">IF((D136/$C135)=0," ",D136/$C135)</f>
        <v xml:space="preserve"> </v>
      </c>
      <c r="E135" s="135" t="str">
        <f t="shared" si="80"/>
        <v xml:space="preserve"> </v>
      </c>
      <c r="F135" s="135" t="str">
        <f t="shared" si="80"/>
        <v xml:space="preserve"> </v>
      </c>
      <c r="G135" s="135" t="str">
        <f t="shared" si="80"/>
        <v xml:space="preserve"> </v>
      </c>
      <c r="H135" s="135" t="str">
        <f t="shared" si="80"/>
        <v xml:space="preserve"> </v>
      </c>
      <c r="I135" s="135" t="str">
        <f t="shared" si="80"/>
        <v xml:space="preserve"> </v>
      </c>
      <c r="J135" s="135">
        <f t="shared" si="80"/>
        <v>0.5</v>
      </c>
      <c r="K135" s="135">
        <f t="shared" si="80"/>
        <v>0.5</v>
      </c>
      <c r="L135" s="135" t="str">
        <f t="shared" si="80"/>
        <v xml:space="preserve"> </v>
      </c>
      <c r="M135" s="135" t="str">
        <f t="shared" si="80"/>
        <v xml:space="preserve"> </v>
      </c>
      <c r="N135" s="187">
        <f t="shared" si="64"/>
        <v>1</v>
      </c>
      <c r="O135" s="181"/>
      <c r="P135" s="188" t="s">
        <v>886</v>
      </c>
    </row>
    <row r="136" spans="1:16" ht="12.95" customHeight="1">
      <c r="A136" s="189"/>
      <c r="B136" s="189"/>
      <c r="C136" s="190"/>
      <c r="D136" s="191"/>
      <c r="E136" s="191"/>
      <c r="F136" s="191"/>
      <c r="G136" s="191"/>
      <c r="H136" s="191"/>
      <c r="I136" s="191"/>
      <c r="J136" s="191">
        <f>'3 - PLAN. ORÇAMENTÁRIA'!J581*0.5</f>
        <v>88887.59</v>
      </c>
      <c r="K136" s="191">
        <f>'3 - PLAN. ORÇAMENTÁRIA'!J581*0.5</f>
        <v>88887.59</v>
      </c>
      <c r="L136" s="191"/>
      <c r="M136" s="191"/>
      <c r="N136" s="192">
        <f t="shared" si="64"/>
        <v>177775.18</v>
      </c>
      <c r="O136" s="181"/>
      <c r="P136" s="188" t="str">
        <f>IF(N136-C135=0,"-",N136-C135)</f>
        <v>-</v>
      </c>
    </row>
    <row r="137" spans="1:16" ht="12" customHeight="1">
      <c r="A137" s="185" t="str">
        <f>'3 - PLAN. ORÇAMENTÁRIA'!A593</f>
        <v>6.1.6</v>
      </c>
      <c r="B137" s="185" t="str">
        <f>'3 - PLAN. ORÇAMENTÁRIA'!B593</f>
        <v>PADRÃO DE ENTRADA</v>
      </c>
      <c r="C137" s="186">
        <f>'3 - PLAN. ORÇAMENTÁRIA'!J593</f>
        <v>98476.32</v>
      </c>
      <c r="D137" s="135">
        <f t="shared" ref="D137:M137" si="81">IF((D138/$C137)=0," ",D138/$C137)</f>
        <v>1</v>
      </c>
      <c r="E137" s="135" t="str">
        <f t="shared" si="81"/>
        <v xml:space="preserve"> </v>
      </c>
      <c r="F137" s="135" t="str">
        <f t="shared" si="81"/>
        <v xml:space="preserve"> </v>
      </c>
      <c r="G137" s="135" t="str">
        <f t="shared" si="81"/>
        <v xml:space="preserve"> </v>
      </c>
      <c r="H137" s="135" t="str">
        <f t="shared" si="81"/>
        <v xml:space="preserve"> </v>
      </c>
      <c r="I137" s="135" t="str">
        <f t="shared" si="81"/>
        <v xml:space="preserve"> </v>
      </c>
      <c r="J137" s="135" t="str">
        <f t="shared" si="81"/>
        <v xml:space="preserve"> </v>
      </c>
      <c r="K137" s="135" t="str">
        <f t="shared" si="81"/>
        <v xml:space="preserve"> </v>
      </c>
      <c r="L137" s="135" t="str">
        <f t="shared" si="81"/>
        <v xml:space="preserve"> </v>
      </c>
      <c r="M137" s="135" t="str">
        <f t="shared" si="81"/>
        <v xml:space="preserve"> </v>
      </c>
      <c r="N137" s="187">
        <f t="shared" si="64"/>
        <v>1</v>
      </c>
      <c r="O137" s="181"/>
      <c r="P137" s="188" t="s">
        <v>886</v>
      </c>
    </row>
    <row r="138" spans="1:16" ht="12.95" customHeight="1">
      <c r="A138" s="189"/>
      <c r="B138" s="189"/>
      <c r="C138" s="190"/>
      <c r="D138" s="191">
        <f>'3 - PLAN. ORÇAMENTÁRIA'!J593</f>
        <v>98476.32</v>
      </c>
      <c r="E138" s="191"/>
      <c r="F138" s="191"/>
      <c r="G138" s="191"/>
      <c r="H138" s="191"/>
      <c r="I138" s="191"/>
      <c r="J138" s="191"/>
      <c r="K138" s="191"/>
      <c r="L138" s="191"/>
      <c r="M138" s="191"/>
      <c r="N138" s="192">
        <f t="shared" si="64"/>
        <v>98476.32</v>
      </c>
      <c r="O138" s="181"/>
      <c r="P138" s="188" t="str">
        <f>IF(N138-C137=0,"-",N138-C137)</f>
        <v>-</v>
      </c>
    </row>
    <row r="139" spans="1:16" ht="12" customHeight="1">
      <c r="A139" s="185" t="str">
        <f>'3 - PLAN. ORÇAMENTÁRIA'!A595</f>
        <v>6.2</v>
      </c>
      <c r="B139" s="185" t="str">
        <f>'3 - PLAN. ORÇAMENTÁRIA'!B595</f>
        <v>SPDA</v>
      </c>
      <c r="C139" s="186">
        <f>'3 - PLAN. ORÇAMENTÁRIA'!J595</f>
        <v>40265.860000000008</v>
      </c>
      <c r="D139" s="135" t="str">
        <f t="shared" ref="D139:M139" si="82">IF((D140/$C139)=0," ",D140/$C139)</f>
        <v xml:space="preserve"> </v>
      </c>
      <c r="E139" s="135" t="str">
        <f t="shared" si="82"/>
        <v xml:space="preserve"> </v>
      </c>
      <c r="F139" s="135" t="str">
        <f t="shared" si="82"/>
        <v xml:space="preserve"> </v>
      </c>
      <c r="G139" s="135" t="str">
        <f t="shared" si="82"/>
        <v xml:space="preserve"> </v>
      </c>
      <c r="H139" s="135" t="str">
        <f t="shared" si="82"/>
        <v xml:space="preserve"> </v>
      </c>
      <c r="I139" s="135" t="str">
        <f t="shared" si="82"/>
        <v xml:space="preserve"> </v>
      </c>
      <c r="J139" s="135" t="str">
        <f t="shared" si="82"/>
        <v xml:space="preserve"> </v>
      </c>
      <c r="K139" s="135" t="str">
        <f t="shared" si="82"/>
        <v xml:space="preserve"> </v>
      </c>
      <c r="L139" s="135" t="str">
        <f t="shared" si="82"/>
        <v xml:space="preserve"> </v>
      </c>
      <c r="M139" s="135">
        <f t="shared" si="82"/>
        <v>1</v>
      </c>
      <c r="N139" s="187">
        <f t="shared" si="64"/>
        <v>1</v>
      </c>
      <c r="O139" s="181"/>
      <c r="P139" s="188" t="s">
        <v>886</v>
      </c>
    </row>
    <row r="140" spans="1:16" ht="12.95" customHeight="1">
      <c r="A140" s="189"/>
      <c r="B140" s="189"/>
      <c r="C140" s="190"/>
      <c r="D140" s="191"/>
      <c r="E140" s="191"/>
      <c r="F140" s="191"/>
      <c r="G140" s="191"/>
      <c r="H140" s="191"/>
      <c r="I140" s="191"/>
      <c r="J140" s="191"/>
      <c r="K140" s="191"/>
      <c r="L140" s="191"/>
      <c r="M140" s="191">
        <f>'3 - PLAN. ORÇAMENTÁRIA'!J595</f>
        <v>40265.860000000008</v>
      </c>
      <c r="N140" s="192">
        <f t="shared" si="64"/>
        <v>40265.860000000008</v>
      </c>
      <c r="O140" s="181"/>
      <c r="P140" s="188" t="str">
        <f>IF(N140-C139=0,"-",N140-C139)</f>
        <v>-</v>
      </c>
    </row>
    <row r="141" spans="1:16" ht="12" customHeight="1">
      <c r="A141" s="193" t="str">
        <f>'3 - PLAN. ORÇAMENTÁRIA'!A606</f>
        <v>6.3</v>
      </c>
      <c r="B141" s="193" t="str">
        <f>'3 - PLAN. ORÇAMENTÁRIA'!B606</f>
        <v>CFTV</v>
      </c>
      <c r="C141" s="194">
        <f>'3 - PLAN. ORÇAMENTÁRIA'!J606</f>
        <v>48110.209999999992</v>
      </c>
      <c r="D141" s="195" t="str">
        <f t="shared" ref="D141:M141" si="83">IF((D142/$C141)=0," ",D142/$C141)</f>
        <v xml:space="preserve"> </v>
      </c>
      <c r="E141" s="195" t="str">
        <f t="shared" si="83"/>
        <v xml:space="preserve"> </v>
      </c>
      <c r="F141" s="195" t="str">
        <f t="shared" si="83"/>
        <v xml:space="preserve"> </v>
      </c>
      <c r="G141" s="195">
        <f t="shared" si="83"/>
        <v>0.25</v>
      </c>
      <c r="H141" s="195" t="str">
        <f t="shared" si="83"/>
        <v xml:space="preserve"> </v>
      </c>
      <c r="I141" s="195">
        <f t="shared" si="83"/>
        <v>0.25</v>
      </c>
      <c r="J141" s="195" t="str">
        <f t="shared" si="83"/>
        <v xml:space="preserve"> </v>
      </c>
      <c r="K141" s="195">
        <f t="shared" si="83"/>
        <v>0.25</v>
      </c>
      <c r="L141" s="195">
        <f t="shared" si="83"/>
        <v>0.25</v>
      </c>
      <c r="M141" s="195" t="str">
        <f t="shared" si="83"/>
        <v xml:space="preserve"> </v>
      </c>
      <c r="N141" s="196">
        <f t="shared" si="64"/>
        <v>1</v>
      </c>
      <c r="O141" s="181"/>
      <c r="P141" s="188" t="s">
        <v>886</v>
      </c>
    </row>
    <row r="142" spans="1:16" ht="12.95" customHeight="1">
      <c r="A142" s="189"/>
      <c r="B142" s="189"/>
      <c r="C142" s="190"/>
      <c r="D142" s="197">
        <f t="shared" ref="D142:M142" si="84">D144+D146+D148</f>
        <v>0</v>
      </c>
      <c r="E142" s="197">
        <f t="shared" si="84"/>
        <v>0</v>
      </c>
      <c r="F142" s="197">
        <f t="shared" si="84"/>
        <v>0</v>
      </c>
      <c r="G142" s="197">
        <f>'3 - PLAN. ORÇAMENTÁRIA'!$J$606*0.25</f>
        <v>12027.552499999998</v>
      </c>
      <c r="H142" s="197">
        <f t="shared" si="84"/>
        <v>0</v>
      </c>
      <c r="I142" s="197">
        <f>'3 - PLAN. ORÇAMENTÁRIA'!$J$606*0.25</f>
        <v>12027.552499999998</v>
      </c>
      <c r="J142" s="197">
        <f t="shared" si="84"/>
        <v>0</v>
      </c>
      <c r="K142" s="197">
        <f>'3 - PLAN. ORÇAMENTÁRIA'!$J$606*0.25</f>
        <v>12027.552499999998</v>
      </c>
      <c r="L142" s="197">
        <f>'3 - PLAN. ORÇAMENTÁRIA'!$J$606*0.25</f>
        <v>12027.552499999998</v>
      </c>
      <c r="M142" s="197">
        <f t="shared" si="84"/>
        <v>0</v>
      </c>
      <c r="N142" s="192">
        <f t="shared" si="64"/>
        <v>48110.209999999992</v>
      </c>
      <c r="O142" s="181"/>
      <c r="P142" s="188" t="str">
        <f>IF(N142-C141=0,"-",N142-C141)</f>
        <v>-</v>
      </c>
    </row>
    <row r="143" spans="1:16" ht="12" customHeight="1">
      <c r="A143" s="185" t="str">
        <f>'3 - PLAN. ORÇAMENTÁRIA'!A621</f>
        <v>6.4</v>
      </c>
      <c r="B143" s="185" t="str">
        <f>'3 - PLAN. ORÇAMENTÁRIA'!B621</f>
        <v>REDE E TELEFONIA</v>
      </c>
      <c r="C143" s="186">
        <f>'3 - PLAN. ORÇAMENTÁRIA'!J621</f>
        <v>104295.08</v>
      </c>
      <c r="D143" s="135" t="str">
        <f t="shared" ref="D143:M143" si="85">IF((D144/$C143)=0," ",D144/$C143)</f>
        <v xml:space="preserve"> </v>
      </c>
      <c r="E143" s="135" t="str">
        <f t="shared" si="85"/>
        <v xml:space="preserve"> </v>
      </c>
      <c r="F143" s="135" t="str">
        <f t="shared" si="85"/>
        <v xml:space="preserve"> </v>
      </c>
      <c r="G143" s="135">
        <f t="shared" si="85"/>
        <v>0.3</v>
      </c>
      <c r="H143" s="135" t="str">
        <f t="shared" si="85"/>
        <v xml:space="preserve"> </v>
      </c>
      <c r="I143" s="135">
        <f t="shared" si="85"/>
        <v>0.3</v>
      </c>
      <c r="J143" s="135" t="str">
        <f t="shared" si="85"/>
        <v xml:space="preserve"> </v>
      </c>
      <c r="K143" s="135">
        <f t="shared" si="85"/>
        <v>0.40000000000000008</v>
      </c>
      <c r="L143" s="135" t="str">
        <f t="shared" si="85"/>
        <v xml:space="preserve"> </v>
      </c>
      <c r="M143" s="135" t="str">
        <f t="shared" si="85"/>
        <v xml:space="preserve"> </v>
      </c>
      <c r="N143" s="187">
        <f t="shared" ref="N143:N168" si="86">SUM(D143:M143)</f>
        <v>1</v>
      </c>
      <c r="O143" s="181"/>
      <c r="P143" s="188" t="s">
        <v>886</v>
      </c>
    </row>
    <row r="144" spans="1:16" ht="12.95" customHeight="1">
      <c r="A144" s="189"/>
      <c r="B144" s="189"/>
      <c r="C144" s="190"/>
      <c r="D144" s="191"/>
      <c r="E144" s="191"/>
      <c r="F144" s="191"/>
      <c r="G144" s="191">
        <f>'3 - PLAN. ORÇAMENTÁRIA'!J621*0.3</f>
        <v>31288.523999999998</v>
      </c>
      <c r="H144" s="191"/>
      <c r="I144" s="191">
        <f>'3 - PLAN. ORÇAMENTÁRIA'!J621*0.3</f>
        <v>31288.523999999998</v>
      </c>
      <c r="J144" s="191"/>
      <c r="K144" s="191">
        <f>'3 - PLAN. ORÇAMENTÁRIA'!J621*0.4</f>
        <v>41718.032000000007</v>
      </c>
      <c r="L144" s="191"/>
      <c r="M144" s="191"/>
      <c r="N144" s="192">
        <f t="shared" si="86"/>
        <v>104295.08</v>
      </c>
      <c r="O144" s="181"/>
      <c r="P144" s="188" t="str">
        <f>IF(N144-C143=0,"-",N144-C143)</f>
        <v>-</v>
      </c>
    </row>
    <row r="145" spans="1:16" ht="12" customHeight="1">
      <c r="A145" s="185" t="str">
        <f>'3 - PLAN. ORÇAMENTÁRIA'!A646</f>
        <v>6.5</v>
      </c>
      <c r="B145" s="185" t="str">
        <f>'3 - PLAN. ORÇAMENTÁRIA'!B646</f>
        <v>SONORIZAÇÃO</v>
      </c>
      <c r="C145" s="186">
        <f>'3 - PLAN. ORÇAMENTÁRIA'!J646</f>
        <v>8447.51</v>
      </c>
      <c r="D145" s="135" t="str">
        <f t="shared" ref="D145:M145" si="87">IF((D146/$C145)=0," ",D146/$C145)</f>
        <v xml:space="preserve"> </v>
      </c>
      <c r="E145" s="135" t="str">
        <f t="shared" si="87"/>
        <v xml:space="preserve"> </v>
      </c>
      <c r="F145" s="135" t="str">
        <f t="shared" si="87"/>
        <v xml:space="preserve"> </v>
      </c>
      <c r="G145" s="135" t="str">
        <f t="shared" si="87"/>
        <v xml:space="preserve"> </v>
      </c>
      <c r="H145" s="135" t="str">
        <f t="shared" si="87"/>
        <v xml:space="preserve"> </v>
      </c>
      <c r="I145" s="135" t="str">
        <f t="shared" si="87"/>
        <v xml:space="preserve"> </v>
      </c>
      <c r="J145" s="135" t="str">
        <f t="shared" si="87"/>
        <v xml:space="preserve"> </v>
      </c>
      <c r="K145" s="135" t="str">
        <f t="shared" si="87"/>
        <v xml:space="preserve"> </v>
      </c>
      <c r="L145" s="135">
        <f t="shared" si="87"/>
        <v>1</v>
      </c>
      <c r="M145" s="135" t="str">
        <f t="shared" si="87"/>
        <v xml:space="preserve"> </v>
      </c>
      <c r="N145" s="187">
        <f t="shared" si="86"/>
        <v>1</v>
      </c>
      <c r="O145" s="181"/>
      <c r="P145" s="188" t="s">
        <v>886</v>
      </c>
    </row>
    <row r="146" spans="1:16" ht="12.95" customHeight="1">
      <c r="A146" s="189"/>
      <c r="B146" s="189"/>
      <c r="C146" s="190"/>
      <c r="D146" s="191"/>
      <c r="E146" s="191"/>
      <c r="F146" s="191"/>
      <c r="G146" s="191"/>
      <c r="H146" s="191"/>
      <c r="I146" s="191"/>
      <c r="J146" s="191"/>
      <c r="K146" s="191"/>
      <c r="L146" s="191">
        <f>'3 - PLAN. ORÇAMENTÁRIA'!J646</f>
        <v>8447.51</v>
      </c>
      <c r="M146" s="191"/>
      <c r="N146" s="192">
        <f t="shared" si="86"/>
        <v>8447.51</v>
      </c>
      <c r="O146" s="181"/>
      <c r="P146" s="188" t="str">
        <f>IF(N146-C145=0,"-",N146-C145)</f>
        <v>-</v>
      </c>
    </row>
    <row r="147" spans="1:16" ht="12" customHeight="1">
      <c r="A147" s="185" t="str">
        <f>'3 - PLAN. ORÇAMENTÁRIA'!A658</f>
        <v>6.6</v>
      </c>
      <c r="B147" s="185" t="str">
        <f>'3 - PLAN. ORÇAMENTÁRIA'!B658</f>
        <v>FOTOVOLTÁICO</v>
      </c>
      <c r="C147" s="186">
        <f>'3 - PLAN. ORÇAMENTÁRIA'!J658</f>
        <v>60727.38</v>
      </c>
      <c r="D147" s="135" t="str">
        <f t="shared" ref="D147:M147" si="88">IF((D148/$C147)=0," ",D148/$C147)</f>
        <v xml:space="preserve"> </v>
      </c>
      <c r="E147" s="135" t="str">
        <f t="shared" si="88"/>
        <v xml:space="preserve"> </v>
      </c>
      <c r="F147" s="135" t="str">
        <f t="shared" si="88"/>
        <v xml:space="preserve"> </v>
      </c>
      <c r="G147" s="135" t="str">
        <f t="shared" si="88"/>
        <v xml:space="preserve"> </v>
      </c>
      <c r="H147" s="135" t="str">
        <f t="shared" si="88"/>
        <v xml:space="preserve"> </v>
      </c>
      <c r="I147" s="135" t="str">
        <f t="shared" si="88"/>
        <v xml:space="preserve"> </v>
      </c>
      <c r="J147" s="135" t="str">
        <f t="shared" si="88"/>
        <v xml:space="preserve"> </v>
      </c>
      <c r="K147" s="135">
        <f t="shared" si="88"/>
        <v>0.5</v>
      </c>
      <c r="L147" s="135">
        <f t="shared" si="88"/>
        <v>0.5</v>
      </c>
      <c r="M147" s="135" t="str">
        <f t="shared" si="88"/>
        <v xml:space="preserve"> </v>
      </c>
      <c r="N147" s="187">
        <f t="shared" si="86"/>
        <v>1</v>
      </c>
      <c r="O147" s="181"/>
      <c r="P147" s="188" t="s">
        <v>886</v>
      </c>
    </row>
    <row r="148" spans="1:16" ht="12.95" customHeight="1">
      <c r="A148" s="189"/>
      <c r="B148" s="189"/>
      <c r="C148" s="190"/>
      <c r="D148" s="191"/>
      <c r="E148" s="191"/>
      <c r="F148" s="191"/>
      <c r="G148" s="191"/>
      <c r="H148" s="191"/>
      <c r="I148" s="191"/>
      <c r="J148" s="191"/>
      <c r="K148" s="191">
        <f>'3 - PLAN. ORÇAMENTÁRIA'!J658*0.5</f>
        <v>30363.69</v>
      </c>
      <c r="L148" s="191">
        <f>'3 - PLAN. ORÇAMENTÁRIA'!J658*0.5</f>
        <v>30363.69</v>
      </c>
      <c r="M148" s="191"/>
      <c r="N148" s="192">
        <f t="shared" si="86"/>
        <v>60727.38</v>
      </c>
      <c r="O148" s="181"/>
      <c r="P148" s="188" t="str">
        <f>IF(N148-C147=0,"-",N148-C147)</f>
        <v>-</v>
      </c>
    </row>
    <row r="149" spans="1:16" ht="12" customHeight="1">
      <c r="A149" s="185" t="str">
        <f>'3 - PLAN. ORÇAMENTÁRIA'!A660</f>
        <v>6.7</v>
      </c>
      <c r="B149" s="185" t="str">
        <f>'3 - PLAN. ORÇAMENTÁRIA'!B660</f>
        <v>SERVIÇOS DIVERSOS</v>
      </c>
      <c r="C149" s="186">
        <f>'3 - PLAN. ORÇAMENTÁRIA'!J660</f>
        <v>39376.900000000009</v>
      </c>
      <c r="D149" s="135" t="str">
        <f t="shared" ref="D149:M149" si="89">IF((D150/$C149)=0," ",D150/$C149)</f>
        <v xml:space="preserve"> </v>
      </c>
      <c r="E149" s="135" t="str">
        <f t="shared" si="89"/>
        <v xml:space="preserve"> </v>
      </c>
      <c r="F149" s="135">
        <f t="shared" si="89"/>
        <v>1</v>
      </c>
      <c r="G149" s="135" t="str">
        <f t="shared" si="89"/>
        <v xml:space="preserve"> </v>
      </c>
      <c r="H149" s="135" t="str">
        <f t="shared" si="89"/>
        <v xml:space="preserve"> </v>
      </c>
      <c r="I149" s="135" t="str">
        <f t="shared" si="89"/>
        <v xml:space="preserve"> </v>
      </c>
      <c r="J149" s="135" t="str">
        <f t="shared" si="89"/>
        <v xml:space="preserve"> </v>
      </c>
      <c r="K149" s="135" t="str">
        <f t="shared" si="89"/>
        <v xml:space="preserve"> </v>
      </c>
      <c r="L149" s="135" t="str">
        <f t="shared" si="89"/>
        <v xml:space="preserve"> </v>
      </c>
      <c r="M149" s="135" t="str">
        <f t="shared" si="89"/>
        <v xml:space="preserve"> </v>
      </c>
      <c r="N149" s="187">
        <f t="shared" si="86"/>
        <v>1</v>
      </c>
      <c r="O149" s="181"/>
      <c r="P149" s="188" t="s">
        <v>886</v>
      </c>
    </row>
    <row r="150" spans="1:16" ht="12.95" customHeight="1">
      <c r="A150" s="189"/>
      <c r="B150" s="189"/>
      <c r="C150" s="190"/>
      <c r="D150" s="191"/>
      <c r="E150" s="191"/>
      <c r="F150" s="191">
        <f>'3 - PLAN. ORÇAMENTÁRIA'!J660</f>
        <v>39376.900000000009</v>
      </c>
      <c r="G150" s="191"/>
      <c r="H150" s="191"/>
      <c r="I150" s="191"/>
      <c r="J150" s="191"/>
      <c r="K150" s="191"/>
      <c r="L150" s="191"/>
      <c r="M150" s="191"/>
      <c r="N150" s="192">
        <f t="shared" si="86"/>
        <v>39376.900000000009</v>
      </c>
      <c r="O150" s="181"/>
      <c r="P150" s="188" t="str">
        <f>IF(N150-C149=0,"-",N150-C149)</f>
        <v>-</v>
      </c>
    </row>
    <row r="151" spans="1:16" ht="12" customHeight="1">
      <c r="A151" s="193" t="str">
        <f>'3 - PLAN. ORÇAMENTÁRIA'!A669</f>
        <v>07.00.000</v>
      </c>
      <c r="B151" s="193" t="str">
        <f>'3 - PLAN. ORÇAMENTÁRIA'!B669</f>
        <v>INSTALAÇÕES MECÂNICAS E DE UTILIDADES</v>
      </c>
      <c r="C151" s="194">
        <f>'3 - PLAN. ORÇAMENTÁRIA'!J669</f>
        <v>177287.64</v>
      </c>
      <c r="D151" s="195" t="str">
        <f t="shared" ref="D151:M151" si="90">IF((D152/$C151)=0," ",D152/$C151)</f>
        <v xml:space="preserve"> </v>
      </c>
      <c r="E151" s="195" t="str">
        <f t="shared" si="90"/>
        <v xml:space="preserve"> </v>
      </c>
      <c r="F151" s="195" t="str">
        <f t="shared" si="90"/>
        <v xml:space="preserve"> </v>
      </c>
      <c r="G151" s="195" t="str">
        <f t="shared" si="90"/>
        <v xml:space="preserve"> </v>
      </c>
      <c r="H151" s="195" t="str">
        <f t="shared" si="90"/>
        <v xml:space="preserve"> </v>
      </c>
      <c r="I151" s="195" t="str">
        <f t="shared" si="90"/>
        <v xml:space="preserve"> </v>
      </c>
      <c r="J151" s="195" t="str">
        <f t="shared" si="90"/>
        <v xml:space="preserve"> </v>
      </c>
      <c r="K151" s="195">
        <f t="shared" si="90"/>
        <v>0.50705231340436363</v>
      </c>
      <c r="L151" s="195">
        <f t="shared" si="90"/>
        <v>0.49294768659563631</v>
      </c>
      <c r="M151" s="195" t="str">
        <f t="shared" si="90"/>
        <v xml:space="preserve"> </v>
      </c>
      <c r="N151" s="196">
        <f t="shared" si="86"/>
        <v>1</v>
      </c>
      <c r="O151" s="181"/>
      <c r="P151" s="188" t="s">
        <v>886</v>
      </c>
    </row>
    <row r="152" spans="1:16" ht="12.95" customHeight="1">
      <c r="A152" s="189"/>
      <c r="B152" s="189"/>
      <c r="C152" s="190"/>
      <c r="D152" s="197">
        <f t="shared" ref="D152:M152" si="91">D154</f>
        <v>0</v>
      </c>
      <c r="E152" s="197">
        <f t="shared" si="91"/>
        <v>0</v>
      </c>
      <c r="F152" s="197">
        <f t="shared" si="91"/>
        <v>0</v>
      </c>
      <c r="G152" s="197">
        <f t="shared" si="91"/>
        <v>0</v>
      </c>
      <c r="H152" s="197">
        <f t="shared" si="91"/>
        <v>0</v>
      </c>
      <c r="I152" s="197">
        <f t="shared" si="91"/>
        <v>0</v>
      </c>
      <c r="J152" s="197">
        <f t="shared" si="91"/>
        <v>0</v>
      </c>
      <c r="K152" s="197">
        <f t="shared" si="91"/>
        <v>89894.108000000007</v>
      </c>
      <c r="L152" s="197">
        <f t="shared" si="91"/>
        <v>87393.532000000007</v>
      </c>
      <c r="M152" s="197">
        <f t="shared" si="91"/>
        <v>0</v>
      </c>
      <c r="N152" s="192">
        <f t="shared" si="86"/>
        <v>177287.64</v>
      </c>
      <c r="O152" s="181"/>
      <c r="P152" s="188" t="str">
        <f>IF(N152-C151=0,"-",N152-C151)</f>
        <v>-</v>
      </c>
    </row>
    <row r="153" spans="1:16" ht="12" customHeight="1">
      <c r="A153" s="193" t="str">
        <f>'3 - PLAN. ORÇAMENTÁRIA'!A670</f>
        <v>7.1</v>
      </c>
      <c r="B153" s="193" t="str">
        <f>'3 - PLAN. ORÇAMENTÁRIA'!B670</f>
        <v>CLIMATIZAÇÃO</v>
      </c>
      <c r="C153" s="194">
        <f>'3 - PLAN. ORÇAMENTÁRIA'!J670</f>
        <v>177287.64</v>
      </c>
      <c r="D153" s="195" t="str">
        <f t="shared" ref="D153:M153" si="92">IF((D154/$C153)=0," ",D154/$C153)</f>
        <v xml:space="preserve"> </v>
      </c>
      <c r="E153" s="195" t="str">
        <f t="shared" si="92"/>
        <v xml:space="preserve"> </v>
      </c>
      <c r="F153" s="195" t="str">
        <f t="shared" si="92"/>
        <v xml:space="preserve"> </v>
      </c>
      <c r="G153" s="195" t="str">
        <f t="shared" si="92"/>
        <v xml:space="preserve"> </v>
      </c>
      <c r="H153" s="195" t="str">
        <f t="shared" si="92"/>
        <v xml:space="preserve"> </v>
      </c>
      <c r="I153" s="195" t="str">
        <f t="shared" si="92"/>
        <v xml:space="preserve"> </v>
      </c>
      <c r="J153" s="195" t="str">
        <f t="shared" si="92"/>
        <v xml:space="preserve"> </v>
      </c>
      <c r="K153" s="195">
        <f t="shared" si="92"/>
        <v>0.50705231340436363</v>
      </c>
      <c r="L153" s="195">
        <f t="shared" si="92"/>
        <v>0.49294768659563631</v>
      </c>
      <c r="M153" s="195" t="str">
        <f t="shared" si="92"/>
        <v xml:space="preserve"> </v>
      </c>
      <c r="N153" s="196">
        <f t="shared" si="86"/>
        <v>1</v>
      </c>
      <c r="O153" s="181"/>
      <c r="P153" s="188" t="s">
        <v>886</v>
      </c>
    </row>
    <row r="154" spans="1:16" ht="12.95" customHeight="1">
      <c r="A154" s="189"/>
      <c r="B154" s="189"/>
      <c r="C154" s="190"/>
      <c r="D154" s="197">
        <f t="shared" ref="D154:M154" si="93">D156+D158</f>
        <v>0</v>
      </c>
      <c r="E154" s="197">
        <f t="shared" si="93"/>
        <v>0</v>
      </c>
      <c r="F154" s="197">
        <f t="shared" si="93"/>
        <v>0</v>
      </c>
      <c r="G154" s="197">
        <f t="shared" si="93"/>
        <v>0</v>
      </c>
      <c r="H154" s="197">
        <f t="shared" si="93"/>
        <v>0</v>
      </c>
      <c r="I154" s="197">
        <f t="shared" si="93"/>
        <v>0</v>
      </c>
      <c r="J154" s="197">
        <f t="shared" si="93"/>
        <v>0</v>
      </c>
      <c r="K154" s="197">
        <f t="shared" si="93"/>
        <v>89894.108000000007</v>
      </c>
      <c r="L154" s="197">
        <f t="shared" si="93"/>
        <v>87393.532000000007</v>
      </c>
      <c r="M154" s="197">
        <f t="shared" si="93"/>
        <v>0</v>
      </c>
      <c r="N154" s="192">
        <f t="shared" si="86"/>
        <v>177287.64</v>
      </c>
      <c r="O154" s="181"/>
      <c r="P154" s="188" t="str">
        <f>IF(N154-C153=0,"-",N154-C153)</f>
        <v>-</v>
      </c>
    </row>
    <row r="155" spans="1:16" ht="12" customHeight="1">
      <c r="A155" s="185" t="str">
        <f>'3 - PLAN. ORÇAMENTÁRIA'!A671</f>
        <v>7.1.1</v>
      </c>
      <c r="B155" s="185" t="str">
        <f>'3 - PLAN. ORÇAMENTÁRIA'!B671</f>
        <v>INSTALAÇÕES DE AR CONDICIONADO</v>
      </c>
      <c r="C155" s="186">
        <f>'3 - PLAN. ORÇAMENTÁRIA'!J671</f>
        <v>164784.76</v>
      </c>
      <c r="D155" s="135" t="str">
        <f t="shared" ref="D155:M155" si="94">IF((D156/$C155)=0," ",D156/$C155)</f>
        <v xml:space="preserve"> </v>
      </c>
      <c r="E155" s="135" t="str">
        <f t="shared" si="94"/>
        <v xml:space="preserve"> </v>
      </c>
      <c r="F155" s="135" t="str">
        <f t="shared" si="94"/>
        <v xml:space="preserve"> </v>
      </c>
      <c r="G155" s="135" t="str">
        <f t="shared" si="94"/>
        <v xml:space="preserve"> </v>
      </c>
      <c r="H155" s="135" t="str">
        <f t="shared" si="94"/>
        <v xml:space="preserve"> </v>
      </c>
      <c r="I155" s="135" t="str">
        <f t="shared" si="94"/>
        <v xml:space="preserve"> </v>
      </c>
      <c r="J155" s="135" t="str">
        <f t="shared" si="94"/>
        <v xml:space="preserve"> </v>
      </c>
      <c r="K155" s="135">
        <f t="shared" si="94"/>
        <v>0.5</v>
      </c>
      <c r="L155" s="135">
        <f t="shared" si="94"/>
        <v>0.5</v>
      </c>
      <c r="M155" s="135" t="str">
        <f t="shared" si="94"/>
        <v xml:space="preserve"> </v>
      </c>
      <c r="N155" s="187">
        <f t="shared" si="86"/>
        <v>1</v>
      </c>
      <c r="O155" s="181"/>
      <c r="P155" s="188" t="s">
        <v>886</v>
      </c>
    </row>
    <row r="156" spans="1:16" ht="12.95" customHeight="1">
      <c r="A156" s="189"/>
      <c r="B156" s="189"/>
      <c r="C156" s="190"/>
      <c r="D156" s="191"/>
      <c r="E156" s="191"/>
      <c r="F156" s="191"/>
      <c r="G156" s="191"/>
      <c r="H156" s="191"/>
      <c r="I156" s="191"/>
      <c r="J156" s="191"/>
      <c r="K156" s="191">
        <f>'3 - PLAN. ORÇAMENTÁRIA'!J671*0.5</f>
        <v>82392.38</v>
      </c>
      <c r="L156" s="191">
        <f>'3 - PLAN. ORÇAMENTÁRIA'!J671*0.5</f>
        <v>82392.38</v>
      </c>
      <c r="M156" s="191"/>
      <c r="N156" s="192">
        <f t="shared" si="86"/>
        <v>164784.76</v>
      </c>
      <c r="O156" s="181"/>
      <c r="P156" s="188" t="str">
        <f>IF(N156-C155=0,"-",N156-C155)</f>
        <v>-</v>
      </c>
    </row>
    <row r="157" spans="1:16" ht="12" customHeight="1">
      <c r="A157" s="185" t="str">
        <f>'3 - PLAN. ORÇAMENTÁRIA'!A684</f>
        <v>7.1.2</v>
      </c>
      <c r="B157" s="185" t="str">
        <f>'3 - PLAN. ORÇAMENTÁRIA'!B684</f>
        <v>DUTOS</v>
      </c>
      <c r="C157" s="186">
        <f>'3 - PLAN. ORÇAMENTÁRIA'!J684</f>
        <v>12502.880000000001</v>
      </c>
      <c r="D157" s="135" t="str">
        <f t="shared" ref="D157:M157" si="95">IF((D158/$C157)=0," ",D158/$C157)</f>
        <v xml:space="preserve"> </v>
      </c>
      <c r="E157" s="135" t="str">
        <f t="shared" si="95"/>
        <v xml:space="preserve"> </v>
      </c>
      <c r="F157" s="135" t="str">
        <f t="shared" si="95"/>
        <v xml:space="preserve"> </v>
      </c>
      <c r="G157" s="135" t="str">
        <f t="shared" si="95"/>
        <v xml:space="preserve"> </v>
      </c>
      <c r="H157" s="135" t="str">
        <f t="shared" si="95"/>
        <v xml:space="preserve"> </v>
      </c>
      <c r="I157" s="135" t="str">
        <f t="shared" si="95"/>
        <v xml:space="preserve"> </v>
      </c>
      <c r="J157" s="135" t="str">
        <f t="shared" si="95"/>
        <v xml:space="preserve"> </v>
      </c>
      <c r="K157" s="135">
        <v>0.6</v>
      </c>
      <c r="L157" s="135">
        <f t="shared" si="95"/>
        <v>0.4</v>
      </c>
      <c r="M157" s="135" t="str">
        <f t="shared" si="95"/>
        <v xml:space="preserve"> </v>
      </c>
      <c r="N157" s="187">
        <f t="shared" si="86"/>
        <v>1</v>
      </c>
      <c r="O157" s="181"/>
      <c r="P157" s="188" t="s">
        <v>886</v>
      </c>
    </row>
    <row r="158" spans="1:16" ht="12.95" customHeight="1">
      <c r="A158" s="189"/>
      <c r="B158" s="189"/>
      <c r="C158" s="190"/>
      <c r="D158" s="191"/>
      <c r="E158" s="191"/>
      <c r="F158" s="191"/>
      <c r="G158" s="191"/>
      <c r="H158" s="191"/>
      <c r="I158" s="191"/>
      <c r="J158" s="191"/>
      <c r="K158" s="191">
        <f>'3 - PLAN. ORÇAMENTÁRIA'!J684*0.6</f>
        <v>7501.7280000000001</v>
      </c>
      <c r="L158" s="191">
        <f>'3 - PLAN. ORÇAMENTÁRIA'!J684*0.4</f>
        <v>5001.152000000001</v>
      </c>
      <c r="M158" s="191"/>
      <c r="N158" s="192">
        <f t="shared" si="86"/>
        <v>12502.880000000001</v>
      </c>
      <c r="O158" s="181"/>
      <c r="P158" s="188" t="str">
        <f>IF(N158-C157=0,"-",N158-C157)</f>
        <v>-</v>
      </c>
    </row>
    <row r="159" spans="1:16" ht="12" customHeight="1">
      <c r="A159" s="193" t="str">
        <f>'3 - PLAN. ORÇAMENTÁRIA'!A688</f>
        <v>08.00.000</v>
      </c>
      <c r="B159" s="193" t="str">
        <f>'3 - PLAN. ORÇAMENTÁRIA'!B688</f>
        <v>INSTALAÇÕES DE PREVENÇÃO E COMBATE A INCÊNDIO</v>
      </c>
      <c r="C159" s="194">
        <f>'3 - PLAN. ORÇAMENTÁRIA'!J688</f>
        <v>2998.5600000000004</v>
      </c>
      <c r="D159" s="195" t="str">
        <f t="shared" ref="D159:M159" si="96">IF((D160/$C159)=0," ",D160/$C159)</f>
        <v xml:space="preserve"> </v>
      </c>
      <c r="E159" s="195" t="str">
        <f t="shared" si="96"/>
        <v xml:space="preserve"> </v>
      </c>
      <c r="F159" s="195" t="str">
        <f t="shared" si="96"/>
        <v xml:space="preserve"> </v>
      </c>
      <c r="G159" s="195" t="str">
        <f t="shared" si="96"/>
        <v xml:space="preserve"> </v>
      </c>
      <c r="H159" s="195" t="str">
        <f t="shared" si="96"/>
        <v xml:space="preserve"> </v>
      </c>
      <c r="I159" s="195" t="str">
        <f t="shared" si="96"/>
        <v xml:space="preserve"> </v>
      </c>
      <c r="J159" s="195" t="str">
        <f t="shared" si="96"/>
        <v xml:space="preserve"> </v>
      </c>
      <c r="K159" s="195" t="str">
        <f t="shared" si="96"/>
        <v xml:space="preserve"> </v>
      </c>
      <c r="L159" s="195" t="str">
        <f t="shared" si="96"/>
        <v xml:space="preserve"> </v>
      </c>
      <c r="M159" s="195">
        <f t="shared" si="96"/>
        <v>1</v>
      </c>
      <c r="N159" s="196">
        <f t="shared" si="86"/>
        <v>1</v>
      </c>
      <c r="O159" s="181"/>
      <c r="P159" s="188" t="s">
        <v>886</v>
      </c>
    </row>
    <row r="160" spans="1:16" ht="12.95" customHeight="1">
      <c r="A160" s="189"/>
      <c r="B160" s="189"/>
      <c r="C160" s="190"/>
      <c r="D160" s="197">
        <f>D162+D164+D166</f>
        <v>0</v>
      </c>
      <c r="E160" s="197">
        <f t="shared" ref="E160:M160" si="97">E162+E164+E166</f>
        <v>0</v>
      </c>
      <c r="F160" s="197">
        <f t="shared" si="97"/>
        <v>0</v>
      </c>
      <c r="G160" s="197">
        <f t="shared" si="97"/>
        <v>0</v>
      </c>
      <c r="H160" s="197">
        <f t="shared" si="97"/>
        <v>0</v>
      </c>
      <c r="I160" s="197">
        <f t="shared" si="97"/>
        <v>0</v>
      </c>
      <c r="J160" s="197">
        <f t="shared" si="97"/>
        <v>0</v>
      </c>
      <c r="K160" s="197">
        <f t="shared" si="97"/>
        <v>0</v>
      </c>
      <c r="L160" s="197">
        <f t="shared" si="97"/>
        <v>0</v>
      </c>
      <c r="M160" s="197">
        <f t="shared" si="97"/>
        <v>2998.5600000000004</v>
      </c>
      <c r="N160" s="192">
        <f t="shared" si="86"/>
        <v>2998.5600000000004</v>
      </c>
      <c r="O160" s="181"/>
      <c r="P160" s="188" t="str">
        <f>IF(N160-C159=0,"-",N160-C159)</f>
        <v>-</v>
      </c>
    </row>
    <row r="161" spans="1:16" ht="12" customHeight="1">
      <c r="A161" s="185" t="str">
        <f>'3 - PLAN. ORÇAMENTÁRIA'!A689</f>
        <v>8.1</v>
      </c>
      <c r="B161" s="185" t="str">
        <f>'3 - PLAN. ORÇAMENTÁRIA'!B689</f>
        <v>PLACAS DE SINALIZAÇÃO</v>
      </c>
      <c r="C161" s="186">
        <f>'3 - PLAN. ORÇAMENTÁRIA'!J689</f>
        <v>667.8</v>
      </c>
      <c r="D161" s="135" t="str">
        <f t="shared" ref="D161:M161" si="98">IF((D162/$C161)=0," ",D162/$C161)</f>
        <v xml:space="preserve"> </v>
      </c>
      <c r="E161" s="135" t="str">
        <f t="shared" si="98"/>
        <v xml:space="preserve"> </v>
      </c>
      <c r="F161" s="135" t="str">
        <f t="shared" si="98"/>
        <v xml:space="preserve"> </v>
      </c>
      <c r="G161" s="135" t="str">
        <f t="shared" si="98"/>
        <v xml:space="preserve"> </v>
      </c>
      <c r="H161" s="135" t="str">
        <f t="shared" si="98"/>
        <v xml:space="preserve"> </v>
      </c>
      <c r="I161" s="135" t="str">
        <f t="shared" si="98"/>
        <v xml:space="preserve"> </v>
      </c>
      <c r="J161" s="135" t="str">
        <f t="shared" si="98"/>
        <v xml:space="preserve"> </v>
      </c>
      <c r="K161" s="135" t="str">
        <f t="shared" si="98"/>
        <v xml:space="preserve"> </v>
      </c>
      <c r="L161" s="135" t="str">
        <f t="shared" si="98"/>
        <v xml:space="preserve"> </v>
      </c>
      <c r="M161" s="135">
        <f t="shared" si="98"/>
        <v>1</v>
      </c>
      <c r="N161" s="187">
        <f t="shared" si="86"/>
        <v>1</v>
      </c>
      <c r="O161" s="181"/>
      <c r="P161" s="188" t="s">
        <v>886</v>
      </c>
    </row>
    <row r="162" spans="1:16" ht="12.95" customHeight="1">
      <c r="A162" s="189"/>
      <c r="B162" s="189"/>
      <c r="C162" s="190"/>
      <c r="D162" s="191"/>
      <c r="E162" s="191"/>
      <c r="F162" s="191"/>
      <c r="G162" s="191"/>
      <c r="H162" s="191"/>
      <c r="I162" s="191"/>
      <c r="J162" s="191"/>
      <c r="K162" s="191"/>
      <c r="L162" s="191"/>
      <c r="M162" s="191">
        <f>'3 - PLAN. ORÇAMENTÁRIA'!J689</f>
        <v>667.8</v>
      </c>
      <c r="N162" s="192">
        <f t="shared" si="86"/>
        <v>667.8</v>
      </c>
      <c r="O162" s="181"/>
      <c r="P162" s="188" t="str">
        <f>IF(N162-C161=0,"-",N162-C161)</f>
        <v>-</v>
      </c>
    </row>
    <row r="163" spans="1:16" ht="12" customHeight="1">
      <c r="A163" s="185" t="str">
        <f>'3 - PLAN. ORÇAMENTÁRIA'!A692</f>
        <v>8.2</v>
      </c>
      <c r="B163" s="185" t="str">
        <f>'3 - PLAN. ORÇAMENTÁRIA'!B692</f>
        <v>EXTINTORES</v>
      </c>
      <c r="C163" s="186">
        <f>'3 - PLAN. ORÇAMENTÁRIA'!J692</f>
        <v>2044.92</v>
      </c>
      <c r="D163" s="135" t="str">
        <f t="shared" ref="D163:M163" si="99">IF((D164/$C163)=0," ",D164/$C163)</f>
        <v xml:space="preserve"> </v>
      </c>
      <c r="E163" s="135" t="str">
        <f t="shared" si="99"/>
        <v xml:space="preserve"> </v>
      </c>
      <c r="F163" s="135" t="str">
        <f t="shared" si="99"/>
        <v xml:space="preserve"> </v>
      </c>
      <c r="G163" s="135" t="str">
        <f t="shared" si="99"/>
        <v xml:space="preserve"> </v>
      </c>
      <c r="H163" s="135" t="str">
        <f t="shared" si="99"/>
        <v xml:space="preserve"> </v>
      </c>
      <c r="I163" s="135" t="str">
        <f t="shared" si="99"/>
        <v xml:space="preserve"> </v>
      </c>
      <c r="J163" s="135" t="str">
        <f t="shared" si="99"/>
        <v xml:space="preserve"> </v>
      </c>
      <c r="K163" s="135" t="str">
        <f t="shared" si="99"/>
        <v xml:space="preserve"> </v>
      </c>
      <c r="L163" s="135" t="str">
        <f t="shared" si="99"/>
        <v xml:space="preserve"> </v>
      </c>
      <c r="M163" s="135">
        <f t="shared" si="99"/>
        <v>1</v>
      </c>
      <c r="N163" s="187">
        <f t="shared" si="86"/>
        <v>1</v>
      </c>
      <c r="O163" s="181"/>
      <c r="P163" s="188" t="s">
        <v>886</v>
      </c>
    </row>
    <row r="164" spans="1:16" ht="12.95" customHeight="1">
      <c r="A164" s="189"/>
      <c r="B164" s="189"/>
      <c r="C164" s="190"/>
      <c r="D164" s="191"/>
      <c r="E164" s="191"/>
      <c r="F164" s="191"/>
      <c r="G164" s="191"/>
      <c r="H164" s="191"/>
      <c r="I164" s="191"/>
      <c r="J164" s="191"/>
      <c r="K164" s="191"/>
      <c r="L164" s="191"/>
      <c r="M164" s="191">
        <f>'3 - PLAN. ORÇAMENTÁRIA'!J692</f>
        <v>2044.92</v>
      </c>
      <c r="N164" s="192">
        <f t="shared" si="86"/>
        <v>2044.92</v>
      </c>
      <c r="O164" s="181"/>
      <c r="P164" s="188" t="str">
        <f>IF(N164-C163=0,"-",N164-C163)</f>
        <v>-</v>
      </c>
    </row>
    <row r="165" spans="1:16" ht="12" customHeight="1">
      <c r="A165" s="185" t="str">
        <f>'3 - PLAN. ORÇAMENTÁRIA'!A694</f>
        <v>8.3</v>
      </c>
      <c r="B165" s="185" t="str">
        <f>'3 - PLAN. ORÇAMENTÁRIA'!B694</f>
        <v>ILUMINAÇÃO DE EMERGÊNCIA</v>
      </c>
      <c r="C165" s="186">
        <f>'3 - PLAN. ORÇAMENTÁRIA'!J694</f>
        <v>285.83999999999997</v>
      </c>
      <c r="D165" s="135" t="str">
        <f t="shared" ref="D165:M165" si="100">IF((D166/$C165)=0," ",D166/$C165)</f>
        <v xml:space="preserve"> </v>
      </c>
      <c r="E165" s="135" t="str">
        <f t="shared" si="100"/>
        <v xml:space="preserve"> </v>
      </c>
      <c r="F165" s="135" t="str">
        <f t="shared" si="100"/>
        <v xml:space="preserve"> </v>
      </c>
      <c r="G165" s="135" t="str">
        <f t="shared" si="100"/>
        <v xml:space="preserve"> </v>
      </c>
      <c r="H165" s="135" t="str">
        <f t="shared" si="100"/>
        <v xml:space="preserve"> </v>
      </c>
      <c r="I165" s="135" t="str">
        <f t="shared" si="100"/>
        <v xml:space="preserve"> </v>
      </c>
      <c r="J165" s="135" t="str">
        <f t="shared" si="100"/>
        <v xml:space="preserve"> </v>
      </c>
      <c r="K165" s="135" t="str">
        <f t="shared" si="100"/>
        <v xml:space="preserve"> </v>
      </c>
      <c r="L165" s="135" t="str">
        <f t="shared" si="100"/>
        <v xml:space="preserve"> </v>
      </c>
      <c r="M165" s="135">
        <f t="shared" si="100"/>
        <v>1</v>
      </c>
      <c r="N165" s="187">
        <f t="shared" si="86"/>
        <v>1</v>
      </c>
      <c r="O165" s="181"/>
      <c r="P165" s="188" t="s">
        <v>886</v>
      </c>
    </row>
    <row r="166" spans="1:16" ht="12.95" customHeight="1">
      <c r="A166" s="189"/>
      <c r="B166" s="189"/>
      <c r="C166" s="190"/>
      <c r="D166" s="191"/>
      <c r="E166" s="191"/>
      <c r="F166" s="191"/>
      <c r="G166" s="191"/>
      <c r="H166" s="191"/>
      <c r="I166" s="191"/>
      <c r="J166" s="191"/>
      <c r="K166" s="191"/>
      <c r="L166" s="191"/>
      <c r="M166" s="191">
        <f>'3 - PLAN. ORÇAMENTÁRIA'!J694</f>
        <v>285.83999999999997</v>
      </c>
      <c r="N166" s="192">
        <f t="shared" si="86"/>
        <v>285.83999999999997</v>
      </c>
      <c r="O166" s="181"/>
      <c r="P166" s="188" t="str">
        <f>IF(N166-C165=0,"-",N166-C165)</f>
        <v>-</v>
      </c>
    </row>
    <row r="167" spans="1:16" ht="12" customHeight="1">
      <c r="A167" s="193" t="str">
        <f>'3 - PLAN. ORÇAMENTÁRIA'!A696</f>
        <v>09.00.000</v>
      </c>
      <c r="B167" s="193" t="str">
        <f>'3 - PLAN. ORÇAMENTÁRIA'!B696</f>
        <v>SERVIÇOS COMPLEMENTARES</v>
      </c>
      <c r="C167" s="194">
        <f>'3 - PLAN. ORÇAMENTÁRIA'!J696</f>
        <v>23757.82</v>
      </c>
      <c r="D167" s="195" t="str">
        <f t="shared" ref="D167:M167" si="101">IF((D168/$C167)=0," ",D168/$C167)</f>
        <v xml:space="preserve"> </v>
      </c>
      <c r="E167" s="195" t="str">
        <f t="shared" si="101"/>
        <v xml:space="preserve"> </v>
      </c>
      <c r="F167" s="195" t="str">
        <f t="shared" si="101"/>
        <v xml:space="preserve"> </v>
      </c>
      <c r="G167" s="195" t="str">
        <f t="shared" si="101"/>
        <v xml:space="preserve"> </v>
      </c>
      <c r="H167" s="195" t="str">
        <f t="shared" si="101"/>
        <v xml:space="preserve"> </v>
      </c>
      <c r="I167" s="195" t="str">
        <f t="shared" si="101"/>
        <v xml:space="preserve"> </v>
      </c>
      <c r="J167" s="195" t="str">
        <f t="shared" si="101"/>
        <v xml:space="preserve"> </v>
      </c>
      <c r="K167" s="195" t="str">
        <f t="shared" si="101"/>
        <v xml:space="preserve"> </v>
      </c>
      <c r="L167" s="195">
        <f t="shared" si="101"/>
        <v>0.21755219965468212</v>
      </c>
      <c r="M167" s="195">
        <f t="shared" si="101"/>
        <v>0.7824478003453178</v>
      </c>
      <c r="N167" s="196">
        <f t="shared" si="86"/>
        <v>0.99999999999999989</v>
      </c>
      <c r="O167" s="181"/>
      <c r="P167" s="188" t="s">
        <v>886</v>
      </c>
    </row>
    <row r="168" spans="1:16" ht="12.95" customHeight="1">
      <c r="A168" s="189"/>
      <c r="B168" s="189"/>
      <c r="C168" s="190"/>
      <c r="D168" s="197">
        <f t="shared" ref="D168:M168" si="102">D170+D172</f>
        <v>0</v>
      </c>
      <c r="E168" s="197">
        <f t="shared" si="102"/>
        <v>0</v>
      </c>
      <c r="F168" s="197">
        <f t="shared" si="102"/>
        <v>0</v>
      </c>
      <c r="G168" s="197">
        <f t="shared" si="102"/>
        <v>0</v>
      </c>
      <c r="H168" s="197">
        <f t="shared" si="102"/>
        <v>0</v>
      </c>
      <c r="I168" s="197">
        <f t="shared" si="102"/>
        <v>0</v>
      </c>
      <c r="J168" s="197">
        <f t="shared" si="102"/>
        <v>0</v>
      </c>
      <c r="K168" s="197">
        <f t="shared" si="102"/>
        <v>0</v>
      </c>
      <c r="L168" s="197">
        <f t="shared" si="102"/>
        <v>5168.5659999999998</v>
      </c>
      <c r="M168" s="197">
        <f t="shared" si="102"/>
        <v>18589.253999999997</v>
      </c>
      <c r="N168" s="192">
        <f t="shared" si="86"/>
        <v>23757.819999999996</v>
      </c>
      <c r="O168" s="181"/>
      <c r="P168" s="188">
        <f>IF(N168-C167=0,"-",N168-C167)</f>
        <v>-3.637978807091713E-12</v>
      </c>
    </row>
    <row r="169" spans="1:16" ht="12" customHeight="1">
      <c r="A169" s="185" t="str">
        <f>'3 - PLAN. ORÇAMENTÁRIA'!A697</f>
        <v>9.1</v>
      </c>
      <c r="B169" s="185" t="str">
        <f>'3 - PLAN. ORÇAMENTÁRIA'!B697</f>
        <v>LIMPEZA DE OBRA</v>
      </c>
      <c r="C169" s="186">
        <f>'3 - PLAN. ORÇAMENTÁRIA'!J697</f>
        <v>7951.6399999999994</v>
      </c>
      <c r="D169" s="135" t="str">
        <f t="shared" ref="D169:M169" si="103">IF((D170/$C169)=0," ",D170/$C169)</f>
        <v xml:space="preserve"> </v>
      </c>
      <c r="E169" s="135" t="str">
        <f t="shared" si="103"/>
        <v xml:space="preserve"> </v>
      </c>
      <c r="F169" s="135" t="str">
        <f t="shared" si="103"/>
        <v xml:space="preserve"> </v>
      </c>
      <c r="G169" s="135" t="str">
        <f t="shared" si="103"/>
        <v xml:space="preserve"> </v>
      </c>
      <c r="H169" s="135" t="str">
        <f t="shared" si="103"/>
        <v xml:space="preserve"> </v>
      </c>
      <c r="I169" s="135" t="str">
        <f t="shared" si="103"/>
        <v xml:space="preserve"> </v>
      </c>
      <c r="J169" s="135" t="str">
        <f t="shared" si="103"/>
        <v xml:space="preserve"> </v>
      </c>
      <c r="K169" s="135" t="str">
        <f t="shared" si="103"/>
        <v xml:space="preserve"> </v>
      </c>
      <c r="L169" s="135">
        <f t="shared" si="103"/>
        <v>0.65</v>
      </c>
      <c r="M169" s="135">
        <f t="shared" si="103"/>
        <v>0.35</v>
      </c>
      <c r="N169" s="187">
        <f t="shared" ref="N169:N176" si="104">SUM(D169:M169)</f>
        <v>1</v>
      </c>
      <c r="O169" s="181"/>
      <c r="P169" s="188" t="s">
        <v>886</v>
      </c>
    </row>
    <row r="170" spans="1:16" ht="12.95" customHeight="1">
      <c r="A170" s="189"/>
      <c r="B170" s="189"/>
      <c r="C170" s="190"/>
      <c r="D170" s="191"/>
      <c r="E170" s="191"/>
      <c r="F170" s="191"/>
      <c r="G170" s="191"/>
      <c r="H170" s="191"/>
      <c r="I170" s="191"/>
      <c r="J170" s="191"/>
      <c r="K170" s="191">
        <f>'3 - PLAN. ORÇAMENTÁRIA'!H697</f>
        <v>0</v>
      </c>
      <c r="L170" s="191">
        <f>'3 - PLAN. ORÇAMENTÁRIA'!J697*0.65</f>
        <v>5168.5659999999998</v>
      </c>
      <c r="M170" s="191">
        <f>'3 - PLAN. ORÇAMENTÁRIA'!J697*0.35</f>
        <v>2783.0739999999996</v>
      </c>
      <c r="N170" s="192">
        <f t="shared" si="104"/>
        <v>7951.6399999999994</v>
      </c>
      <c r="O170" s="181"/>
      <c r="P170" s="188" t="str">
        <f>IF(N170-C169=0,"-",N170-C169)</f>
        <v>-</v>
      </c>
    </row>
    <row r="171" spans="1:16" ht="12.95" customHeight="1">
      <c r="A171" s="185" t="str">
        <f>'3 - PLAN. ORÇAMENTÁRIA'!A709</f>
        <v>9.2</v>
      </c>
      <c r="B171" s="185" t="str">
        <f>'3 - PLAN. ORÇAMENTÁRIA'!B709</f>
        <v>COMO CONSTRUÍDO</v>
      </c>
      <c r="C171" s="186">
        <f>'3 - PLAN. ORÇAMENTÁRIA'!J709</f>
        <v>15806.179999999998</v>
      </c>
      <c r="D171" s="135" t="str">
        <f t="shared" ref="D171:M171" si="105">IF((D172/$C171)=0," ",D172/$C171)</f>
        <v xml:space="preserve"> </v>
      </c>
      <c r="E171" s="135" t="str">
        <f t="shared" si="105"/>
        <v xml:space="preserve"> </v>
      </c>
      <c r="F171" s="135" t="str">
        <f t="shared" si="105"/>
        <v xml:space="preserve"> </v>
      </c>
      <c r="G171" s="135" t="str">
        <f t="shared" si="105"/>
        <v xml:space="preserve"> </v>
      </c>
      <c r="H171" s="135" t="str">
        <f t="shared" si="105"/>
        <v xml:space="preserve"> </v>
      </c>
      <c r="I171" s="135" t="str">
        <f t="shared" si="105"/>
        <v xml:space="preserve"> </v>
      </c>
      <c r="J171" s="135" t="str">
        <f t="shared" si="105"/>
        <v xml:space="preserve"> </v>
      </c>
      <c r="K171" s="135" t="str">
        <f t="shared" si="105"/>
        <v xml:space="preserve"> </v>
      </c>
      <c r="L171" s="135" t="str">
        <f t="shared" si="105"/>
        <v xml:space="preserve"> </v>
      </c>
      <c r="M171" s="135">
        <f t="shared" si="105"/>
        <v>1</v>
      </c>
      <c r="N171" s="187">
        <f t="shared" si="104"/>
        <v>1</v>
      </c>
      <c r="O171" s="181"/>
      <c r="P171" s="188" t="s">
        <v>886</v>
      </c>
    </row>
    <row r="172" spans="1:16" ht="15">
      <c r="A172" s="189"/>
      <c r="B172" s="189"/>
      <c r="C172" s="190"/>
      <c r="D172" s="191"/>
      <c r="E172" s="191"/>
      <c r="F172" s="191"/>
      <c r="G172" s="191"/>
      <c r="H172" s="191"/>
      <c r="I172" s="191"/>
      <c r="J172" s="191"/>
      <c r="K172" s="191"/>
      <c r="L172" s="191"/>
      <c r="M172" s="191">
        <f>'3 - PLAN. ORÇAMENTÁRIA'!J709</f>
        <v>15806.179999999998</v>
      </c>
      <c r="N172" s="192">
        <f t="shared" si="104"/>
        <v>15806.179999999998</v>
      </c>
      <c r="O172" s="181"/>
      <c r="P172" s="188" t="str">
        <f>IF(N172-C171=0,"-",N172-C171)</f>
        <v>-</v>
      </c>
    </row>
    <row r="173" spans="1:16" ht="15">
      <c r="A173" s="193" t="str">
        <f>'3 - PLAN. ORÇAMENTÁRIA'!A718</f>
        <v>10.00.000</v>
      </c>
      <c r="B173" s="193" t="str">
        <f>'3 - PLAN. ORÇAMENTÁRIA'!B718</f>
        <v>SERVIÇOS AUXILIARES</v>
      </c>
      <c r="C173" s="194">
        <f>'3 - PLAN. ORÇAMENTÁRIA'!J718</f>
        <v>4111.12</v>
      </c>
      <c r="D173" s="195" t="str">
        <f t="shared" ref="D173:M173" si="106">IF((D174/$C173)=0," ",D174/$C173)</f>
        <v xml:space="preserve"> </v>
      </c>
      <c r="E173" s="195" t="str">
        <f t="shared" si="106"/>
        <v xml:space="preserve"> </v>
      </c>
      <c r="F173" s="195">
        <f t="shared" si="106"/>
        <v>0.05</v>
      </c>
      <c r="G173" s="195">
        <f t="shared" si="106"/>
        <v>0.15</v>
      </c>
      <c r="H173" s="195">
        <f t="shared" si="106"/>
        <v>0.15</v>
      </c>
      <c r="I173" s="195">
        <f t="shared" si="106"/>
        <v>0.15</v>
      </c>
      <c r="J173" s="195">
        <f t="shared" si="106"/>
        <v>0.15</v>
      </c>
      <c r="K173" s="195">
        <f t="shared" si="106"/>
        <v>0.15</v>
      </c>
      <c r="L173" s="195">
        <f t="shared" si="106"/>
        <v>0.15</v>
      </c>
      <c r="M173" s="195">
        <f t="shared" si="106"/>
        <v>0.05</v>
      </c>
      <c r="N173" s="196">
        <f t="shared" si="104"/>
        <v>1</v>
      </c>
      <c r="O173" s="181"/>
      <c r="P173" s="188" t="s">
        <v>886</v>
      </c>
    </row>
    <row r="174" spans="1:16" ht="15">
      <c r="A174" s="189"/>
      <c r="B174" s="189"/>
      <c r="C174" s="190"/>
      <c r="D174" s="197">
        <f t="shared" ref="D174:M174" si="107">D176</f>
        <v>0</v>
      </c>
      <c r="E174" s="197">
        <f t="shared" si="107"/>
        <v>0</v>
      </c>
      <c r="F174" s="197">
        <f t="shared" si="107"/>
        <v>205.55600000000001</v>
      </c>
      <c r="G174" s="197">
        <f t="shared" si="107"/>
        <v>616.66800000000001</v>
      </c>
      <c r="H174" s="197">
        <f t="shared" si="107"/>
        <v>616.66800000000001</v>
      </c>
      <c r="I174" s="197">
        <f t="shared" si="107"/>
        <v>616.66800000000001</v>
      </c>
      <c r="J174" s="197">
        <f t="shared" si="107"/>
        <v>616.66800000000001</v>
      </c>
      <c r="K174" s="197">
        <f t="shared" si="107"/>
        <v>616.66800000000001</v>
      </c>
      <c r="L174" s="197">
        <f t="shared" si="107"/>
        <v>616.66800000000001</v>
      </c>
      <c r="M174" s="197">
        <f t="shared" si="107"/>
        <v>205.55600000000001</v>
      </c>
      <c r="N174" s="192">
        <f t="shared" si="104"/>
        <v>4111.12</v>
      </c>
      <c r="O174" s="181"/>
      <c r="P174" s="188" t="str">
        <f>IF(N174-C173=0,"-",N174-C173)</f>
        <v>-</v>
      </c>
    </row>
    <row r="175" spans="1:16" ht="15">
      <c r="A175" s="185" t="str">
        <f>'3 - PLAN. ORÇAMENTÁRIA'!A719</f>
        <v>10.1</v>
      </c>
      <c r="B175" s="185" t="str">
        <f>'3 - PLAN. ORÇAMENTÁRIA'!B719</f>
        <v>MÁQUINAS E EQUIPAMENTOS</v>
      </c>
      <c r="C175" s="186">
        <f>'3 - PLAN. ORÇAMENTÁRIA'!J719</f>
        <v>4111.12</v>
      </c>
      <c r="D175" s="135" t="str">
        <f t="shared" ref="D175:M175" si="108">IF((D176/$C175)=0," ",D176/$C175)</f>
        <v xml:space="preserve"> </v>
      </c>
      <c r="E175" s="135" t="str">
        <f t="shared" si="108"/>
        <v xml:space="preserve"> </v>
      </c>
      <c r="F175" s="135">
        <f t="shared" si="108"/>
        <v>0.05</v>
      </c>
      <c r="G175" s="135">
        <f t="shared" si="108"/>
        <v>0.15</v>
      </c>
      <c r="H175" s="135">
        <f t="shared" si="108"/>
        <v>0.15</v>
      </c>
      <c r="I175" s="135">
        <f t="shared" si="108"/>
        <v>0.15</v>
      </c>
      <c r="J175" s="135">
        <f t="shared" si="108"/>
        <v>0.15</v>
      </c>
      <c r="K175" s="135">
        <f t="shared" si="108"/>
        <v>0.15</v>
      </c>
      <c r="L175" s="135">
        <f t="shared" si="108"/>
        <v>0.15</v>
      </c>
      <c r="M175" s="135">
        <f t="shared" si="108"/>
        <v>0.05</v>
      </c>
      <c r="N175" s="187">
        <f t="shared" si="104"/>
        <v>1</v>
      </c>
      <c r="O175" s="181"/>
      <c r="P175" s="188" t="s">
        <v>886</v>
      </c>
    </row>
    <row r="176" spans="1:16" ht="15">
      <c r="A176" s="189"/>
      <c r="B176" s="189"/>
      <c r="C176" s="190"/>
      <c r="D176" s="191"/>
      <c r="E176" s="191"/>
      <c r="F176" s="191">
        <f>'3 - PLAN. ORÇAMENTÁRIA'!J719*0.05</f>
        <v>205.55600000000001</v>
      </c>
      <c r="G176" s="191">
        <f>'3 - PLAN. ORÇAMENTÁRIA'!J719*0.15</f>
        <v>616.66800000000001</v>
      </c>
      <c r="H176" s="191">
        <f>'3 - PLAN. ORÇAMENTÁRIA'!J719*0.15</f>
        <v>616.66800000000001</v>
      </c>
      <c r="I176" s="191">
        <f>'3 - PLAN. ORÇAMENTÁRIA'!J719*0.15</f>
        <v>616.66800000000001</v>
      </c>
      <c r="J176" s="191">
        <f>'3 - PLAN. ORÇAMENTÁRIA'!J719*0.15</f>
        <v>616.66800000000001</v>
      </c>
      <c r="K176" s="191">
        <f>'3 - PLAN. ORÇAMENTÁRIA'!J719*0.15</f>
        <v>616.66800000000001</v>
      </c>
      <c r="L176" s="191">
        <f>'3 - PLAN. ORÇAMENTÁRIA'!J719*0.15</f>
        <v>616.66800000000001</v>
      </c>
      <c r="M176" s="191">
        <f>'3 - PLAN. ORÇAMENTÁRIA'!J719*0.05</f>
        <v>205.55600000000001</v>
      </c>
      <c r="N176" s="192">
        <f t="shared" si="104"/>
        <v>4111.12</v>
      </c>
      <c r="O176" s="181"/>
      <c r="P176" s="188" t="str">
        <f>IF(N176-C175=0,"-",N176-C175)</f>
        <v>-</v>
      </c>
    </row>
    <row r="177" spans="1:16">
      <c r="A177" s="198"/>
      <c r="B177" s="199"/>
      <c r="C177" s="136">
        <f>C9+C11+C39+C73+C111+C123+C151+C159+C167+C173</f>
        <v>5858270.9299999988</v>
      </c>
      <c r="D177" s="137">
        <f t="shared" ref="D177:N177" si="109">D10+D12+D40+D74+D112+D124+D152+D160+D168+D174</f>
        <v>945932.26820000005</v>
      </c>
      <c r="E177" s="137">
        <f t="shared" si="109"/>
        <v>477606.77699999994</v>
      </c>
      <c r="F177" s="137">
        <f t="shared" si="109"/>
        <v>666736.22899999993</v>
      </c>
      <c r="G177" s="137">
        <f t="shared" si="109"/>
        <v>273808.44990000001</v>
      </c>
      <c r="H177" s="137">
        <f t="shared" si="109"/>
        <v>543756.47279999987</v>
      </c>
      <c r="I177" s="137">
        <f t="shared" si="109"/>
        <v>519342.80650000001</v>
      </c>
      <c r="J177" s="137">
        <f t="shared" si="109"/>
        <v>739892.52839999995</v>
      </c>
      <c r="K177" s="137">
        <f t="shared" si="109"/>
        <v>712904.39169999992</v>
      </c>
      <c r="L177" s="137">
        <f t="shared" si="109"/>
        <v>658563.03049999999</v>
      </c>
      <c r="M177" s="137">
        <f t="shared" si="109"/>
        <v>319727.97599999997</v>
      </c>
      <c r="N177" s="137">
        <f t="shared" si="109"/>
        <v>5858270.9299999988</v>
      </c>
      <c r="O177" s="181"/>
      <c r="P177" s="180" t="s">
        <v>2026</v>
      </c>
    </row>
    <row r="178" spans="1:16">
      <c r="A178" s="200"/>
      <c r="B178" s="201"/>
      <c r="C178" s="136"/>
      <c r="D178" s="138">
        <f>D177</f>
        <v>945932.26820000005</v>
      </c>
      <c r="E178" s="139">
        <f t="shared" ref="E178:M178" si="110">D178+E177</f>
        <v>1423539.0452000001</v>
      </c>
      <c r="F178" s="139">
        <f t="shared" si="110"/>
        <v>2090275.2741999999</v>
      </c>
      <c r="G178" s="139">
        <f t="shared" si="110"/>
        <v>2364083.7240999998</v>
      </c>
      <c r="H178" s="139">
        <f t="shared" si="110"/>
        <v>2907840.1968999999</v>
      </c>
      <c r="I178" s="139">
        <f t="shared" si="110"/>
        <v>3427183.0033999998</v>
      </c>
      <c r="J178" s="139">
        <f t="shared" si="110"/>
        <v>4167075.5318</v>
      </c>
      <c r="K178" s="139">
        <f t="shared" si="110"/>
        <v>4879979.9234999996</v>
      </c>
      <c r="L178" s="139">
        <f t="shared" si="110"/>
        <v>5538542.9539999999</v>
      </c>
      <c r="M178" s="139">
        <f t="shared" si="110"/>
        <v>5858270.9299999997</v>
      </c>
      <c r="N178" s="202"/>
      <c r="O178" s="181"/>
      <c r="P178" s="188">
        <f>N177-C177</f>
        <v>0</v>
      </c>
    </row>
    <row r="179" spans="1:16">
      <c r="A179" s="181"/>
      <c r="B179" s="181"/>
      <c r="C179" s="140"/>
      <c r="D179" s="177"/>
      <c r="E179" s="177"/>
      <c r="F179" s="177"/>
      <c r="G179" s="177"/>
      <c r="H179" s="140"/>
      <c r="I179" s="177"/>
      <c r="J179" s="177"/>
      <c r="K179" s="177"/>
      <c r="L179" s="177"/>
      <c r="M179" s="177"/>
      <c r="N179" s="140"/>
      <c r="O179" s="181"/>
      <c r="P179" s="188">
        <f>M178-C177</f>
        <v>0</v>
      </c>
    </row>
    <row r="180" spans="1:16">
      <c r="A180" s="181"/>
      <c r="B180" s="181"/>
      <c r="C180" s="140"/>
      <c r="D180" s="177"/>
      <c r="E180" s="177"/>
      <c r="F180" s="177"/>
      <c r="G180" s="177"/>
      <c r="H180" s="140"/>
      <c r="I180" s="177"/>
      <c r="J180" s="177"/>
      <c r="K180" s="177"/>
      <c r="L180" s="177"/>
      <c r="M180" s="177"/>
      <c r="N180" s="140"/>
      <c r="O180" s="181"/>
      <c r="P180" s="203">
        <f>N177-M178</f>
        <v>0</v>
      </c>
    </row>
    <row r="181" spans="1:16" ht="132.75" customHeight="1">
      <c r="A181" s="664" t="s">
        <v>765</v>
      </c>
      <c r="B181" s="664"/>
      <c r="C181" s="664"/>
      <c r="D181" s="664"/>
      <c r="E181" s="664"/>
      <c r="F181" s="664"/>
      <c r="G181" s="664"/>
      <c r="H181" s="664"/>
      <c r="I181" s="664"/>
      <c r="J181" s="664"/>
      <c r="K181" s="664"/>
      <c r="L181" s="664"/>
      <c r="M181" s="664"/>
      <c r="N181" s="664"/>
    </row>
  </sheetData>
  <mergeCells count="3">
    <mergeCell ref="A181:N181"/>
    <mergeCell ref="A1:N4"/>
    <mergeCell ref="A5:N5"/>
  </mergeCells>
  <conditionalFormatting sqref="D10:M10 D14:M14 D22:M22 D28:M28 D40:M40 D52:M52 D76:M76 D102:M102 D112:M112 D126:M126 D142:M142 D154:M154 D160:M160 D168:M168">
    <cfRule type="cellIs" dxfId="405" priority="87" operator="greaterThan">
      <formula>0</formula>
    </cfRule>
  </conditionalFormatting>
  <conditionalFormatting sqref="D12:M12">
    <cfRule type="cellIs" dxfId="404" priority="86" operator="greaterThan">
      <formula>0</formula>
    </cfRule>
  </conditionalFormatting>
  <conditionalFormatting sqref="D16:M16">
    <cfRule type="cellIs" dxfId="403" priority="17" operator="greaterThan">
      <formula>0</formula>
    </cfRule>
  </conditionalFormatting>
  <conditionalFormatting sqref="D18:M18">
    <cfRule type="cellIs" dxfId="402" priority="16" operator="greaterThan">
      <formula>0</formula>
    </cfRule>
  </conditionalFormatting>
  <conditionalFormatting sqref="D20:M20">
    <cfRule type="cellIs" dxfId="401" priority="15" operator="greaterThan">
      <formula>0</formula>
    </cfRule>
  </conditionalFormatting>
  <conditionalFormatting sqref="D24:M24 D26:M26 D30:M30 D32:M32 D36:M36 D38:M38 D44:M44 D46:M46 D48:M48 D50:M50 D54:M54">
    <cfRule type="cellIs" dxfId="400" priority="14" operator="greaterThan">
      <formula>0</formula>
    </cfRule>
  </conditionalFormatting>
  <conditionalFormatting sqref="D34:M34 D42:M42 D56:M56 D58:M58 D74:M74 D124:M124 D152:M152 D174:M174">
    <cfRule type="cellIs" dxfId="399" priority="88" operator="greaterThan">
      <formula>0</formula>
    </cfRule>
  </conditionalFormatting>
  <conditionalFormatting sqref="D60:M60 D62:M62 D64:M64">
    <cfRule type="cellIs" dxfId="398" priority="13" operator="greaterThan">
      <formula>0</formula>
    </cfRule>
  </conditionalFormatting>
  <conditionalFormatting sqref="D66:M66 D68:M68 D70:M70 D72:M72 D78:M78 D80:M80 D82:M82 D84:M84 D86:M86 D92:M92 D94:M94 D96:M96 D98:M98 D100:M100">
    <cfRule type="cellIs" dxfId="397" priority="12" operator="greaterThan">
      <formula>0</formula>
    </cfRule>
  </conditionalFormatting>
  <conditionalFormatting sqref="D88:M88">
    <cfRule type="cellIs" dxfId="396" priority="5" operator="greaterThan">
      <formula>0</formula>
    </cfRule>
  </conditionalFormatting>
  <conditionalFormatting sqref="D90:M90">
    <cfRule type="cellIs" dxfId="395" priority="1" operator="greaterThan">
      <formula>0</formula>
    </cfRule>
  </conditionalFormatting>
  <conditionalFormatting sqref="D104:M104 D106:M106 D108:M108 D110:M110 D114:M114 D116:M116 D118:M118">
    <cfRule type="cellIs" dxfId="394" priority="11" operator="greaterThan">
      <formula>0</formula>
    </cfRule>
  </conditionalFormatting>
  <conditionalFormatting sqref="D120:M120 D121:E122 L121:M122 F122:K122 D128:M128 D130:M130 D132:M132 D134:M134 D136:M136">
    <cfRule type="cellIs" dxfId="393" priority="10" operator="greaterThan">
      <formula>0</formula>
    </cfRule>
  </conditionalFormatting>
  <conditionalFormatting sqref="D138:M138 D140:M140 D144:M144 D146:M146 D148:M148 D150:M150">
    <cfRule type="cellIs" dxfId="392" priority="9" operator="greaterThan">
      <formula>0</formula>
    </cfRule>
  </conditionalFormatting>
  <conditionalFormatting sqref="D156:M156 D158:M158 D162:M162 D164:M164 D166:M166">
    <cfRule type="cellIs" dxfId="391" priority="8" operator="greaterThan">
      <formula>0</formula>
    </cfRule>
  </conditionalFormatting>
  <conditionalFormatting sqref="D170:M170 D172:M172 D176:M176">
    <cfRule type="cellIs" dxfId="390" priority="7" operator="greaterThan">
      <formula>0</formula>
    </cfRule>
  </conditionalFormatting>
  <pageMargins left="0.51181102362204722" right="0.51181102362204722" top="0.78740157480314965" bottom="0.78740157480314965" header="0.31496062992125984" footer="0.31496062992125984"/>
  <pageSetup paperSize="9" scale="51" fitToHeight="0" orientation="landscape" r:id="rId1"/>
  <ignoredErrors>
    <ignoredError sqref="D14:E14 F14:M14"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73F7-84E6-486D-B137-22A7D5935CF5}">
  <sheetPr>
    <tabColor rgb="FF00B0F0"/>
    <pageSetUpPr fitToPage="1"/>
  </sheetPr>
  <dimension ref="A1:M69"/>
  <sheetViews>
    <sheetView view="pageBreakPreview" zoomScale="70" zoomScaleNormal="55" zoomScaleSheetLayoutView="70" workbookViewId="0">
      <selection activeCell="P12" sqref="P12"/>
    </sheetView>
  </sheetViews>
  <sheetFormatPr defaultRowHeight="15"/>
  <cols>
    <col min="2" max="2" width="52" customWidth="1"/>
    <col min="3" max="3" width="13.85546875" customWidth="1"/>
    <col min="4" max="4" width="13.42578125" customWidth="1"/>
    <col min="5" max="5" width="14.42578125" customWidth="1"/>
    <col min="6" max="6" width="13.85546875" customWidth="1"/>
    <col min="7" max="9" width="13.5703125" customWidth="1"/>
    <col min="10" max="11" width="14.28515625" customWidth="1"/>
    <col min="12" max="13" width="13.28515625" customWidth="1"/>
  </cols>
  <sheetData>
    <row r="1" spans="1:13" s="179" customFormat="1" ht="12.75" customHeight="1">
      <c r="A1" s="665" t="s">
        <v>62</v>
      </c>
      <c r="B1" s="665"/>
      <c r="C1" s="665"/>
      <c r="D1" s="665"/>
      <c r="E1" s="665"/>
      <c r="F1" s="665"/>
      <c r="G1" s="665"/>
      <c r="H1" s="665"/>
      <c r="I1" s="665"/>
      <c r="J1" s="665"/>
      <c r="K1" s="665"/>
      <c r="L1" s="665"/>
      <c r="M1" s="665"/>
    </row>
    <row r="2" spans="1:13" s="179" customFormat="1" ht="30" customHeight="1">
      <c r="A2" s="665"/>
      <c r="B2" s="665"/>
      <c r="C2" s="665"/>
      <c r="D2" s="665"/>
      <c r="E2" s="665"/>
      <c r="F2" s="665"/>
      <c r="G2" s="665"/>
      <c r="H2" s="665"/>
      <c r="I2" s="665"/>
      <c r="J2" s="665"/>
      <c r="K2" s="665"/>
      <c r="L2" s="665"/>
      <c r="M2" s="665"/>
    </row>
    <row r="3" spans="1:13" s="179" customFormat="1" ht="19.5" customHeight="1">
      <c r="A3" s="665"/>
      <c r="B3" s="665"/>
      <c r="C3" s="665"/>
      <c r="D3" s="665"/>
      <c r="E3" s="665"/>
      <c r="F3" s="665"/>
      <c r="G3" s="665"/>
      <c r="H3" s="665"/>
      <c r="I3" s="665"/>
      <c r="J3" s="665"/>
      <c r="K3" s="665"/>
      <c r="L3" s="665"/>
      <c r="M3" s="665"/>
    </row>
    <row r="4" spans="1:13" s="179" customFormat="1" ht="15" customHeight="1">
      <c r="A4" s="665"/>
      <c r="B4" s="665"/>
      <c r="C4" s="665"/>
      <c r="D4" s="665"/>
      <c r="E4" s="665"/>
      <c r="F4" s="665"/>
      <c r="G4" s="665"/>
      <c r="H4" s="665"/>
      <c r="I4" s="665"/>
      <c r="J4" s="665"/>
      <c r="K4" s="665"/>
      <c r="L4" s="665"/>
      <c r="M4" s="665"/>
    </row>
    <row r="5" spans="1:13" s="179" customFormat="1" ht="30" customHeight="1">
      <c r="A5" s="666" t="s">
        <v>2697</v>
      </c>
      <c r="B5" s="666"/>
      <c r="C5" s="666"/>
      <c r="D5" s="666"/>
      <c r="E5" s="666"/>
      <c r="F5" s="666"/>
      <c r="G5" s="666"/>
      <c r="H5" s="666"/>
      <c r="I5" s="666"/>
      <c r="J5" s="666"/>
      <c r="K5" s="666"/>
      <c r="L5" s="666"/>
      <c r="M5" s="666"/>
    </row>
    <row r="69" spans="1:13" ht="135.75" customHeight="1">
      <c r="A69" s="667" t="s">
        <v>765</v>
      </c>
      <c r="B69" s="667"/>
      <c r="C69" s="667"/>
      <c r="D69" s="667"/>
      <c r="E69" s="667"/>
      <c r="F69" s="667"/>
      <c r="G69" s="667"/>
      <c r="H69" s="667"/>
      <c r="I69" s="667"/>
      <c r="J69" s="667"/>
      <c r="K69" s="667"/>
      <c r="L69" s="667"/>
      <c r="M69" s="667"/>
    </row>
  </sheetData>
  <mergeCells count="3">
    <mergeCell ref="A69:M69"/>
    <mergeCell ref="A1:M4"/>
    <mergeCell ref="A5:M5"/>
  </mergeCells>
  <pageMargins left="0.511811024" right="0.511811024" top="0.78740157499999996" bottom="0.78740157499999996" header="0.31496062000000002" footer="0.31496062000000002"/>
  <pageSetup paperSize="9" scale="4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213635D081AAC4A94186FA83F72F370" ma:contentTypeVersion="13" ma:contentTypeDescription="Crie um novo documento." ma:contentTypeScope="" ma:versionID="bdcb880f32283871a2fec67d2144e717">
  <xsd:schema xmlns:xsd="http://www.w3.org/2001/XMLSchema" xmlns:xs="http://www.w3.org/2001/XMLSchema" xmlns:p="http://schemas.microsoft.com/office/2006/metadata/properties" xmlns:ns2="362b6531-ca2e-49cd-a2e2-46d8295dfe0f" xmlns:ns3="884ee2f2-05ce-4377-b33f-282e5156e193" targetNamespace="http://schemas.microsoft.com/office/2006/metadata/properties" ma:root="true" ma:fieldsID="2bc603332cee3a77388233f22dc7de54" ns2:_="" ns3:_="">
    <xsd:import namespace="362b6531-ca2e-49cd-a2e2-46d8295dfe0f"/>
    <xsd:import namespace="884ee2f2-05ce-4377-b33f-282e5156e19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2b6531-ca2e-49cd-a2e2-46d8295dfe0f" elementFormDefault="qualified">
    <xsd:import namespace="http://schemas.microsoft.com/office/2006/documentManagement/types"/>
    <xsd:import namespace="http://schemas.microsoft.com/office/infopath/2007/PartnerControls"/>
    <xsd:element name="SharedWithUsers" ma:index="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d1d4fd77-eb48-4825-b61a-8a1b4cf48acb}" ma:internalName="TaxCatchAll" ma:showField="CatchAllData" ma:web="362b6531-ca2e-49cd-a2e2-46d8295dfe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84ee2f2-05ce-4377-b33f-282e5156e19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8c88f719-e1ab-431d-a07b-ab866c6561c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4ee2f2-05ce-4377-b33f-282e5156e193">
      <Terms xmlns="http://schemas.microsoft.com/office/infopath/2007/PartnerControls"/>
    </lcf76f155ced4ddcb4097134ff3c332f>
    <TaxCatchAll xmlns="362b6531-ca2e-49cd-a2e2-46d8295dfe0f" xsi:nil="true"/>
  </documentManagement>
</p:properties>
</file>

<file path=customXml/itemProps1.xml><?xml version="1.0" encoding="utf-8"?>
<ds:datastoreItem xmlns:ds="http://schemas.openxmlformats.org/officeDocument/2006/customXml" ds:itemID="{8DFCA8FA-14E0-4B77-8AF3-03AECC89A515}"/>
</file>

<file path=customXml/itemProps2.xml><?xml version="1.0" encoding="utf-8"?>
<ds:datastoreItem xmlns:ds="http://schemas.openxmlformats.org/officeDocument/2006/customXml" ds:itemID="{C142C9FC-795B-4877-8782-63A5AE234313}">
  <ds:schemaRefs>
    <ds:schemaRef ds:uri="http://schemas.microsoft.com/sharepoint/v3/contenttype/forms"/>
  </ds:schemaRefs>
</ds:datastoreItem>
</file>

<file path=customXml/itemProps3.xml><?xml version="1.0" encoding="utf-8"?>
<ds:datastoreItem xmlns:ds="http://schemas.openxmlformats.org/officeDocument/2006/customXml" ds:itemID="{D5A2BFA1-F3FD-4212-984D-FF317A2379C9}">
  <ds:schemaRefs>
    <ds:schemaRef ds:uri="http://www.w3.org/XML/1998/namespace"/>
    <ds:schemaRef ds:uri="http://purl.org/dc/dcmitype/"/>
    <ds:schemaRef ds:uri="http://schemas.microsoft.com/office/2006/documentManagement/types"/>
    <ds:schemaRef ds:uri="989d09a6-392c-45da-b122-d1a8fdac37c6"/>
    <ds:schemaRef ds:uri="http://schemas.microsoft.com/office/2006/metadata/properties"/>
    <ds:schemaRef ds:uri="http://schemas.microsoft.com/office/infopath/2007/PartnerControls"/>
    <ds:schemaRef ds:uri="http://schemas.openxmlformats.org/package/2006/metadata/core-properties"/>
    <ds:schemaRef ds:uri="d8f2b3c5-9529-42b8-a1c0-6e61784b3335"/>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16</vt:i4>
      </vt:variant>
    </vt:vector>
  </HeadingPairs>
  <TitlesOfParts>
    <vt:vector size="32" baseType="lpstr">
      <vt:lpstr>0 - ARQUIVOS DA PLANILHA</vt:lpstr>
      <vt:lpstr>1 - CAPA</vt:lpstr>
      <vt:lpstr>2 - RESUMO GLOBAL</vt:lpstr>
      <vt:lpstr>3 - PLAN. ORÇAMENTÁRIA</vt:lpstr>
      <vt:lpstr>4 - R. ANALÍTICO - ORIGINAIS</vt:lpstr>
      <vt:lpstr>5 - R. ANALÍTICO - MODIFICAD</vt:lpstr>
      <vt:lpstr>6 - COTAÇÃO MERCADO</vt:lpstr>
      <vt:lpstr>7 - CRONOGRAMA</vt:lpstr>
      <vt:lpstr>8 - CURVA S</vt:lpstr>
      <vt:lpstr>9 - HISTOGRAMA</vt:lpstr>
      <vt:lpstr>10 - CURVA ABC SERVIÇOS</vt:lpstr>
      <vt:lpstr>11 - CURVA ABC EQUIPAMENTOS</vt:lpstr>
      <vt:lpstr>12 - CURVA ABC MATERIAIS</vt:lpstr>
      <vt:lpstr>13 - ENCARGOS</vt:lpstr>
      <vt:lpstr>14 -BDI-EDIFICAÇÕES - SEM DESON</vt:lpstr>
      <vt:lpstr>15 -BDI-EQUIPAMENTO - SEM DESON</vt:lpstr>
      <vt:lpstr>'0 - ARQUIVOS DA PLANILHA'!Area_de_impressao</vt:lpstr>
      <vt:lpstr>'1 - CAPA'!Area_de_impressao</vt:lpstr>
      <vt:lpstr>'10 - CURVA ABC SERVIÇOS'!Area_de_impressao</vt:lpstr>
      <vt:lpstr>'11 - CURVA ABC EQUIPAMENTOS'!Area_de_impressao</vt:lpstr>
      <vt:lpstr>'12 - CURVA ABC MATERIAIS'!Area_de_impressao</vt:lpstr>
      <vt:lpstr>'13 - ENCARGOS'!Area_de_impressao</vt:lpstr>
      <vt:lpstr>'14 -BDI-EDIFICAÇÕES - SEM DESON'!Area_de_impressao</vt:lpstr>
      <vt:lpstr>'15 -BDI-EQUIPAMENTO - SEM DESON'!Area_de_impressao</vt:lpstr>
      <vt:lpstr>'2 - RESUMO GLOBAL'!Area_de_impressao</vt:lpstr>
      <vt:lpstr>'3 - PLAN. ORÇAMENTÁRIA'!Area_de_impressao</vt:lpstr>
      <vt:lpstr>'4 - R. ANALÍTICO - ORIGINAIS'!Area_de_impressao</vt:lpstr>
      <vt:lpstr>'5 - R. ANALÍTICO - MODIFICAD'!Area_de_impressao</vt:lpstr>
      <vt:lpstr>'6 - COTAÇÃO MERCADO'!Area_de_impressao</vt:lpstr>
      <vt:lpstr>'7 - CRONOGRAMA'!Area_de_impressao</vt:lpstr>
      <vt:lpstr>'9 - HISTOGRAMA'!Area_de_impressao</vt:lpstr>
      <vt:lpstr>'2 - RESUMO GLOBAL'!Titulos_de_impressao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Jefter William de Almeida Ferreira;pedro.cesar@defensoria.df.gov.br</dc:creator>
  <cp:keywords/>
  <dc:description/>
  <cp:lastModifiedBy>Davi Meira</cp:lastModifiedBy>
  <cp:revision/>
  <cp:lastPrinted>2025-04-11T14:20:57Z</cp:lastPrinted>
  <dcterms:created xsi:type="dcterms:W3CDTF">2024-03-18T13:38:28Z</dcterms:created>
  <dcterms:modified xsi:type="dcterms:W3CDTF">2025-04-11T14:25:48Z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0x0101001213635D081AAC4A94186FA83F72F370</vt:lpwstr>
  </property>
  <property fmtid="{D5CDD505-2E9C-101B-9397-08002B2CF9AE}" pid="3" name="MSIP_Label_defa4170-0d19-0005-0004-bc88714345d2_Enabled">
    <vt:lpwstr>true</vt:lpwstr>
  </property>
  <property fmtid="{D5CDD505-2E9C-101B-9397-08002B2CF9AE}" pid="4" name="MSIP_Label_defa4170-0d19-0005-0004-bc88714345d2_SetDate">
    <vt:lpwstr>2024-04-19T17:28:43Z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1e3270b9-e48f-4596-90a4-c53d2859ef51</vt:lpwstr>
  </property>
  <property fmtid="{D5CDD505-2E9C-101B-9397-08002B2CF9AE}" pid="8" name="MSIP_Label_defa4170-0d19-0005-0004-bc88714345d2_ActionId">
    <vt:lpwstr>fd769dea-2764-4e77-911e-1b72bde4c34b</vt:lpwstr>
  </property>
  <property fmtid="{D5CDD505-2E9C-101B-9397-08002B2CF9AE}" pid="9" name="MSIP_Label_defa4170-0d19-0005-0004-bc88714345d2_ContentBits">
    <vt:lpwstr>0</vt:lpwstr>
  </property>
</Properties>
</file>